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1 PLANEACION HACENDARIA\PARTICIPACIONES FEDERALES 2021\NOVIEMBRE 2021\"/>
    </mc:Choice>
  </mc:AlternateContent>
  <bookViews>
    <workbookView xWindow="0" yWindow="0" windowWidth="28770" windowHeight="11760" firstSheet="1" activeTab="1"/>
  </bookViews>
  <sheets>
    <sheet name="PART MES" sheetId="41" r:id="rId1"/>
    <sheet name="DIST MES NOVIEMBRE" sheetId="46" r:id="rId2"/>
    <sheet name="CENSO POB 2020" sheetId="50" state="hidden" r:id="rId3"/>
    <sheet name="COEF Art 14 F I" sheetId="1" r:id="rId4"/>
    <sheet name="TERRITORIO INEGI 2021" sheetId="57" state="hidden" r:id="rId5"/>
    <sheet name="PART PEF2021" sheetId="43" r:id="rId6"/>
    <sheet name="CALCULO GARANTIA" sheetId="28" r:id="rId7"/>
    <sheet name="COEF Art 14 F II" sheetId="53" r:id="rId8"/>
    <sheet name="Art.14 Frac.III" sheetId="55" r:id="rId9"/>
    <sheet name="ISAI" sheetId="47" r:id="rId10"/>
    <sheet name="ISR NOVIEMBRE " sheetId="54" r:id="rId11"/>
    <sheet name="Ajuste 1er Sem" sheetId="56" r:id="rId12"/>
    <sheet name="Ajuste Semestral " sheetId="49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11" hidden="1">'Ajuste 1er Sem'!#REF!</definedName>
    <definedName name="_xlnm._FilterDatabase" localSheetId="12" hidden="1">'Ajuste Semestral '!#REF!</definedName>
    <definedName name="_xlnm._FilterDatabase" localSheetId="1" hidden="1">'DIST MES NOVIEMBRE'!#REF!</definedName>
    <definedName name="A_impresión_IM" localSheetId="11">#REF!</definedName>
    <definedName name="A_impresión_IM" localSheetId="12">#REF!</definedName>
    <definedName name="A_impresión_IM" localSheetId="8">#REF!</definedName>
    <definedName name="A_impresión_IM" localSheetId="6">#REF!</definedName>
    <definedName name="A_impresión_IM" localSheetId="7">#REF!</definedName>
    <definedName name="A_impresión_IM" localSheetId="1">#REF!</definedName>
    <definedName name="A_impresión_IM" localSheetId="0">#REF!</definedName>
    <definedName name="A_impresión_IM" localSheetId="5">#REF!</definedName>
    <definedName name="A_impresión_IM">#REF!</definedName>
    <definedName name="abril" localSheetId="8">#REF!</definedName>
    <definedName name="abril" localSheetId="7">#REF!</definedName>
    <definedName name="abril">#REF!</definedName>
    <definedName name="AJUSTES" localSheetId="11" hidden="1">{"'beneficiarios'!$A$1:$C$7"}</definedName>
    <definedName name="AJUSTES" localSheetId="12" hidden="1">{"'beneficiarios'!$A$1:$C$7"}</definedName>
    <definedName name="AJUSTES" localSheetId="8" hidden="1">{"'beneficiarios'!$A$1:$C$7"}</definedName>
    <definedName name="AJUSTES" localSheetId="6" hidden="1">{"'beneficiarios'!$A$1:$C$7"}</definedName>
    <definedName name="AJUSTES" localSheetId="7" hidden="1">{"'beneficiarios'!$A$1:$C$7"}</definedName>
    <definedName name="AJUSTES" localSheetId="1" hidden="1">{"'beneficiarios'!$A$1:$C$7"}</definedName>
    <definedName name="AJUSTES" localSheetId="0" hidden="1">{"'beneficiarios'!$A$1:$C$7"}</definedName>
    <definedName name="AJUSTES" localSheetId="5" hidden="1">{"'beneficiarios'!$A$1:$C$7"}</definedName>
    <definedName name="AJUSTES" hidden="1">{"'beneficiarios'!$A$1:$C$7"}</definedName>
    <definedName name="_xlnm.Print_Area" localSheetId="11">'Ajuste 1er Sem'!$A$1:$L$59</definedName>
    <definedName name="_xlnm.Print_Area" localSheetId="12">'Ajuste Semestral '!$A$1:$K$53</definedName>
    <definedName name="_xlnm.Print_Area" localSheetId="8">'Art.14 Frac.III'!$L$1:$Q$56</definedName>
    <definedName name="_xlnm.Print_Area" localSheetId="6">'CALCULO GARANTIA'!$A$1:$Q$61</definedName>
    <definedName name="_xlnm.Print_Area" localSheetId="3">'COEF Art 14 F I'!$A$3:$AI$61</definedName>
    <definedName name="_xlnm.Print_Area" localSheetId="7">'COEF Art 14 F II'!$A$3:$L$63</definedName>
    <definedName name="_xlnm.Print_Area" localSheetId="1">'DIST MES NOVIEMBRE'!$A$1:$M$59</definedName>
    <definedName name="_xlnm.Print_Area" localSheetId="9">ISAI!$A$1:$D$55</definedName>
    <definedName name="_xlnm.Print_Area" localSheetId="0">'PART MES'!$A$1:$E$15</definedName>
    <definedName name="_xlnm.Print_Area" localSheetId="5">'PART PEF2021'!$A$1:$D$14</definedName>
    <definedName name="_xlnm.Database" localSheetId="11">#REF!</definedName>
    <definedName name="_xlnm.Database" localSheetId="12">#REF!</definedName>
    <definedName name="_xlnm.Database" localSheetId="8">#REF!</definedName>
    <definedName name="_xlnm.Database" localSheetId="6">#REF!</definedName>
    <definedName name="_xlnm.Database" localSheetId="7">#REF!</definedName>
    <definedName name="_xlnm.Database" localSheetId="1">#REF!</definedName>
    <definedName name="_xlnm.Database" localSheetId="0">#REF!</definedName>
    <definedName name="_xlnm.Database" localSheetId="5">#REF!</definedName>
    <definedName name="_xlnm.Database">#REF!</definedName>
    <definedName name="cierre_2001" localSheetId="11">'[1]deuda c sadm'!#REF!</definedName>
    <definedName name="cierre_2001" localSheetId="12">'[1]deuda c sadm'!#REF!</definedName>
    <definedName name="cierre_2001" localSheetId="8">'[1]deuda c sadm'!#REF!</definedName>
    <definedName name="cierre_2001" localSheetId="7">'[1]deuda c sadm'!#REF!</definedName>
    <definedName name="cierre_2001" localSheetId="1">'[1]deuda c sadm'!#REF!</definedName>
    <definedName name="cierre_2001" localSheetId="0">'[1]deuda c sadm'!#REF!</definedName>
    <definedName name="cierre_2001" localSheetId="5">'[1]deuda c sadm'!#REF!</definedName>
    <definedName name="cierre_2001">'[1]deuda c sadm'!#REF!</definedName>
    <definedName name="deuda" localSheetId="11">'[1]deuda c sadm'!#REF!</definedName>
    <definedName name="deuda" localSheetId="12">'[1]deuda c sadm'!#REF!</definedName>
    <definedName name="deuda" localSheetId="8">'[1]deuda c sadm'!#REF!</definedName>
    <definedName name="deuda" localSheetId="7">'[1]deuda c sadm'!#REF!</definedName>
    <definedName name="deuda" localSheetId="1">'[1]deuda c sadm'!#REF!</definedName>
    <definedName name="deuda" localSheetId="0">'[1]deuda c sadm'!#REF!</definedName>
    <definedName name="deuda" localSheetId="5">'[1]deuda c sadm'!#REF!</definedName>
    <definedName name="deuda">'[1]deuda c sadm'!#REF!</definedName>
    <definedName name="Deuda_ingTot" localSheetId="11">'[1]deuda c sadm'!#REF!</definedName>
    <definedName name="Deuda_ingTot" localSheetId="12">'[1]deuda c sadm'!#REF!</definedName>
    <definedName name="Deuda_ingTot" localSheetId="8">'[1]deuda c sadm'!#REF!</definedName>
    <definedName name="Deuda_ingTot" localSheetId="7">'[1]deuda c sadm'!#REF!</definedName>
    <definedName name="Deuda_ingTot" localSheetId="1">'[1]deuda c sadm'!#REF!</definedName>
    <definedName name="Deuda_ingTot" localSheetId="0">'[1]deuda c sadm'!#REF!</definedName>
    <definedName name="Deuda_ingTot" localSheetId="5">'[1]deuda c sadm'!#REF!</definedName>
    <definedName name="Deuda_ingTot">'[1]deuda c sadm'!#REF!</definedName>
    <definedName name="ENERO" localSheetId="11">#REF!</definedName>
    <definedName name="ENERO" localSheetId="12">#REF!</definedName>
    <definedName name="ENERO" localSheetId="8">#REF!</definedName>
    <definedName name="ENERO" localSheetId="6">#REF!</definedName>
    <definedName name="ENERO" localSheetId="7">#REF!</definedName>
    <definedName name="ENERO" localSheetId="1">#REF!</definedName>
    <definedName name="ENERO" localSheetId="0">#REF!</definedName>
    <definedName name="ENERO" localSheetId="5">#REF!</definedName>
    <definedName name="ENERO">#REF!</definedName>
    <definedName name="ENEROAJUSTE" localSheetId="11">#REF!</definedName>
    <definedName name="ENEROAJUSTE" localSheetId="12">#REF!</definedName>
    <definedName name="ENEROAJUSTE" localSheetId="8">#REF!</definedName>
    <definedName name="ENEROAJUSTE" localSheetId="7">#REF!</definedName>
    <definedName name="ENEROAJUSTE" localSheetId="1">#REF!</definedName>
    <definedName name="ENEROAJUSTE" localSheetId="5">#REF!</definedName>
    <definedName name="ENEROAJUSTE">#REF!</definedName>
    <definedName name="Estado">'[2]Compendio de nombres'!$C$2:$C$33</definedName>
    <definedName name="Estado1" localSheetId="11">#REF!</definedName>
    <definedName name="Estado1" localSheetId="12">#REF!</definedName>
    <definedName name="Estado1" localSheetId="8">#REF!</definedName>
    <definedName name="Estado1" localSheetId="7">#REF!</definedName>
    <definedName name="Estado1" localSheetId="1">#REF!</definedName>
    <definedName name="Estado1">#REF!</definedName>
    <definedName name="Fto_1" localSheetId="11">#REF!</definedName>
    <definedName name="Fto_1" localSheetId="12">#REF!</definedName>
    <definedName name="Fto_1" localSheetId="8">#REF!</definedName>
    <definedName name="Fto_1" localSheetId="6">#REF!</definedName>
    <definedName name="Fto_1" localSheetId="7">#REF!</definedName>
    <definedName name="Fto_1" localSheetId="1">#REF!</definedName>
    <definedName name="Fto_1" localSheetId="0">#REF!</definedName>
    <definedName name="Fto_1" localSheetId="5">#REF!</definedName>
    <definedName name="Fto_1">#REF!</definedName>
    <definedName name="HTML_CodePage" hidden="1">1252</definedName>
    <definedName name="HTML_Control" localSheetId="11" hidden="1">{"'beneficiarios'!$A$1:$C$7"}</definedName>
    <definedName name="HTML_Control" localSheetId="12" hidden="1">{"'beneficiarios'!$A$1:$C$7"}</definedName>
    <definedName name="HTML_Control" localSheetId="8" hidden="1">{"'beneficiarios'!$A$1:$C$7"}</definedName>
    <definedName name="HTML_Control" localSheetId="6" hidden="1">{"'beneficiarios'!$A$1:$C$7"}</definedName>
    <definedName name="HTML_Control" localSheetId="7" hidden="1">{"'beneficiarios'!$A$1:$C$7"}</definedName>
    <definedName name="HTML_Control" localSheetId="1" hidden="1">{"'beneficiarios'!$A$1:$C$7"}</definedName>
    <definedName name="HTML_Control" localSheetId="0" hidden="1">{"'beneficiarios'!$A$1:$C$7"}</definedName>
    <definedName name="HTML_Control" localSheetId="5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11" hidden="1">{"'beneficiarios'!$A$1:$C$7"}</definedName>
    <definedName name="INDICADORES" localSheetId="12" hidden="1">{"'beneficiarios'!$A$1:$C$7"}</definedName>
    <definedName name="INDICADORES" localSheetId="8" hidden="1">{"'beneficiarios'!$A$1:$C$7"}</definedName>
    <definedName name="INDICADORES" localSheetId="6" hidden="1">{"'beneficiarios'!$A$1:$C$7"}</definedName>
    <definedName name="INDICADORES" localSheetId="7" hidden="1">{"'beneficiarios'!$A$1:$C$7"}</definedName>
    <definedName name="INDICADORES" localSheetId="1" hidden="1">{"'beneficiarios'!$A$1:$C$7"}</definedName>
    <definedName name="INDICADORES" localSheetId="0" hidden="1">{"'beneficiarios'!$A$1:$C$7"}</definedName>
    <definedName name="INDICADORES" localSheetId="5" hidden="1">{"'beneficiarios'!$A$1:$C$7"}</definedName>
    <definedName name="INDICADORES" hidden="1">{"'beneficiarios'!$A$1:$C$7"}</definedName>
    <definedName name="ingresofederales" localSheetId="11" hidden="1">{"'beneficiarios'!$A$1:$C$7"}</definedName>
    <definedName name="ingresofederales" localSheetId="12" hidden="1">{"'beneficiarios'!$A$1:$C$7"}</definedName>
    <definedName name="ingresofederales" localSheetId="8" hidden="1">{"'beneficiarios'!$A$1:$C$7"}</definedName>
    <definedName name="ingresofederales" localSheetId="6" hidden="1">{"'beneficiarios'!$A$1:$C$7"}</definedName>
    <definedName name="ingresofederales" localSheetId="7" hidden="1">{"'beneficiarios'!$A$1:$C$7"}</definedName>
    <definedName name="ingresofederales" localSheetId="1" hidden="1">{"'beneficiarios'!$A$1:$C$7"}</definedName>
    <definedName name="ingresofederales" localSheetId="0" hidden="1">{"'beneficiarios'!$A$1:$C$7"}</definedName>
    <definedName name="ingresofederales" localSheetId="5" hidden="1">{"'beneficiarios'!$A$1:$C$7"}</definedName>
    <definedName name="ingresofederales" hidden="1">{"'beneficiarios'!$A$1:$C$7"}</definedName>
    <definedName name="MUNICIPIOS" localSheetId="11" hidden="1">{"'beneficiarios'!$A$1:$C$7"}</definedName>
    <definedName name="MUNICIPIOS" localSheetId="12" hidden="1">{"'beneficiarios'!$A$1:$C$7"}</definedName>
    <definedName name="MUNICIPIOS" localSheetId="8">[3]IMPORTE!$A$3:$A$53</definedName>
    <definedName name="MUNICIPIOS" localSheetId="7" hidden="1">{"'beneficiarios'!$A$1:$C$7"}</definedName>
    <definedName name="MUNICIPIOS" hidden="1">{"'beneficiarios'!$A$1:$C$7"}</definedName>
    <definedName name="Notas_Fto_1" localSheetId="11">#REF!</definedName>
    <definedName name="Notas_Fto_1" localSheetId="12">#REF!</definedName>
    <definedName name="Notas_Fto_1" localSheetId="8">#REF!</definedName>
    <definedName name="Notas_Fto_1" localSheetId="7">#REF!</definedName>
    <definedName name="Notas_Fto_1" localSheetId="1">#REF!</definedName>
    <definedName name="Notas_Fto_1" localSheetId="0">#REF!</definedName>
    <definedName name="Notas_Fto_1" localSheetId="5">#REF!</definedName>
    <definedName name="Notas_Fto_1">#REF!</definedName>
    <definedName name="Partidas">[4]TECHO!$B$1:$Q$2798</definedName>
    <definedName name="SINAJUSTE" localSheetId="11" hidden="1">{"'beneficiarios'!$A$1:$C$7"}</definedName>
    <definedName name="SINAJUSTE" localSheetId="12" hidden="1">{"'beneficiarios'!$A$1:$C$7"}</definedName>
    <definedName name="SINAJUSTE" localSheetId="8" hidden="1">{"'beneficiarios'!$A$1:$C$7"}</definedName>
    <definedName name="SINAJUSTE" localSheetId="6" hidden="1">{"'beneficiarios'!$A$1:$C$7"}</definedName>
    <definedName name="SINAJUSTE" localSheetId="7" hidden="1">{"'beneficiarios'!$A$1:$C$7"}</definedName>
    <definedName name="SINAJUSTE" localSheetId="1" hidden="1">{"'beneficiarios'!$A$1:$C$7"}</definedName>
    <definedName name="SINAJUSTE" localSheetId="0" hidden="1">{"'beneficiarios'!$A$1:$C$7"}</definedName>
    <definedName name="SINAJUSTE" localSheetId="5" hidden="1">{"'beneficiarios'!$A$1:$C$7"}</definedName>
    <definedName name="SINAJUSTE" hidden="1">{"'beneficiarios'!$A$1:$C$7"}</definedName>
    <definedName name="t" localSheetId="11">#REF!</definedName>
    <definedName name="t" localSheetId="12">#REF!</definedName>
    <definedName name="t" localSheetId="8">#REF!</definedName>
    <definedName name="t" localSheetId="7">#REF!</definedName>
    <definedName name="t" localSheetId="1">#REF!</definedName>
    <definedName name="t" localSheetId="0">#REF!</definedName>
    <definedName name="t" localSheetId="5">#REF!</definedName>
    <definedName name="t">#REF!</definedName>
    <definedName name="_xlnm.Print_Titles" localSheetId="11">'Ajuste 1er Sem'!$1:$3</definedName>
    <definedName name="_xlnm.Print_Titles" localSheetId="3">'COEF Art 14 F I'!$A:$A,'COEF Art 14 F I'!$3:$3</definedName>
    <definedName name="_xlnm.Print_Titles" localSheetId="1">'DIST MES NOVIEMBRE'!$1:$3</definedName>
    <definedName name="TOT" localSheetId="11">#REF!</definedName>
    <definedName name="TOT" localSheetId="12">#REF!</definedName>
    <definedName name="TOT" localSheetId="8">#REF!</definedName>
    <definedName name="TOT" localSheetId="7">#REF!</definedName>
    <definedName name="TOT" localSheetId="1">#REF!</definedName>
    <definedName name="TOT" localSheetId="0">#REF!</definedName>
    <definedName name="TOT" localSheetId="5">#REF!</definedName>
    <definedName name="TOT">#REF!</definedName>
    <definedName name="TOTAL" localSheetId="11">#REF!</definedName>
    <definedName name="TOTAL" localSheetId="12">#REF!</definedName>
    <definedName name="TOTAL" localSheetId="8">#REF!</definedName>
    <definedName name="TOTAL" localSheetId="7">#REF!</definedName>
    <definedName name="TOTAL" localSheetId="1">#REF!</definedName>
    <definedName name="TOTAL" localSheetId="0">#REF!</definedName>
    <definedName name="TOTAL" localSheetId="5">#REF!</definedName>
    <definedName name="TOTAL">#REF!</definedName>
  </definedNames>
  <calcPr calcId="152511"/>
</workbook>
</file>

<file path=xl/calcChain.xml><?xml version="1.0" encoding="utf-8"?>
<calcChain xmlns="http://schemas.openxmlformats.org/spreadsheetml/2006/main">
  <c r="H12" i="41" l="1"/>
  <c r="H11" i="41"/>
  <c r="H10" i="41"/>
  <c r="H9" i="41"/>
  <c r="H8" i="41"/>
  <c r="H7" i="41"/>
  <c r="H6" i="41"/>
  <c r="J58" i="1" l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B53" i="57"/>
  <c r="J46" i="46" l="1"/>
  <c r="J45" i="46"/>
  <c r="J34" i="46"/>
  <c r="J33" i="46"/>
  <c r="J22" i="46"/>
  <c r="J21" i="46"/>
  <c r="J10" i="46"/>
  <c r="J9" i="46"/>
  <c r="J56" i="46"/>
  <c r="J55" i="46"/>
  <c r="J54" i="46"/>
  <c r="J53" i="46"/>
  <c r="J52" i="46"/>
  <c r="J51" i="46"/>
  <c r="J50" i="46"/>
  <c r="J49" i="46"/>
  <c r="J48" i="46"/>
  <c r="J47" i="46"/>
  <c r="J44" i="46"/>
  <c r="J43" i="46"/>
  <c r="J42" i="46"/>
  <c r="J41" i="46"/>
  <c r="J40" i="46"/>
  <c r="J39" i="46"/>
  <c r="J38" i="46"/>
  <c r="J37" i="46"/>
  <c r="J36" i="46"/>
  <c r="J35" i="46"/>
  <c r="J32" i="46"/>
  <c r="J31" i="46"/>
  <c r="J30" i="46"/>
  <c r="J29" i="46"/>
  <c r="J28" i="46"/>
  <c r="J27" i="46"/>
  <c r="J26" i="46"/>
  <c r="J25" i="46"/>
  <c r="J24" i="46"/>
  <c r="J23" i="46"/>
  <c r="J20" i="46"/>
  <c r="J19" i="46"/>
  <c r="J18" i="46"/>
  <c r="J17" i="46"/>
  <c r="J16" i="46"/>
  <c r="J15" i="46"/>
  <c r="J14" i="46"/>
  <c r="J13" i="46"/>
  <c r="J12" i="46"/>
  <c r="J11" i="46"/>
  <c r="J8" i="46"/>
  <c r="J7" i="46"/>
  <c r="J6" i="46"/>
  <c r="H4" i="41" l="1"/>
  <c r="F13" i="41"/>
  <c r="C12" i="41"/>
  <c r="C11" i="41"/>
  <c r="C10" i="41"/>
  <c r="C9" i="41"/>
  <c r="C8" i="41"/>
  <c r="C7" i="41"/>
  <c r="C6" i="41"/>
  <c r="C5" i="41"/>
  <c r="C4" i="41"/>
  <c r="B13" i="43" l="1"/>
  <c r="R59" i="1" l="1"/>
  <c r="D9" i="43" l="1"/>
  <c r="V59" i="1" l="1"/>
  <c r="U59" i="1"/>
  <c r="T59" i="1"/>
  <c r="S59" i="1"/>
  <c r="Q59" i="1"/>
  <c r="P59" i="1"/>
  <c r="O59" i="1"/>
  <c r="N59" i="1"/>
  <c r="F56" i="55" l="1"/>
  <c r="C56" i="55"/>
  <c r="J49" i="55" s="1"/>
  <c r="B56" i="55"/>
  <c r="H55" i="55"/>
  <c r="G55" i="55"/>
  <c r="D55" i="55"/>
  <c r="G54" i="55"/>
  <c r="H54" i="55" s="1"/>
  <c r="D54" i="55"/>
  <c r="G53" i="55"/>
  <c r="H53" i="55" s="1"/>
  <c r="D53" i="55"/>
  <c r="H52" i="55"/>
  <c r="G52" i="55"/>
  <c r="D52" i="55"/>
  <c r="G51" i="55"/>
  <c r="H51" i="55" s="1"/>
  <c r="D51" i="55"/>
  <c r="G50" i="55"/>
  <c r="H50" i="55" s="1"/>
  <c r="D50" i="55"/>
  <c r="H49" i="55"/>
  <c r="G49" i="55"/>
  <c r="D49" i="55"/>
  <c r="J48" i="55"/>
  <c r="G48" i="55"/>
  <c r="H48" i="55" s="1"/>
  <c r="D48" i="55"/>
  <c r="H47" i="55"/>
  <c r="G47" i="55"/>
  <c r="D47" i="55"/>
  <c r="H46" i="55"/>
  <c r="G46" i="55"/>
  <c r="D46" i="55"/>
  <c r="G45" i="55"/>
  <c r="H45" i="55" s="1"/>
  <c r="D45" i="55"/>
  <c r="G44" i="55"/>
  <c r="H44" i="55" s="1"/>
  <c r="D44" i="55"/>
  <c r="H43" i="55"/>
  <c r="G43" i="55"/>
  <c r="D43" i="55"/>
  <c r="G42" i="55"/>
  <c r="H42" i="55" s="1"/>
  <c r="D42" i="55"/>
  <c r="G41" i="55"/>
  <c r="H41" i="55" s="1"/>
  <c r="D41" i="55"/>
  <c r="H40" i="55"/>
  <c r="G40" i="55"/>
  <c r="D40" i="55"/>
  <c r="G39" i="55"/>
  <c r="H39" i="55" s="1"/>
  <c r="D39" i="55"/>
  <c r="H38" i="55"/>
  <c r="G38" i="55"/>
  <c r="D38" i="55"/>
  <c r="H37" i="55"/>
  <c r="G37" i="55"/>
  <c r="D37" i="55"/>
  <c r="G36" i="55"/>
  <c r="H36" i="55" s="1"/>
  <c r="D36" i="55"/>
  <c r="H35" i="55"/>
  <c r="G35" i="55"/>
  <c r="D35" i="55"/>
  <c r="H34" i="55"/>
  <c r="G34" i="55"/>
  <c r="D34" i="55"/>
  <c r="G33" i="55"/>
  <c r="H33" i="55" s="1"/>
  <c r="D33" i="55"/>
  <c r="G32" i="55"/>
  <c r="H32" i="55" s="1"/>
  <c r="D32" i="55"/>
  <c r="H31" i="55"/>
  <c r="G31" i="55"/>
  <c r="D31" i="55"/>
  <c r="G30" i="55"/>
  <c r="H30" i="55" s="1"/>
  <c r="D30" i="55"/>
  <c r="G29" i="55"/>
  <c r="H29" i="55" s="1"/>
  <c r="D29" i="55"/>
  <c r="H28" i="55"/>
  <c r="G28" i="55"/>
  <c r="D28" i="55"/>
  <c r="G27" i="55"/>
  <c r="H27" i="55" s="1"/>
  <c r="D27" i="55"/>
  <c r="G26" i="55"/>
  <c r="H26" i="55" s="1"/>
  <c r="D26" i="55"/>
  <c r="H25" i="55"/>
  <c r="G25" i="55"/>
  <c r="D25" i="55"/>
  <c r="J24" i="55"/>
  <c r="G24" i="55"/>
  <c r="H24" i="55" s="1"/>
  <c r="D24" i="55"/>
  <c r="H23" i="55"/>
  <c r="G23" i="55"/>
  <c r="D23" i="55"/>
  <c r="H22" i="55"/>
  <c r="G22" i="55"/>
  <c r="D22" i="55"/>
  <c r="G21" i="55"/>
  <c r="H21" i="55" s="1"/>
  <c r="D21" i="55"/>
  <c r="G20" i="55"/>
  <c r="H20" i="55" s="1"/>
  <c r="D20" i="55"/>
  <c r="H19" i="55"/>
  <c r="G19" i="55"/>
  <c r="D19" i="55"/>
  <c r="G18" i="55"/>
  <c r="H18" i="55" s="1"/>
  <c r="D18" i="55"/>
  <c r="G17" i="55"/>
  <c r="H17" i="55" s="1"/>
  <c r="D17" i="55"/>
  <c r="H16" i="55"/>
  <c r="G16" i="55"/>
  <c r="D16" i="55"/>
  <c r="G15" i="55"/>
  <c r="H15" i="55" s="1"/>
  <c r="D15" i="55"/>
  <c r="G14" i="55"/>
  <c r="H14" i="55" s="1"/>
  <c r="D14" i="55"/>
  <c r="J13" i="55"/>
  <c r="H13" i="55"/>
  <c r="G13" i="55"/>
  <c r="D13" i="55"/>
  <c r="J12" i="55"/>
  <c r="G12" i="55"/>
  <c r="H12" i="55" s="1"/>
  <c r="D12" i="55"/>
  <c r="H11" i="55"/>
  <c r="G11" i="55"/>
  <c r="D11" i="55"/>
  <c r="H10" i="55"/>
  <c r="G10" i="55"/>
  <c r="D10" i="55"/>
  <c r="G9" i="55"/>
  <c r="H9" i="55" s="1"/>
  <c r="D9" i="55"/>
  <c r="G8" i="55"/>
  <c r="H8" i="55" s="1"/>
  <c r="D8" i="55"/>
  <c r="H7" i="55"/>
  <c r="G7" i="55"/>
  <c r="D7" i="55"/>
  <c r="G6" i="55"/>
  <c r="H6" i="55" s="1"/>
  <c r="D6" i="55"/>
  <c r="G5" i="55"/>
  <c r="H5" i="55" s="1"/>
  <c r="D5" i="55"/>
  <c r="J36" i="55" l="1"/>
  <c r="I33" i="55"/>
  <c r="E34" i="55"/>
  <c r="E43" i="55"/>
  <c r="I13" i="55"/>
  <c r="I15" i="55"/>
  <c r="I30" i="55"/>
  <c r="I39" i="55"/>
  <c r="E54" i="55"/>
  <c r="I9" i="55"/>
  <c r="H56" i="55"/>
  <c r="I5" i="55" s="1"/>
  <c r="I34" i="55"/>
  <c r="I6" i="55"/>
  <c r="I53" i="55"/>
  <c r="I25" i="55"/>
  <c r="E40" i="55"/>
  <c r="I54" i="55"/>
  <c r="E12" i="55"/>
  <c r="I21" i="55"/>
  <c r="I16" i="55"/>
  <c r="I49" i="55"/>
  <c r="I18" i="55"/>
  <c r="I24" i="55"/>
  <c r="I26" i="55"/>
  <c r="I31" i="55"/>
  <c r="I8" i="55"/>
  <c r="I17" i="55"/>
  <c r="I55" i="55"/>
  <c r="I27" i="55"/>
  <c r="I32" i="55"/>
  <c r="I41" i="55"/>
  <c r="I46" i="55"/>
  <c r="J35" i="55"/>
  <c r="J47" i="55"/>
  <c r="D56" i="55"/>
  <c r="E28" i="55" s="1"/>
  <c r="J10" i="55"/>
  <c r="J22" i="55"/>
  <c r="J34" i="55"/>
  <c r="J46" i="55"/>
  <c r="J21" i="55"/>
  <c r="J8" i="55"/>
  <c r="J20" i="55"/>
  <c r="J32" i="55"/>
  <c r="J44" i="55"/>
  <c r="J11" i="55"/>
  <c r="J23" i="55"/>
  <c r="J33" i="55"/>
  <c r="J45" i="55"/>
  <c r="J7" i="55"/>
  <c r="J19" i="55"/>
  <c r="J31" i="55"/>
  <c r="J43" i="55"/>
  <c r="J55" i="55"/>
  <c r="J6" i="55"/>
  <c r="J18" i="55"/>
  <c r="J30" i="55"/>
  <c r="J42" i="55"/>
  <c r="J54" i="55"/>
  <c r="J9" i="55"/>
  <c r="J5" i="55"/>
  <c r="J17" i="55"/>
  <c r="J29" i="55"/>
  <c r="J41" i="55"/>
  <c r="J53" i="55"/>
  <c r="J16" i="55"/>
  <c r="J28" i="55"/>
  <c r="J40" i="55"/>
  <c r="J52" i="55"/>
  <c r="J15" i="55"/>
  <c r="J27" i="55"/>
  <c r="J39" i="55"/>
  <c r="J51" i="55"/>
  <c r="J14" i="55"/>
  <c r="J26" i="55"/>
  <c r="J38" i="55"/>
  <c r="J50" i="55"/>
  <c r="J25" i="55"/>
  <c r="J37" i="55"/>
  <c r="I50" i="55" l="1"/>
  <c r="I12" i="55"/>
  <c r="I52" i="55"/>
  <c r="I28" i="55"/>
  <c r="I22" i="55"/>
  <c r="I7" i="55"/>
  <c r="I10" i="55"/>
  <c r="I42" i="55"/>
  <c r="I37" i="55"/>
  <c r="I40" i="55"/>
  <c r="I20" i="55"/>
  <c r="I36" i="55"/>
  <c r="I48" i="55"/>
  <c r="I44" i="55"/>
  <c r="E22" i="55"/>
  <c r="E42" i="55"/>
  <c r="E49" i="55"/>
  <c r="E31" i="55"/>
  <c r="E25" i="55"/>
  <c r="E24" i="55"/>
  <c r="E37" i="55"/>
  <c r="E16" i="55"/>
  <c r="E18" i="55"/>
  <c r="I51" i="55"/>
  <c r="E7" i="55"/>
  <c r="I19" i="55"/>
  <c r="I43" i="55"/>
  <c r="E10" i="55"/>
  <c r="I14" i="55"/>
  <c r="E15" i="55"/>
  <c r="E27" i="55"/>
  <c r="I45" i="55"/>
  <c r="I29" i="55"/>
  <c r="J56" i="55"/>
  <c r="E45" i="55"/>
  <c r="E33" i="55"/>
  <c r="E21" i="55"/>
  <c r="E9" i="55"/>
  <c r="E47" i="55"/>
  <c r="E35" i="55"/>
  <c r="E23" i="55"/>
  <c r="E11" i="55"/>
  <c r="E36" i="55"/>
  <c r="E14" i="55"/>
  <c r="E50" i="55"/>
  <c r="E38" i="55"/>
  <c r="E26" i="55"/>
  <c r="E53" i="55"/>
  <c r="E20" i="55"/>
  <c r="E41" i="55"/>
  <c r="E44" i="55"/>
  <c r="E32" i="55"/>
  <c r="E29" i="55"/>
  <c r="E17" i="55"/>
  <c r="E5" i="55"/>
  <c r="E8" i="55"/>
  <c r="E51" i="55"/>
  <c r="E55" i="55"/>
  <c r="E39" i="55"/>
  <c r="E6" i="55"/>
  <c r="E52" i="55"/>
  <c r="E13" i="55"/>
  <c r="E30" i="55"/>
  <c r="E46" i="55"/>
  <c r="I38" i="55"/>
  <c r="I47" i="55"/>
  <c r="I11" i="55"/>
  <c r="I35" i="55"/>
  <c r="I23" i="55"/>
  <c r="E48" i="55"/>
  <c r="E19" i="55"/>
  <c r="E56" i="55" l="1"/>
  <c r="I56" i="55"/>
  <c r="E12" i="41" l="1"/>
  <c r="E11" i="41"/>
  <c r="E10" i="41"/>
  <c r="E9" i="41"/>
  <c r="E8" i="41"/>
  <c r="E7" i="41"/>
  <c r="E5" i="41"/>
  <c r="E4" i="41"/>
  <c r="E6" i="41" l="1"/>
  <c r="E13" i="41" s="1"/>
  <c r="C58" i="54"/>
  <c r="B58" i="54"/>
  <c r="D58" i="54" l="1"/>
  <c r="P3" i="55"/>
  <c r="H13" i="41" l="1"/>
  <c r="O3" i="55"/>
  <c r="M3" i="55"/>
  <c r="N3" i="55"/>
  <c r="D59" i="53"/>
  <c r="E57" i="53" s="1"/>
  <c r="B59" i="53"/>
  <c r="C58" i="53" s="1"/>
  <c r="C56" i="53"/>
  <c r="C54" i="53"/>
  <c r="E53" i="53"/>
  <c r="E52" i="53"/>
  <c r="C52" i="53"/>
  <c r="E51" i="53"/>
  <c r="C51" i="53"/>
  <c r="E50" i="53"/>
  <c r="C50" i="53"/>
  <c r="E49" i="53"/>
  <c r="E48" i="53"/>
  <c r="C48" i="53"/>
  <c r="E47" i="53"/>
  <c r="C47" i="53"/>
  <c r="E46" i="53"/>
  <c r="C46" i="53"/>
  <c r="E45" i="53"/>
  <c r="E44" i="53"/>
  <c r="C44" i="53"/>
  <c r="E43" i="53"/>
  <c r="C43" i="53"/>
  <c r="E42" i="53"/>
  <c r="C42" i="53"/>
  <c r="E41" i="53"/>
  <c r="E40" i="53"/>
  <c r="C40" i="53"/>
  <c r="E39" i="53"/>
  <c r="C39" i="53"/>
  <c r="E38" i="53"/>
  <c r="C38" i="53"/>
  <c r="E37" i="53"/>
  <c r="E36" i="53"/>
  <c r="C36" i="53"/>
  <c r="E35" i="53"/>
  <c r="C35" i="53"/>
  <c r="E34" i="53"/>
  <c r="C34" i="53"/>
  <c r="E33" i="53"/>
  <c r="E32" i="53"/>
  <c r="C32" i="53"/>
  <c r="E31" i="53"/>
  <c r="C31" i="53"/>
  <c r="E30" i="53"/>
  <c r="C30" i="53"/>
  <c r="E29" i="53"/>
  <c r="E28" i="53"/>
  <c r="C28" i="53"/>
  <c r="E27" i="53"/>
  <c r="C27" i="53"/>
  <c r="E26" i="53"/>
  <c r="C26" i="53"/>
  <c r="E25" i="53"/>
  <c r="E24" i="53"/>
  <c r="C24" i="53"/>
  <c r="E23" i="53"/>
  <c r="C23" i="53"/>
  <c r="E22" i="53"/>
  <c r="C22" i="53"/>
  <c r="E21" i="53"/>
  <c r="E20" i="53"/>
  <c r="C20" i="53"/>
  <c r="E19" i="53"/>
  <c r="C19" i="53"/>
  <c r="E18" i="53"/>
  <c r="C18" i="53"/>
  <c r="E17" i="53"/>
  <c r="E16" i="53"/>
  <c r="C16" i="53"/>
  <c r="E15" i="53"/>
  <c r="C15" i="53"/>
  <c r="E14" i="53"/>
  <c r="C14" i="53"/>
  <c r="E13" i="53"/>
  <c r="E12" i="53"/>
  <c r="C12" i="53"/>
  <c r="E11" i="53"/>
  <c r="C11" i="53"/>
  <c r="E10" i="53"/>
  <c r="C10" i="53"/>
  <c r="E9" i="53"/>
  <c r="E8" i="53"/>
  <c r="C8" i="53"/>
  <c r="O38" i="55" l="1"/>
  <c r="O22" i="55"/>
  <c r="O24" i="55"/>
  <c r="O29" i="55"/>
  <c r="O53" i="55"/>
  <c r="O20" i="55"/>
  <c r="O6" i="55"/>
  <c r="O36" i="55"/>
  <c r="O49" i="55"/>
  <c r="O10" i="55"/>
  <c r="O13" i="55"/>
  <c r="O34" i="55"/>
  <c r="O12" i="55"/>
  <c r="O18" i="55"/>
  <c r="O39" i="55"/>
  <c r="O7" i="55"/>
  <c r="O48" i="55"/>
  <c r="O47" i="55"/>
  <c r="O8" i="55"/>
  <c r="O43" i="55"/>
  <c r="O35" i="55"/>
  <c r="O40" i="55"/>
  <c r="O26" i="55"/>
  <c r="O41" i="55"/>
  <c r="O11" i="55"/>
  <c r="O37" i="55"/>
  <c r="O21" i="55"/>
  <c r="O15" i="55"/>
  <c r="O52" i="55"/>
  <c r="O16" i="55"/>
  <c r="O46" i="55"/>
  <c r="O19" i="55"/>
  <c r="O31" i="55"/>
  <c r="O25" i="55"/>
  <c r="O23" i="55"/>
  <c r="O45" i="55"/>
  <c r="O9" i="55"/>
  <c r="O14" i="55"/>
  <c r="O28" i="55"/>
  <c r="O55" i="55"/>
  <c r="O27" i="55"/>
  <c r="O50" i="55"/>
  <c r="O32" i="55"/>
  <c r="O5" i="55"/>
  <c r="O51" i="55"/>
  <c r="O44" i="55"/>
  <c r="O54" i="55"/>
  <c r="O42" i="55"/>
  <c r="O30" i="55"/>
  <c r="O33" i="55"/>
  <c r="O17" i="55"/>
  <c r="N30" i="55"/>
  <c r="N41" i="55"/>
  <c r="N55" i="55"/>
  <c r="N9" i="55"/>
  <c r="N53" i="55"/>
  <c r="N49" i="55"/>
  <c r="N32" i="55"/>
  <c r="N27" i="55"/>
  <c r="N8" i="55"/>
  <c r="N26" i="55"/>
  <c r="N39" i="55"/>
  <c r="N33" i="55"/>
  <c r="N18" i="55"/>
  <c r="N6" i="55"/>
  <c r="N17" i="55"/>
  <c r="N25" i="55"/>
  <c r="N14" i="55"/>
  <c r="N34" i="55"/>
  <c r="N13" i="55"/>
  <c r="N31" i="55"/>
  <c r="N24" i="55"/>
  <c r="N16" i="55"/>
  <c r="N15" i="55"/>
  <c r="N54" i="55"/>
  <c r="N21" i="55"/>
  <c r="N46" i="55"/>
  <c r="N5" i="55"/>
  <c r="N48" i="55"/>
  <c r="N50" i="55"/>
  <c r="N19" i="55"/>
  <c r="N22" i="55"/>
  <c r="N51" i="55"/>
  <c r="N47" i="55"/>
  <c r="N38" i="55"/>
  <c r="N43" i="55"/>
  <c r="N37" i="55"/>
  <c r="N40" i="55"/>
  <c r="N12" i="55"/>
  <c r="N36" i="55"/>
  <c r="N20" i="55"/>
  <c r="N35" i="55"/>
  <c r="N23" i="55"/>
  <c r="N44" i="55"/>
  <c r="N28" i="55"/>
  <c r="N10" i="55"/>
  <c r="N29" i="55"/>
  <c r="N52" i="55"/>
  <c r="N42" i="55"/>
  <c r="N11" i="55"/>
  <c r="N7" i="55"/>
  <c r="N45" i="55"/>
  <c r="M12" i="55"/>
  <c r="M43" i="55"/>
  <c r="M40" i="55"/>
  <c r="M54" i="55"/>
  <c r="M34" i="55"/>
  <c r="M28" i="55"/>
  <c r="M23" i="55"/>
  <c r="M6" i="55"/>
  <c r="M38" i="55"/>
  <c r="M29" i="55"/>
  <c r="M11" i="55"/>
  <c r="M33" i="55"/>
  <c r="M8" i="55"/>
  <c r="M50" i="55"/>
  <c r="M14" i="55"/>
  <c r="M19" i="55"/>
  <c r="M10" i="55"/>
  <c r="M52" i="55"/>
  <c r="M45" i="55"/>
  <c r="M42" i="55"/>
  <c r="M49" i="55"/>
  <c r="M30" i="55"/>
  <c r="M51" i="55"/>
  <c r="M37" i="55"/>
  <c r="M48" i="55"/>
  <c r="M16" i="55"/>
  <c r="M36" i="55"/>
  <c r="M5" i="55"/>
  <c r="M7" i="55"/>
  <c r="M35" i="55"/>
  <c r="M47" i="55"/>
  <c r="M18" i="55"/>
  <c r="M39" i="55"/>
  <c r="M13" i="55"/>
  <c r="M20" i="55"/>
  <c r="M9" i="55"/>
  <c r="M44" i="55"/>
  <c r="M41" i="55"/>
  <c r="M26" i="55"/>
  <c r="M22" i="55"/>
  <c r="P22" i="55" s="1"/>
  <c r="M21" i="55"/>
  <c r="M15" i="55"/>
  <c r="M17" i="55"/>
  <c r="M31" i="55"/>
  <c r="M27" i="55"/>
  <c r="M24" i="55"/>
  <c r="M55" i="55"/>
  <c r="M46" i="55"/>
  <c r="M32" i="55"/>
  <c r="M53" i="55"/>
  <c r="M25" i="55"/>
  <c r="C9" i="53"/>
  <c r="C13" i="53"/>
  <c r="C17" i="53"/>
  <c r="C21" i="53"/>
  <c r="C25" i="53"/>
  <c r="C29" i="53"/>
  <c r="C33" i="53"/>
  <c r="C37" i="53"/>
  <c r="C41" i="53"/>
  <c r="C45" i="53"/>
  <c r="C49" i="53"/>
  <c r="C53" i="53"/>
  <c r="C57" i="53"/>
  <c r="E56" i="53"/>
  <c r="E59" i="53"/>
  <c r="C55" i="53"/>
  <c r="E55" i="53"/>
  <c r="E58" i="53"/>
  <c r="E54" i="53"/>
  <c r="P48" i="55" l="1"/>
  <c r="P52" i="55"/>
  <c r="P15" i="55"/>
  <c r="P30" i="55"/>
  <c r="P53" i="55"/>
  <c r="P39" i="55"/>
  <c r="P35" i="55"/>
  <c r="P19" i="55"/>
  <c r="P14" i="55"/>
  <c r="P43" i="55"/>
  <c r="P24" i="55"/>
  <c r="P28" i="55"/>
  <c r="P54" i="55"/>
  <c r="P26" i="55"/>
  <c r="P36" i="55"/>
  <c r="P16" i="55"/>
  <c r="P50" i="55"/>
  <c r="P13" i="55"/>
  <c r="P27" i="55"/>
  <c r="P38" i="55"/>
  <c r="P17" i="55"/>
  <c r="P21" i="55"/>
  <c r="P7" i="55"/>
  <c r="P10" i="55"/>
  <c r="P34" i="55"/>
  <c r="P41" i="55"/>
  <c r="O56" i="55"/>
  <c r="P5" i="55"/>
  <c r="M56" i="55"/>
  <c r="P44" i="55"/>
  <c r="P8" i="55"/>
  <c r="P46" i="55"/>
  <c r="P9" i="55"/>
  <c r="P37" i="55"/>
  <c r="P33" i="55"/>
  <c r="N56" i="55"/>
  <c r="P25" i="55"/>
  <c r="P32" i="55"/>
  <c r="P55" i="55"/>
  <c r="P20" i="55"/>
  <c r="P51" i="55"/>
  <c r="P11" i="55"/>
  <c r="P12" i="55"/>
  <c r="P49" i="55"/>
  <c r="P42" i="55"/>
  <c r="P31" i="55"/>
  <c r="P18" i="55"/>
  <c r="P6" i="55"/>
  <c r="P29" i="55"/>
  <c r="P40" i="55"/>
  <c r="P47" i="55"/>
  <c r="P45" i="55"/>
  <c r="P23" i="55"/>
  <c r="C59" i="53"/>
  <c r="I57" i="28"/>
  <c r="I56" i="28"/>
  <c r="I55" i="28"/>
  <c r="I54" i="28"/>
  <c r="I53" i="28"/>
  <c r="I52" i="28"/>
  <c r="I51" i="28"/>
  <c r="I50" i="28"/>
  <c r="I49" i="28"/>
  <c r="I48" i="28"/>
  <c r="I47" i="28"/>
  <c r="I46" i="28"/>
  <c r="I45" i="28"/>
  <c r="I44" i="28"/>
  <c r="I43" i="28"/>
  <c r="I42" i="28"/>
  <c r="I41" i="28"/>
  <c r="I40" i="28"/>
  <c r="I39" i="28"/>
  <c r="I38" i="28"/>
  <c r="I37" i="28"/>
  <c r="I36" i="28"/>
  <c r="I35" i="28"/>
  <c r="I34" i="28"/>
  <c r="I33" i="28"/>
  <c r="I32" i="28"/>
  <c r="I31" i="28"/>
  <c r="I30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I8" i="28"/>
  <c r="I58" i="28" s="1"/>
  <c r="I7" i="28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E4" i="50"/>
  <c r="D4" i="50"/>
  <c r="C4" i="50"/>
  <c r="B57" i="47"/>
  <c r="B58" i="47" s="1"/>
  <c r="W53" i="49"/>
  <c r="U53" i="49"/>
  <c r="T53" i="49"/>
  <c r="S53" i="49"/>
  <c r="R53" i="49"/>
  <c r="Q53" i="49"/>
  <c r="O53" i="49"/>
  <c r="N53" i="49"/>
  <c r="V52" i="49"/>
  <c r="P52" i="49"/>
  <c r="J52" i="49"/>
  <c r="I52" i="49"/>
  <c r="H52" i="49"/>
  <c r="G52" i="49"/>
  <c r="F52" i="49"/>
  <c r="E52" i="49"/>
  <c r="D52" i="49"/>
  <c r="C52" i="49"/>
  <c r="B52" i="49"/>
  <c r="V51" i="49"/>
  <c r="P51" i="49"/>
  <c r="J51" i="49"/>
  <c r="I51" i="49"/>
  <c r="H51" i="49"/>
  <c r="G51" i="49"/>
  <c r="F51" i="49"/>
  <c r="E51" i="49"/>
  <c r="D51" i="49"/>
  <c r="C51" i="49"/>
  <c r="B51" i="49"/>
  <c r="V50" i="49"/>
  <c r="P50" i="49"/>
  <c r="J50" i="49"/>
  <c r="I50" i="49"/>
  <c r="H50" i="49"/>
  <c r="G50" i="49"/>
  <c r="F50" i="49"/>
  <c r="E50" i="49"/>
  <c r="D50" i="49"/>
  <c r="C50" i="49"/>
  <c r="B50" i="49"/>
  <c r="V49" i="49"/>
  <c r="P49" i="49"/>
  <c r="J49" i="49"/>
  <c r="I49" i="49"/>
  <c r="H49" i="49"/>
  <c r="G49" i="49"/>
  <c r="F49" i="49"/>
  <c r="E49" i="49"/>
  <c r="D49" i="49"/>
  <c r="C49" i="49"/>
  <c r="B49" i="49"/>
  <c r="V48" i="49"/>
  <c r="P48" i="49"/>
  <c r="J48" i="49"/>
  <c r="I48" i="49"/>
  <c r="H48" i="49"/>
  <c r="G48" i="49"/>
  <c r="F48" i="49"/>
  <c r="E48" i="49"/>
  <c r="D48" i="49"/>
  <c r="C48" i="49"/>
  <c r="B48" i="49"/>
  <c r="V47" i="49"/>
  <c r="P47" i="49"/>
  <c r="J47" i="49"/>
  <c r="I47" i="49"/>
  <c r="H47" i="49"/>
  <c r="G47" i="49"/>
  <c r="F47" i="49"/>
  <c r="E47" i="49"/>
  <c r="D47" i="49"/>
  <c r="C47" i="49"/>
  <c r="B47" i="49"/>
  <c r="V46" i="49"/>
  <c r="P46" i="49"/>
  <c r="J46" i="49"/>
  <c r="I46" i="49"/>
  <c r="H46" i="49"/>
  <c r="G46" i="49"/>
  <c r="F46" i="49"/>
  <c r="E46" i="49"/>
  <c r="D46" i="49"/>
  <c r="C46" i="49"/>
  <c r="B46" i="49"/>
  <c r="V45" i="49"/>
  <c r="P45" i="49"/>
  <c r="J45" i="49"/>
  <c r="I45" i="49"/>
  <c r="H45" i="49"/>
  <c r="G45" i="49"/>
  <c r="F45" i="49"/>
  <c r="E45" i="49"/>
  <c r="D45" i="49"/>
  <c r="C45" i="49"/>
  <c r="B45" i="49"/>
  <c r="V44" i="49"/>
  <c r="P44" i="49"/>
  <c r="J44" i="49"/>
  <c r="I44" i="49"/>
  <c r="H44" i="49"/>
  <c r="G44" i="49"/>
  <c r="F44" i="49"/>
  <c r="E44" i="49"/>
  <c r="D44" i="49"/>
  <c r="C44" i="49"/>
  <c r="B44" i="49"/>
  <c r="V43" i="49"/>
  <c r="P43" i="49"/>
  <c r="J43" i="49"/>
  <c r="I43" i="49"/>
  <c r="H43" i="49"/>
  <c r="G43" i="49"/>
  <c r="F43" i="49"/>
  <c r="E43" i="49"/>
  <c r="D43" i="49"/>
  <c r="C43" i="49"/>
  <c r="B43" i="49"/>
  <c r="V42" i="49"/>
  <c r="P42" i="49"/>
  <c r="J42" i="49"/>
  <c r="I42" i="49"/>
  <c r="H42" i="49"/>
  <c r="G42" i="49"/>
  <c r="F42" i="49"/>
  <c r="E42" i="49"/>
  <c r="D42" i="49"/>
  <c r="C42" i="49"/>
  <c r="B42" i="49"/>
  <c r="V41" i="49"/>
  <c r="P41" i="49"/>
  <c r="J41" i="49"/>
  <c r="I41" i="49"/>
  <c r="H41" i="49"/>
  <c r="G41" i="49"/>
  <c r="F41" i="49"/>
  <c r="E41" i="49"/>
  <c r="D41" i="49"/>
  <c r="C41" i="49"/>
  <c r="B41" i="49"/>
  <c r="V40" i="49"/>
  <c r="J40" i="49"/>
  <c r="I40" i="49"/>
  <c r="H40" i="49"/>
  <c r="G40" i="49"/>
  <c r="F40" i="49"/>
  <c r="E40" i="49"/>
  <c r="D40" i="49"/>
  <c r="C40" i="49"/>
  <c r="B40" i="49"/>
  <c r="V39" i="49"/>
  <c r="P39" i="49"/>
  <c r="J39" i="49"/>
  <c r="I39" i="49"/>
  <c r="H39" i="49"/>
  <c r="G39" i="49"/>
  <c r="F39" i="49"/>
  <c r="E39" i="49"/>
  <c r="D39" i="49"/>
  <c r="C39" i="49"/>
  <c r="B39" i="49"/>
  <c r="V38" i="49"/>
  <c r="P38" i="49"/>
  <c r="J38" i="49"/>
  <c r="I38" i="49"/>
  <c r="H38" i="49"/>
  <c r="G38" i="49"/>
  <c r="F38" i="49"/>
  <c r="E38" i="49"/>
  <c r="D38" i="49"/>
  <c r="C38" i="49"/>
  <c r="B38" i="49"/>
  <c r="V37" i="49"/>
  <c r="P37" i="49"/>
  <c r="J37" i="49"/>
  <c r="I37" i="49"/>
  <c r="H37" i="49"/>
  <c r="G37" i="49"/>
  <c r="F37" i="49"/>
  <c r="E37" i="49"/>
  <c r="D37" i="49"/>
  <c r="C37" i="49"/>
  <c r="B37" i="49"/>
  <c r="V36" i="49"/>
  <c r="P36" i="49"/>
  <c r="J36" i="49"/>
  <c r="I36" i="49"/>
  <c r="H36" i="49"/>
  <c r="G36" i="49"/>
  <c r="F36" i="49"/>
  <c r="E36" i="49"/>
  <c r="D36" i="49"/>
  <c r="C36" i="49"/>
  <c r="B36" i="49"/>
  <c r="V35" i="49"/>
  <c r="P35" i="49"/>
  <c r="J35" i="49"/>
  <c r="I35" i="49"/>
  <c r="H35" i="49"/>
  <c r="G35" i="49"/>
  <c r="F35" i="49"/>
  <c r="E35" i="49"/>
  <c r="D35" i="49"/>
  <c r="C35" i="49"/>
  <c r="B35" i="49"/>
  <c r="V34" i="49"/>
  <c r="P34" i="49"/>
  <c r="J34" i="49"/>
  <c r="I34" i="49"/>
  <c r="H34" i="49"/>
  <c r="G34" i="49"/>
  <c r="F34" i="49"/>
  <c r="E34" i="49"/>
  <c r="D34" i="49"/>
  <c r="C34" i="49"/>
  <c r="B34" i="49"/>
  <c r="V33" i="49"/>
  <c r="P33" i="49"/>
  <c r="J33" i="49"/>
  <c r="I33" i="49"/>
  <c r="H33" i="49"/>
  <c r="G33" i="49"/>
  <c r="F33" i="49"/>
  <c r="E33" i="49"/>
  <c r="D33" i="49"/>
  <c r="C33" i="49"/>
  <c r="B33" i="49"/>
  <c r="V32" i="49"/>
  <c r="J32" i="49"/>
  <c r="I32" i="49"/>
  <c r="H32" i="49"/>
  <c r="G32" i="49"/>
  <c r="F32" i="49"/>
  <c r="E32" i="49"/>
  <c r="D32" i="49"/>
  <c r="C32" i="49"/>
  <c r="B32" i="49"/>
  <c r="V31" i="49"/>
  <c r="P31" i="49"/>
  <c r="J31" i="49"/>
  <c r="I31" i="49"/>
  <c r="H31" i="49"/>
  <c r="G31" i="49"/>
  <c r="F31" i="49"/>
  <c r="E31" i="49"/>
  <c r="D31" i="49"/>
  <c r="C31" i="49"/>
  <c r="B31" i="49"/>
  <c r="V30" i="49"/>
  <c r="P30" i="49"/>
  <c r="J30" i="49"/>
  <c r="I30" i="49"/>
  <c r="H30" i="49"/>
  <c r="G30" i="49"/>
  <c r="F30" i="49"/>
  <c r="E30" i="49"/>
  <c r="D30" i="49"/>
  <c r="C30" i="49"/>
  <c r="B30" i="49"/>
  <c r="V29" i="49"/>
  <c r="P29" i="49"/>
  <c r="J29" i="49"/>
  <c r="I29" i="49"/>
  <c r="H29" i="49"/>
  <c r="G29" i="49"/>
  <c r="F29" i="49"/>
  <c r="E29" i="49"/>
  <c r="D29" i="49"/>
  <c r="C29" i="49"/>
  <c r="B29" i="49"/>
  <c r="V28" i="49"/>
  <c r="P28" i="49"/>
  <c r="J28" i="49"/>
  <c r="I28" i="49"/>
  <c r="H28" i="49"/>
  <c r="G28" i="49"/>
  <c r="F28" i="49"/>
  <c r="E28" i="49"/>
  <c r="D28" i="49"/>
  <c r="C28" i="49"/>
  <c r="B28" i="49"/>
  <c r="V27" i="49"/>
  <c r="P27" i="49"/>
  <c r="J27" i="49"/>
  <c r="I27" i="49"/>
  <c r="H27" i="49"/>
  <c r="G27" i="49"/>
  <c r="F27" i="49"/>
  <c r="E27" i="49"/>
  <c r="D27" i="49"/>
  <c r="C27" i="49"/>
  <c r="B27" i="49"/>
  <c r="V26" i="49"/>
  <c r="P26" i="49"/>
  <c r="J26" i="49"/>
  <c r="I26" i="49"/>
  <c r="H26" i="49"/>
  <c r="G26" i="49"/>
  <c r="F26" i="49"/>
  <c r="E26" i="49"/>
  <c r="D26" i="49"/>
  <c r="C26" i="49"/>
  <c r="B26" i="49"/>
  <c r="V25" i="49"/>
  <c r="P25" i="49"/>
  <c r="J25" i="49"/>
  <c r="I25" i="49"/>
  <c r="H25" i="49"/>
  <c r="G25" i="49"/>
  <c r="F25" i="49"/>
  <c r="E25" i="49"/>
  <c r="D25" i="49"/>
  <c r="C25" i="49"/>
  <c r="B25" i="49"/>
  <c r="V24" i="49"/>
  <c r="J24" i="49"/>
  <c r="I24" i="49"/>
  <c r="H24" i="49"/>
  <c r="G24" i="49"/>
  <c r="F24" i="49"/>
  <c r="E24" i="49"/>
  <c r="D24" i="49"/>
  <c r="C24" i="49"/>
  <c r="B24" i="49"/>
  <c r="V23" i="49"/>
  <c r="P23" i="49"/>
  <c r="J23" i="49"/>
  <c r="I23" i="49"/>
  <c r="H23" i="49"/>
  <c r="G23" i="49"/>
  <c r="F23" i="49"/>
  <c r="E23" i="49"/>
  <c r="D23" i="49"/>
  <c r="C23" i="49"/>
  <c r="B23" i="49"/>
  <c r="V22" i="49"/>
  <c r="P22" i="49"/>
  <c r="J22" i="49"/>
  <c r="I22" i="49"/>
  <c r="H22" i="49"/>
  <c r="G22" i="49"/>
  <c r="F22" i="49"/>
  <c r="E22" i="49"/>
  <c r="D22" i="49"/>
  <c r="C22" i="49"/>
  <c r="B22" i="49"/>
  <c r="V21" i="49"/>
  <c r="P21" i="49"/>
  <c r="J21" i="49"/>
  <c r="I21" i="49"/>
  <c r="H21" i="49"/>
  <c r="G21" i="49"/>
  <c r="F21" i="49"/>
  <c r="E21" i="49"/>
  <c r="D21" i="49"/>
  <c r="C21" i="49"/>
  <c r="B21" i="49"/>
  <c r="V20" i="49"/>
  <c r="P20" i="49"/>
  <c r="J20" i="49"/>
  <c r="I20" i="49"/>
  <c r="H20" i="49"/>
  <c r="G20" i="49"/>
  <c r="F20" i="49"/>
  <c r="E20" i="49"/>
  <c r="D20" i="49"/>
  <c r="C20" i="49"/>
  <c r="B20" i="49"/>
  <c r="V19" i="49"/>
  <c r="P19" i="49"/>
  <c r="J19" i="49"/>
  <c r="I19" i="49"/>
  <c r="H19" i="49"/>
  <c r="G19" i="49"/>
  <c r="F19" i="49"/>
  <c r="E19" i="49"/>
  <c r="D19" i="49"/>
  <c r="C19" i="49"/>
  <c r="B19" i="49"/>
  <c r="V18" i="49"/>
  <c r="P18" i="49"/>
  <c r="J18" i="49"/>
  <c r="I18" i="49"/>
  <c r="H18" i="49"/>
  <c r="G18" i="49"/>
  <c r="F18" i="49"/>
  <c r="E18" i="49"/>
  <c r="D18" i="49"/>
  <c r="C18" i="49"/>
  <c r="B18" i="49"/>
  <c r="V17" i="49"/>
  <c r="P17" i="49"/>
  <c r="J17" i="49"/>
  <c r="I17" i="49"/>
  <c r="H17" i="49"/>
  <c r="G17" i="49"/>
  <c r="F17" i="49"/>
  <c r="E17" i="49"/>
  <c r="D17" i="49"/>
  <c r="C17" i="49"/>
  <c r="B17" i="49"/>
  <c r="V16" i="49"/>
  <c r="P16" i="49"/>
  <c r="J16" i="49"/>
  <c r="I16" i="49"/>
  <c r="H16" i="49"/>
  <c r="G16" i="49"/>
  <c r="F16" i="49"/>
  <c r="E16" i="49"/>
  <c r="D16" i="49"/>
  <c r="C16" i="49"/>
  <c r="B16" i="49"/>
  <c r="V15" i="49"/>
  <c r="P15" i="49"/>
  <c r="J15" i="49"/>
  <c r="I15" i="49"/>
  <c r="H15" i="49"/>
  <c r="G15" i="49"/>
  <c r="F15" i="49"/>
  <c r="E15" i="49"/>
  <c r="D15" i="49"/>
  <c r="C15" i="49"/>
  <c r="B15" i="49"/>
  <c r="V14" i="49"/>
  <c r="P14" i="49"/>
  <c r="J14" i="49"/>
  <c r="I14" i="49"/>
  <c r="H14" i="49"/>
  <c r="G14" i="49"/>
  <c r="F14" i="49"/>
  <c r="E14" i="49"/>
  <c r="D14" i="49"/>
  <c r="C14" i="49"/>
  <c r="B14" i="49"/>
  <c r="V13" i="49"/>
  <c r="P13" i="49"/>
  <c r="J13" i="49"/>
  <c r="I13" i="49"/>
  <c r="H13" i="49"/>
  <c r="G13" i="49"/>
  <c r="F13" i="49"/>
  <c r="E13" i="49"/>
  <c r="D13" i="49"/>
  <c r="C13" i="49"/>
  <c r="B13" i="49"/>
  <c r="V12" i="49"/>
  <c r="P12" i="49"/>
  <c r="J12" i="49"/>
  <c r="I12" i="49"/>
  <c r="H12" i="49"/>
  <c r="G12" i="49"/>
  <c r="F12" i="49"/>
  <c r="E12" i="49"/>
  <c r="D12" i="49"/>
  <c r="C12" i="49"/>
  <c r="B12" i="49"/>
  <c r="V11" i="49"/>
  <c r="P11" i="49"/>
  <c r="J11" i="49"/>
  <c r="I11" i="49"/>
  <c r="H11" i="49"/>
  <c r="G11" i="49"/>
  <c r="F11" i="49"/>
  <c r="E11" i="49"/>
  <c r="D11" i="49"/>
  <c r="C11" i="49"/>
  <c r="B11" i="49"/>
  <c r="V10" i="49"/>
  <c r="P10" i="49"/>
  <c r="J10" i="49"/>
  <c r="I10" i="49"/>
  <c r="H10" i="49"/>
  <c r="G10" i="49"/>
  <c r="F10" i="49"/>
  <c r="E10" i="49"/>
  <c r="D10" i="49"/>
  <c r="C10" i="49"/>
  <c r="B10" i="49"/>
  <c r="V9" i="49"/>
  <c r="P9" i="49"/>
  <c r="J9" i="49"/>
  <c r="I9" i="49"/>
  <c r="H9" i="49"/>
  <c r="G9" i="49"/>
  <c r="F9" i="49"/>
  <c r="E9" i="49"/>
  <c r="D9" i="49"/>
  <c r="C9" i="49"/>
  <c r="B9" i="49"/>
  <c r="V8" i="49"/>
  <c r="J8" i="49"/>
  <c r="I8" i="49"/>
  <c r="H8" i="49"/>
  <c r="G8" i="49"/>
  <c r="F8" i="49"/>
  <c r="E8" i="49"/>
  <c r="D8" i="49"/>
  <c r="C8" i="49"/>
  <c r="B8" i="49"/>
  <c r="V7" i="49"/>
  <c r="P7" i="49"/>
  <c r="J7" i="49"/>
  <c r="I7" i="49"/>
  <c r="H7" i="49"/>
  <c r="G7" i="49"/>
  <c r="F7" i="49"/>
  <c r="E7" i="49"/>
  <c r="D7" i="49"/>
  <c r="C7" i="49"/>
  <c r="B7" i="49"/>
  <c r="V6" i="49"/>
  <c r="P6" i="49"/>
  <c r="J6" i="49"/>
  <c r="I6" i="49"/>
  <c r="H6" i="49"/>
  <c r="G6" i="49"/>
  <c r="F6" i="49"/>
  <c r="E6" i="49"/>
  <c r="D6" i="49"/>
  <c r="C6" i="49"/>
  <c r="B6" i="49"/>
  <c r="V5" i="49"/>
  <c r="V53" i="49" s="1"/>
  <c r="P5" i="49"/>
  <c r="J5" i="49"/>
  <c r="I5" i="49"/>
  <c r="H5" i="49"/>
  <c r="G5" i="49"/>
  <c r="F5" i="49"/>
  <c r="E5" i="49"/>
  <c r="D5" i="49"/>
  <c r="C5" i="49"/>
  <c r="B5" i="49"/>
  <c r="V4" i="49"/>
  <c r="P4" i="49"/>
  <c r="J4" i="49"/>
  <c r="I4" i="49"/>
  <c r="H4" i="49"/>
  <c r="G4" i="49"/>
  <c r="F4" i="49"/>
  <c r="E4" i="49"/>
  <c r="D4" i="49"/>
  <c r="C4" i="49"/>
  <c r="B4" i="49"/>
  <c r="V3" i="49"/>
  <c r="P3" i="49"/>
  <c r="J3" i="49"/>
  <c r="I3" i="49"/>
  <c r="H3" i="49"/>
  <c r="G3" i="49"/>
  <c r="F3" i="49"/>
  <c r="E3" i="49"/>
  <c r="D3" i="49"/>
  <c r="C3" i="49"/>
  <c r="B3" i="49"/>
  <c r="V2" i="49"/>
  <c r="P2" i="49"/>
  <c r="P53" i="49" s="1"/>
  <c r="J2" i="49"/>
  <c r="I2" i="49"/>
  <c r="H2" i="49"/>
  <c r="G2" i="49"/>
  <c r="F2" i="49"/>
  <c r="E2" i="49"/>
  <c r="D2" i="49"/>
  <c r="C2" i="49"/>
  <c r="B2" i="49"/>
  <c r="B55" i="47"/>
  <c r="C50" i="47" s="1"/>
  <c r="B13" i="41"/>
  <c r="D12" i="43"/>
  <c r="K6" i="53" s="1"/>
  <c r="D11" i="43"/>
  <c r="D10" i="43"/>
  <c r="D8" i="43"/>
  <c r="D7" i="43"/>
  <c r="D6" i="43"/>
  <c r="D5" i="43"/>
  <c r="H58" i="28"/>
  <c r="G58" i="28"/>
  <c r="F58" i="28"/>
  <c r="E58" i="28"/>
  <c r="D58" i="28"/>
  <c r="C58" i="28"/>
  <c r="B58" i="28"/>
  <c r="D4" i="43"/>
  <c r="W58" i="1"/>
  <c r="X58" i="1" s="1"/>
  <c r="W57" i="1"/>
  <c r="X57" i="1" s="1"/>
  <c r="W56" i="1"/>
  <c r="W55" i="1"/>
  <c r="X55" i="1" s="1"/>
  <c r="W54" i="1"/>
  <c r="X54" i="1" s="1"/>
  <c r="W53" i="1"/>
  <c r="W52" i="1"/>
  <c r="X52" i="1" s="1"/>
  <c r="W51" i="1"/>
  <c r="W50" i="1"/>
  <c r="X50" i="1" s="1"/>
  <c r="W49" i="1"/>
  <c r="W48" i="1"/>
  <c r="X48" i="1" s="1"/>
  <c r="W47" i="1"/>
  <c r="W46" i="1"/>
  <c r="X46" i="1" s="1"/>
  <c r="W45" i="1"/>
  <c r="Y45" i="1" s="1"/>
  <c r="Z45" i="1" s="1"/>
  <c r="W44" i="1"/>
  <c r="X44" i="1" s="1"/>
  <c r="W43" i="1"/>
  <c r="W42" i="1"/>
  <c r="X42" i="1" s="1"/>
  <c r="W41" i="1"/>
  <c r="W40" i="1"/>
  <c r="X40" i="1" s="1"/>
  <c r="W39" i="1"/>
  <c r="W38" i="1"/>
  <c r="W37" i="1"/>
  <c r="X37" i="1" s="1"/>
  <c r="W36" i="1"/>
  <c r="X36" i="1" s="1"/>
  <c r="W35" i="1"/>
  <c r="X35" i="1" s="1"/>
  <c r="W34" i="1"/>
  <c r="X34" i="1" s="1"/>
  <c r="W33" i="1"/>
  <c r="X33" i="1" s="1"/>
  <c r="W32" i="1"/>
  <c r="X32" i="1" s="1"/>
  <c r="W31" i="1"/>
  <c r="X31" i="1" s="1"/>
  <c r="W30" i="1"/>
  <c r="X30" i="1" s="1"/>
  <c r="W29" i="1"/>
  <c r="W28" i="1"/>
  <c r="X28" i="1" s="1"/>
  <c r="W27" i="1"/>
  <c r="W26" i="1"/>
  <c r="X26" i="1" s="1"/>
  <c r="W25" i="1"/>
  <c r="X25" i="1" s="1"/>
  <c r="W24" i="1"/>
  <c r="X24" i="1" s="1"/>
  <c r="W23" i="1"/>
  <c r="X23" i="1" s="1"/>
  <c r="W22" i="1"/>
  <c r="X22" i="1" s="1"/>
  <c r="W21" i="1"/>
  <c r="X21" i="1" s="1"/>
  <c r="W20" i="1"/>
  <c r="X20" i="1" s="1"/>
  <c r="W19" i="1"/>
  <c r="X19" i="1" s="1"/>
  <c r="W18" i="1"/>
  <c r="X18" i="1" s="1"/>
  <c r="W17" i="1"/>
  <c r="W16" i="1"/>
  <c r="X16" i="1" s="1"/>
  <c r="W15" i="1"/>
  <c r="W14" i="1"/>
  <c r="X14" i="1" s="1"/>
  <c r="W13" i="1"/>
  <c r="W12" i="1"/>
  <c r="W11" i="1"/>
  <c r="X11" i="1" s="1"/>
  <c r="W10" i="1"/>
  <c r="X10" i="1" s="1"/>
  <c r="W9" i="1"/>
  <c r="W59" i="1" s="1"/>
  <c r="W8" i="1"/>
  <c r="X8" i="1" s="1"/>
  <c r="R58" i="1"/>
  <c r="R57" i="1"/>
  <c r="R56" i="1"/>
  <c r="R55" i="1"/>
  <c r="R54" i="1"/>
  <c r="R53" i="1"/>
  <c r="R52" i="1"/>
  <c r="R51" i="1"/>
  <c r="R50" i="1"/>
  <c r="R49" i="1"/>
  <c r="R48" i="1"/>
  <c r="Y48" i="1" s="1"/>
  <c r="Z48" i="1" s="1"/>
  <c r="R47" i="1"/>
  <c r="R46" i="1"/>
  <c r="R45" i="1"/>
  <c r="R44" i="1"/>
  <c r="R43" i="1"/>
  <c r="R42" i="1"/>
  <c r="R41" i="1"/>
  <c r="Y41" i="1" s="1"/>
  <c r="Z41" i="1" s="1"/>
  <c r="R40" i="1"/>
  <c r="R39" i="1"/>
  <c r="R38" i="1"/>
  <c r="R37" i="1"/>
  <c r="R36" i="1"/>
  <c r="Y36" i="1" s="1"/>
  <c r="Z36" i="1" s="1"/>
  <c r="R35" i="1"/>
  <c r="R34" i="1"/>
  <c r="R33" i="1"/>
  <c r="R32" i="1"/>
  <c r="R31" i="1"/>
  <c r="R30" i="1"/>
  <c r="R29" i="1"/>
  <c r="Y29" i="1" s="1"/>
  <c r="Z29" i="1" s="1"/>
  <c r="R28" i="1"/>
  <c r="R27" i="1"/>
  <c r="Y27" i="1" s="1"/>
  <c r="Z27" i="1" s="1"/>
  <c r="R26" i="1"/>
  <c r="R25" i="1"/>
  <c r="R24" i="1"/>
  <c r="Y24" i="1" s="1"/>
  <c r="Z24" i="1" s="1"/>
  <c r="R23" i="1"/>
  <c r="R22" i="1"/>
  <c r="R21" i="1"/>
  <c r="R20" i="1"/>
  <c r="R19" i="1"/>
  <c r="R18" i="1"/>
  <c r="R17" i="1"/>
  <c r="Y17" i="1" s="1"/>
  <c r="Z17" i="1" s="1"/>
  <c r="R16" i="1"/>
  <c r="R15" i="1"/>
  <c r="Y15" i="1" s="1"/>
  <c r="Z15" i="1" s="1"/>
  <c r="R14" i="1"/>
  <c r="R13" i="1"/>
  <c r="R12" i="1"/>
  <c r="Y12" i="1" s="1"/>
  <c r="Z12" i="1" s="1"/>
  <c r="R11" i="1"/>
  <c r="R10" i="1"/>
  <c r="R9" i="1"/>
  <c r="R8" i="1"/>
  <c r="Y39" i="1"/>
  <c r="Z39" i="1" s="1"/>
  <c r="Y51" i="1"/>
  <c r="Z51" i="1" s="1"/>
  <c r="Y53" i="1"/>
  <c r="Z53" i="1" s="1"/>
  <c r="Y42" i="1"/>
  <c r="Z42" i="1" s="1"/>
  <c r="Y58" i="1"/>
  <c r="Z58" i="1" s="1"/>
  <c r="C59" i="1"/>
  <c r="B59" i="1"/>
  <c r="X41" i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X56" i="1"/>
  <c r="X53" i="1"/>
  <c r="X51" i="1"/>
  <c r="X49" i="1"/>
  <c r="X47" i="1"/>
  <c r="X43" i="1"/>
  <c r="X39" i="1"/>
  <c r="X38" i="1"/>
  <c r="X29" i="1"/>
  <c r="X17" i="1"/>
  <c r="X15" i="1"/>
  <c r="X13" i="1"/>
  <c r="X12" i="1"/>
  <c r="D8" i="1"/>
  <c r="E8" i="1" s="1"/>
  <c r="J59" i="1"/>
  <c r="K11" i="1" s="1"/>
  <c r="L11" i="1" s="1"/>
  <c r="M11" i="1" s="1"/>
  <c r="G59" i="1"/>
  <c r="H11" i="1" s="1"/>
  <c r="I11" i="1" s="1"/>
  <c r="H29" i="1"/>
  <c r="I29" i="1" s="1"/>
  <c r="H14" i="1"/>
  <c r="I14" i="1" s="1"/>
  <c r="H23" i="1"/>
  <c r="I23" i="1" s="1"/>
  <c r="H31" i="1"/>
  <c r="I31" i="1" s="1"/>
  <c r="H26" i="1"/>
  <c r="I26" i="1" s="1"/>
  <c r="K27" i="1"/>
  <c r="L27" i="1" s="1"/>
  <c r="M27" i="1" s="1"/>
  <c r="H25" i="1"/>
  <c r="I25" i="1" s="1"/>
  <c r="H27" i="1"/>
  <c r="I27" i="1" s="1"/>
  <c r="H35" i="1"/>
  <c r="I35" i="1" s="1"/>
  <c r="H42" i="1"/>
  <c r="I42" i="1" s="1"/>
  <c r="H37" i="1"/>
  <c r="I37" i="1"/>
  <c r="H57" i="1"/>
  <c r="I57" i="1"/>
  <c r="H10" i="1"/>
  <c r="I10" i="1"/>
  <c r="H47" i="1"/>
  <c r="I47" i="1"/>
  <c r="X27" i="1"/>
  <c r="H15" i="1"/>
  <c r="I15" i="1"/>
  <c r="H24" i="1"/>
  <c r="I24" i="1" s="1"/>
  <c r="H28" i="1"/>
  <c r="I28" i="1"/>
  <c r="H36" i="1"/>
  <c r="I36" i="1" s="1"/>
  <c r="H13" i="1"/>
  <c r="I13" i="1"/>
  <c r="H22" i="1"/>
  <c r="I22" i="1"/>
  <c r="H30" i="1"/>
  <c r="I30" i="1" s="1"/>
  <c r="H38" i="1"/>
  <c r="I38" i="1" s="1"/>
  <c r="H46" i="1"/>
  <c r="I46" i="1"/>
  <c r="H50" i="1"/>
  <c r="I50" i="1" s="1"/>
  <c r="H54" i="1"/>
  <c r="I54" i="1"/>
  <c r="H58" i="1"/>
  <c r="I58" i="1"/>
  <c r="H8" i="1"/>
  <c r="H12" i="1"/>
  <c r="I12" i="1" s="1"/>
  <c r="H16" i="1"/>
  <c r="I16" i="1"/>
  <c r="H56" i="1"/>
  <c r="I56" i="1" s="1"/>
  <c r="H18" i="1"/>
  <c r="I18" i="1"/>
  <c r="H33" i="1"/>
  <c r="I33" i="1" s="1"/>
  <c r="H43" i="1"/>
  <c r="I43" i="1" s="1"/>
  <c r="H53" i="1"/>
  <c r="I53" i="1"/>
  <c r="I8" i="1"/>
  <c r="K38" i="1" l="1"/>
  <c r="L38" i="1" s="1"/>
  <c r="M38" i="1" s="1"/>
  <c r="K36" i="1"/>
  <c r="L36" i="1" s="1"/>
  <c r="K20" i="1"/>
  <c r="L20" i="1" s="1"/>
  <c r="K23" i="1"/>
  <c r="L23" i="1" s="1"/>
  <c r="M23" i="1" s="1"/>
  <c r="K40" i="1"/>
  <c r="L40" i="1" s="1"/>
  <c r="K44" i="1"/>
  <c r="L44" i="1" s="1"/>
  <c r="K50" i="1"/>
  <c r="L50" i="1" s="1"/>
  <c r="M50" i="1" s="1"/>
  <c r="K56" i="1"/>
  <c r="L56" i="1" s="1"/>
  <c r="M56" i="1" s="1"/>
  <c r="K29" i="1"/>
  <c r="L29" i="1" s="1"/>
  <c r="M29" i="1" s="1"/>
  <c r="K41" i="1"/>
  <c r="L41" i="1" s="1"/>
  <c r="K37" i="1"/>
  <c r="L37" i="1" s="1"/>
  <c r="M37" i="1" s="1"/>
  <c r="AF37" i="1" s="1"/>
  <c r="K43" i="1"/>
  <c r="L43" i="1" s="1"/>
  <c r="M43" i="1" s="1"/>
  <c r="AF43" i="1" s="1"/>
  <c r="K45" i="1"/>
  <c r="L45" i="1" s="1"/>
  <c r="K18" i="1"/>
  <c r="L18" i="1" s="1"/>
  <c r="K53" i="1"/>
  <c r="L53" i="1" s="1"/>
  <c r="M53" i="1" s="1"/>
  <c r="K51" i="1"/>
  <c r="L51" i="1" s="1"/>
  <c r="K49" i="1"/>
  <c r="L49" i="1" s="1"/>
  <c r="K22" i="1"/>
  <c r="L22" i="1" s="1"/>
  <c r="K47" i="1"/>
  <c r="L47" i="1" s="1"/>
  <c r="M47" i="1" s="1"/>
  <c r="K24" i="1"/>
  <c r="L24" i="1" s="1"/>
  <c r="M24" i="1" s="1"/>
  <c r="K30" i="1"/>
  <c r="L30" i="1" s="1"/>
  <c r="M30" i="1" s="1"/>
  <c r="K9" i="1"/>
  <c r="L9" i="1" s="1"/>
  <c r="K8" i="1"/>
  <c r="L8" i="1" s="1"/>
  <c r="M8" i="1" s="1"/>
  <c r="M16" i="1"/>
  <c r="K58" i="1"/>
  <c r="L58" i="1" s="1"/>
  <c r="M58" i="1" s="1"/>
  <c r="K17" i="1"/>
  <c r="L17" i="1" s="1"/>
  <c r="K19" i="1"/>
  <c r="L19" i="1" s="1"/>
  <c r="K16" i="1"/>
  <c r="L16" i="1" s="1"/>
  <c r="K55" i="1"/>
  <c r="L55" i="1" s="1"/>
  <c r="K32" i="1"/>
  <c r="L32" i="1" s="1"/>
  <c r="K25" i="1"/>
  <c r="L25" i="1" s="1"/>
  <c r="M25" i="1" s="1"/>
  <c r="K35" i="1"/>
  <c r="L35" i="1" s="1"/>
  <c r="M35" i="1" s="1"/>
  <c r="K26" i="1"/>
  <c r="L26" i="1" s="1"/>
  <c r="M26" i="1" s="1"/>
  <c r="K42" i="1"/>
  <c r="L42" i="1" s="1"/>
  <c r="M42" i="1" s="1"/>
  <c r="K13" i="1"/>
  <c r="L13" i="1" s="1"/>
  <c r="M13" i="1" s="1"/>
  <c r="K59" i="1"/>
  <c r="K28" i="1"/>
  <c r="L28" i="1" s="1"/>
  <c r="M28" i="1" s="1"/>
  <c r="K46" i="1"/>
  <c r="L46" i="1" s="1"/>
  <c r="M46" i="1" s="1"/>
  <c r="K57" i="1"/>
  <c r="L57" i="1" s="1"/>
  <c r="M57" i="1" s="1"/>
  <c r="K14" i="1"/>
  <c r="L14" i="1" s="1"/>
  <c r="M14" i="1" s="1"/>
  <c r="AF14" i="1" s="1"/>
  <c r="K48" i="1"/>
  <c r="L48" i="1" s="1"/>
  <c r="K21" i="1"/>
  <c r="L21" i="1" s="1"/>
  <c r="K15" i="1"/>
  <c r="L15" i="1" s="1"/>
  <c r="M15" i="1" s="1"/>
  <c r="AF15" i="1" s="1"/>
  <c r="K12" i="1"/>
  <c r="L12" i="1" s="1"/>
  <c r="M12" i="1" s="1"/>
  <c r="M22" i="1"/>
  <c r="K52" i="1"/>
  <c r="L52" i="1" s="1"/>
  <c r="K33" i="1"/>
  <c r="L33" i="1" s="1"/>
  <c r="M33" i="1" s="1"/>
  <c r="K31" i="1"/>
  <c r="L31" i="1" s="1"/>
  <c r="M31" i="1" s="1"/>
  <c r="AF31" i="1" s="1"/>
  <c r="K10" i="1"/>
  <c r="L10" i="1" s="1"/>
  <c r="M10" i="1" s="1"/>
  <c r="K34" i="1"/>
  <c r="L34" i="1" s="1"/>
  <c r="K54" i="1"/>
  <c r="L54" i="1" s="1"/>
  <c r="M54" i="1" s="1"/>
  <c r="K39" i="1"/>
  <c r="L39" i="1" s="1"/>
  <c r="P56" i="55"/>
  <c r="Q10" i="55" s="1"/>
  <c r="D13" i="43"/>
  <c r="E13" i="43" s="1"/>
  <c r="AH6" i="1" s="1"/>
  <c r="AF6" i="1" s="1"/>
  <c r="I6" i="53"/>
  <c r="H6" i="53"/>
  <c r="J6" i="53"/>
  <c r="AF56" i="1"/>
  <c r="AF25" i="1"/>
  <c r="AF35" i="1"/>
  <c r="AF11" i="1"/>
  <c r="Y18" i="1"/>
  <c r="Z18" i="1" s="1"/>
  <c r="Y34" i="1"/>
  <c r="Z34" i="1" s="1"/>
  <c r="Y19" i="1"/>
  <c r="Z19" i="1" s="1"/>
  <c r="Y31" i="1"/>
  <c r="Z31" i="1" s="1"/>
  <c r="Y43" i="1"/>
  <c r="Z43" i="1" s="1"/>
  <c r="Y55" i="1"/>
  <c r="Z55" i="1" s="1"/>
  <c r="Y10" i="1"/>
  <c r="Z10" i="1" s="1"/>
  <c r="Y11" i="1"/>
  <c r="Z11" i="1" s="1"/>
  <c r="Y23" i="1"/>
  <c r="Z23" i="1" s="1"/>
  <c r="Y35" i="1"/>
  <c r="Z35" i="1" s="1"/>
  <c r="Y47" i="1"/>
  <c r="Z47" i="1" s="1"/>
  <c r="Y13" i="1"/>
  <c r="Z13" i="1" s="1"/>
  <c r="Y25" i="1"/>
  <c r="Z25" i="1" s="1"/>
  <c r="Y37" i="1"/>
  <c r="Z37" i="1" s="1"/>
  <c r="Y49" i="1"/>
  <c r="Z49" i="1" s="1"/>
  <c r="Y26" i="1"/>
  <c r="Z26" i="1" s="1"/>
  <c r="Y50" i="1"/>
  <c r="Z50" i="1" s="1"/>
  <c r="Y16" i="1"/>
  <c r="Z16" i="1" s="1"/>
  <c r="Y28" i="1"/>
  <c r="Z28" i="1" s="1"/>
  <c r="Y40" i="1"/>
  <c r="Z40" i="1" s="1"/>
  <c r="Y52" i="1"/>
  <c r="Z52" i="1" s="1"/>
  <c r="Y8" i="1"/>
  <c r="Z8" i="1" s="1"/>
  <c r="Y20" i="1"/>
  <c r="Z20" i="1" s="1"/>
  <c r="Y32" i="1"/>
  <c r="Z32" i="1" s="1"/>
  <c r="Y44" i="1"/>
  <c r="Z44" i="1" s="1"/>
  <c r="Y56" i="1"/>
  <c r="Z56" i="1" s="1"/>
  <c r="X45" i="1"/>
  <c r="X9" i="1"/>
  <c r="Y9" i="1"/>
  <c r="Z9" i="1" s="1"/>
  <c r="Y21" i="1"/>
  <c r="Z21" i="1" s="1"/>
  <c r="Y33" i="1"/>
  <c r="Z33" i="1" s="1"/>
  <c r="Y57" i="1"/>
  <c r="Z57" i="1" s="1"/>
  <c r="Y22" i="1"/>
  <c r="Z22" i="1" s="1"/>
  <c r="Y46" i="1"/>
  <c r="Z46" i="1" s="1"/>
  <c r="Y14" i="1"/>
  <c r="Z14" i="1" s="1"/>
  <c r="Y38" i="1"/>
  <c r="Z38" i="1" s="1"/>
  <c r="Y30" i="1"/>
  <c r="Z30" i="1" s="1"/>
  <c r="Y54" i="1"/>
  <c r="Z54" i="1" s="1"/>
  <c r="C54" i="47"/>
  <c r="D54" i="47" s="1"/>
  <c r="C16" i="47"/>
  <c r="D16" i="47" s="1"/>
  <c r="C33" i="47"/>
  <c r="D33" i="47" s="1"/>
  <c r="C4" i="47"/>
  <c r="D4" i="47" s="1"/>
  <c r="C24" i="47"/>
  <c r="D24" i="47" s="1"/>
  <c r="C37" i="47"/>
  <c r="D37" i="47" s="1"/>
  <c r="C12" i="47"/>
  <c r="D12" i="47" s="1"/>
  <c r="C32" i="47"/>
  <c r="D32" i="47" s="1"/>
  <c r="C41" i="47"/>
  <c r="D41" i="47" s="1"/>
  <c r="C20" i="47"/>
  <c r="D20" i="47" s="1"/>
  <c r="C40" i="47"/>
  <c r="D40" i="47" s="1"/>
  <c r="C45" i="47"/>
  <c r="D45" i="47" s="1"/>
  <c r="C28" i="47"/>
  <c r="D28" i="47" s="1"/>
  <c r="C52" i="47"/>
  <c r="D52" i="47" s="1"/>
  <c r="C49" i="47"/>
  <c r="D49" i="47" s="1"/>
  <c r="C36" i="47"/>
  <c r="D36" i="47" s="1"/>
  <c r="C7" i="47"/>
  <c r="D7" i="47" s="1"/>
  <c r="C5" i="47"/>
  <c r="D5" i="47" s="1"/>
  <c r="C53" i="47"/>
  <c r="D53" i="47" s="1"/>
  <c r="C44" i="47"/>
  <c r="D44" i="47" s="1"/>
  <c r="C15" i="47"/>
  <c r="D15" i="47" s="1"/>
  <c r="C9" i="47"/>
  <c r="D9" i="47" s="1"/>
  <c r="C11" i="47"/>
  <c r="D11" i="47" s="1"/>
  <c r="C6" i="47"/>
  <c r="D6" i="47" s="1"/>
  <c r="C10" i="47"/>
  <c r="D10" i="47" s="1"/>
  <c r="C23" i="47"/>
  <c r="D23" i="47" s="1"/>
  <c r="C31" i="47"/>
  <c r="D31" i="47" s="1"/>
  <c r="C17" i="47"/>
  <c r="D17" i="47" s="1"/>
  <c r="C27" i="47"/>
  <c r="D27" i="47" s="1"/>
  <c r="C22" i="47"/>
  <c r="D22" i="47" s="1"/>
  <c r="C19" i="47"/>
  <c r="D19" i="47" s="1"/>
  <c r="C43" i="47"/>
  <c r="D43" i="47" s="1"/>
  <c r="C21" i="47"/>
  <c r="D21" i="47" s="1"/>
  <c r="C35" i="47"/>
  <c r="D35" i="47" s="1"/>
  <c r="C26" i="47"/>
  <c r="D26" i="47" s="1"/>
  <c r="C51" i="47"/>
  <c r="D51" i="47" s="1"/>
  <c r="C25" i="47"/>
  <c r="D25" i="47" s="1"/>
  <c r="C39" i="47"/>
  <c r="D39" i="47" s="1"/>
  <c r="C38" i="47"/>
  <c r="D38" i="47" s="1"/>
  <c r="C13" i="47"/>
  <c r="D13" i="47" s="1"/>
  <c r="C8" i="47"/>
  <c r="D8" i="47" s="1"/>
  <c r="C29" i="47"/>
  <c r="D29" i="47" s="1"/>
  <c r="C47" i="47"/>
  <c r="D47" i="47" s="1"/>
  <c r="C42" i="47"/>
  <c r="D42" i="47" s="1"/>
  <c r="D59" i="1"/>
  <c r="M18" i="1"/>
  <c r="M36" i="1"/>
  <c r="AF36" i="1" s="1"/>
  <c r="E59" i="1"/>
  <c r="F40" i="1" s="1"/>
  <c r="H40" i="1"/>
  <c r="I40" i="1" s="1"/>
  <c r="M40" i="1" s="1"/>
  <c r="H20" i="1"/>
  <c r="I20" i="1" s="1"/>
  <c r="H51" i="1"/>
  <c r="I51" i="1" s="1"/>
  <c r="M51" i="1" s="1"/>
  <c r="H9" i="1"/>
  <c r="H19" i="1"/>
  <c r="I19" i="1" s="1"/>
  <c r="H34" i="1"/>
  <c r="I34" i="1" s="1"/>
  <c r="H52" i="1"/>
  <c r="I52" i="1" s="1"/>
  <c r="M52" i="1" s="1"/>
  <c r="H44" i="1"/>
  <c r="I44" i="1" s="1"/>
  <c r="H32" i="1"/>
  <c r="I32" i="1" s="1"/>
  <c r="H55" i="1"/>
  <c r="I55" i="1" s="1"/>
  <c r="H48" i="1"/>
  <c r="I48" i="1" s="1"/>
  <c r="H45" i="1"/>
  <c r="I45" i="1" s="1"/>
  <c r="H21" i="1"/>
  <c r="I21" i="1" s="1"/>
  <c r="H17" i="1"/>
  <c r="I17" i="1" s="1"/>
  <c r="H39" i="1"/>
  <c r="I39" i="1" s="1"/>
  <c r="H49" i="1"/>
  <c r="I49" i="1" s="1"/>
  <c r="M49" i="1" s="1"/>
  <c r="H41" i="1"/>
  <c r="I41" i="1" s="1"/>
  <c r="F13" i="43"/>
  <c r="C14" i="47"/>
  <c r="D14" i="47" s="1"/>
  <c r="C30" i="47"/>
  <c r="D30" i="47" s="1"/>
  <c r="C46" i="47"/>
  <c r="D46" i="47" s="1"/>
  <c r="C48" i="47"/>
  <c r="D48" i="47" s="1"/>
  <c r="C18" i="47"/>
  <c r="D18" i="47" s="1"/>
  <c r="C34" i="47"/>
  <c r="D34" i="47" s="1"/>
  <c r="K10" i="49"/>
  <c r="K11" i="49"/>
  <c r="K22" i="49"/>
  <c r="K23" i="49"/>
  <c r="K33" i="49"/>
  <c r="K12" i="49"/>
  <c r="K3" i="49"/>
  <c r="K4" i="49"/>
  <c r="K7" i="49"/>
  <c r="K8" i="49"/>
  <c r="K9" i="49"/>
  <c r="K15" i="49"/>
  <c r="K16" i="49"/>
  <c r="K17" i="49"/>
  <c r="K19" i="49"/>
  <c r="K20" i="49"/>
  <c r="K21" i="49"/>
  <c r="K27" i="49"/>
  <c r="K28" i="49"/>
  <c r="K29" i="49"/>
  <c r="K30" i="49"/>
  <c r="K31" i="49"/>
  <c r="K32" i="49"/>
  <c r="K37" i="49"/>
  <c r="K38" i="49"/>
  <c r="K39" i="49"/>
  <c r="K40" i="49"/>
  <c r="K41" i="49"/>
  <c r="K42" i="49"/>
  <c r="K43" i="49"/>
  <c r="K44" i="49"/>
  <c r="K48" i="49"/>
  <c r="K49" i="49"/>
  <c r="K50" i="49"/>
  <c r="K51" i="49"/>
  <c r="J57" i="46"/>
  <c r="E53" i="49"/>
  <c r="K13" i="49"/>
  <c r="K52" i="49"/>
  <c r="C13" i="41"/>
  <c r="D50" i="47"/>
  <c r="K5" i="49"/>
  <c r="C53" i="49"/>
  <c r="K2" i="49"/>
  <c r="F53" i="49"/>
  <c r="G53" i="49"/>
  <c r="H53" i="49"/>
  <c r="I53" i="49"/>
  <c r="K14" i="49"/>
  <c r="K18" i="49"/>
  <c r="K24" i="49"/>
  <c r="K25" i="49"/>
  <c r="K26" i="49"/>
  <c r="B53" i="49"/>
  <c r="K35" i="49"/>
  <c r="K36" i="49"/>
  <c r="K45" i="49"/>
  <c r="K46" i="49"/>
  <c r="K47" i="49"/>
  <c r="D53" i="49"/>
  <c r="K6" i="49"/>
  <c r="J53" i="49"/>
  <c r="K34" i="49"/>
  <c r="M41" i="1" l="1"/>
  <c r="M55" i="1"/>
  <c r="AF55" i="1" s="1"/>
  <c r="M32" i="1"/>
  <c r="AF32" i="1" s="1"/>
  <c r="M44" i="1"/>
  <c r="AF44" i="1" s="1"/>
  <c r="M20" i="1"/>
  <c r="M45" i="1"/>
  <c r="AF45" i="1" s="1"/>
  <c r="AF53" i="1"/>
  <c r="M19" i="1"/>
  <c r="AF19" i="1" s="1"/>
  <c r="M17" i="1"/>
  <c r="AF17" i="1" s="1"/>
  <c r="M34" i="1"/>
  <c r="AF34" i="1" s="1"/>
  <c r="M21" i="1"/>
  <c r="AF21" i="1" s="1"/>
  <c r="M39" i="1"/>
  <c r="AF39" i="1" s="1"/>
  <c r="L59" i="1"/>
  <c r="M48" i="1"/>
  <c r="AF48" i="1" s="1"/>
  <c r="Q34" i="55"/>
  <c r="AF52" i="1"/>
  <c r="AF30" i="1"/>
  <c r="AF41" i="1"/>
  <c r="AF49" i="1"/>
  <c r="AF28" i="1"/>
  <c r="AF20" i="1"/>
  <c r="AF38" i="1"/>
  <c r="AF51" i="1"/>
  <c r="AF18" i="1"/>
  <c r="AF24" i="1"/>
  <c r="AF40" i="1"/>
  <c r="AE6" i="1"/>
  <c r="AF23" i="1"/>
  <c r="AF12" i="1"/>
  <c r="AF10" i="1"/>
  <c r="AF47" i="1"/>
  <c r="AF33" i="1"/>
  <c r="Q18" i="55"/>
  <c r="Q44" i="55"/>
  <c r="Q9" i="55"/>
  <c r="Q46" i="55"/>
  <c r="Q55" i="55"/>
  <c r="Q11" i="55"/>
  <c r="Q25" i="55"/>
  <c r="Q7" i="55"/>
  <c r="Q31" i="55"/>
  <c r="Q33" i="55"/>
  <c r="Q45" i="55"/>
  <c r="Q29" i="55"/>
  <c r="Q8" i="55"/>
  <c r="Q12" i="55"/>
  <c r="Q20" i="55"/>
  <c r="Q47" i="55"/>
  <c r="Q23" i="55"/>
  <c r="Q40" i="55"/>
  <c r="Q5" i="55"/>
  <c r="Q16" i="55"/>
  <c r="Q17" i="55"/>
  <c r="Q15" i="55"/>
  <c r="Q22" i="55"/>
  <c r="Q50" i="55"/>
  <c r="Q13" i="55"/>
  <c r="Q35" i="55"/>
  <c r="Q19" i="55"/>
  <c r="Q27" i="55"/>
  <c r="Q43" i="55"/>
  <c r="Q54" i="55"/>
  <c r="Q30" i="55"/>
  <c r="Q52" i="55"/>
  <c r="Q26" i="55"/>
  <c r="Q24" i="55"/>
  <c r="Q28" i="55"/>
  <c r="Q36" i="55"/>
  <c r="Q14" i="55"/>
  <c r="Q39" i="55"/>
  <c r="Q53" i="55"/>
  <c r="Q48" i="55"/>
  <c r="Q38" i="55"/>
  <c r="Q6" i="55"/>
  <c r="Q32" i="55"/>
  <c r="Q49" i="55"/>
  <c r="Q21" i="55"/>
  <c r="Q41" i="55"/>
  <c r="Q37" i="55"/>
  <c r="Q51" i="55"/>
  <c r="Q42" i="55"/>
  <c r="AF42" i="1"/>
  <c r="AF22" i="1"/>
  <c r="AF26" i="1"/>
  <c r="AF16" i="1"/>
  <c r="AF27" i="1"/>
  <c r="AF50" i="1"/>
  <c r="AF13" i="1"/>
  <c r="AF29" i="1"/>
  <c r="AF58" i="1"/>
  <c r="AF57" i="1"/>
  <c r="AG6" i="1"/>
  <c r="AF46" i="1"/>
  <c r="AF54" i="1"/>
  <c r="AE40" i="1"/>
  <c r="H26" i="53"/>
  <c r="H55" i="53"/>
  <c r="H27" i="53"/>
  <c r="H10" i="53"/>
  <c r="H57" i="53"/>
  <c r="H13" i="53"/>
  <c r="H36" i="53"/>
  <c r="H52" i="53"/>
  <c r="H18" i="53"/>
  <c r="H44" i="53"/>
  <c r="H51" i="53"/>
  <c r="H32" i="53"/>
  <c r="H24" i="53"/>
  <c r="H9" i="53"/>
  <c r="H50" i="53"/>
  <c r="H14" i="53"/>
  <c r="H20" i="53"/>
  <c r="H39" i="53"/>
  <c r="H29" i="53"/>
  <c r="H53" i="53"/>
  <c r="H47" i="53"/>
  <c r="H25" i="53"/>
  <c r="H38" i="53"/>
  <c r="H37" i="53"/>
  <c r="H28" i="53"/>
  <c r="H33" i="53"/>
  <c r="H16" i="53"/>
  <c r="H45" i="53"/>
  <c r="H31" i="53"/>
  <c r="H49" i="53"/>
  <c r="H43" i="53"/>
  <c r="H11" i="53"/>
  <c r="H12" i="53"/>
  <c r="H23" i="53"/>
  <c r="H30" i="53"/>
  <c r="H40" i="53"/>
  <c r="H42" i="53"/>
  <c r="H41" i="53"/>
  <c r="H35" i="53"/>
  <c r="H15" i="53"/>
  <c r="H58" i="53"/>
  <c r="H17" i="53"/>
  <c r="H19" i="53"/>
  <c r="H46" i="53"/>
  <c r="H56" i="53"/>
  <c r="H21" i="53"/>
  <c r="H8" i="53"/>
  <c r="H34" i="53"/>
  <c r="H48" i="53"/>
  <c r="H54" i="53"/>
  <c r="H22" i="53"/>
  <c r="I19" i="53"/>
  <c r="I17" i="53"/>
  <c r="I38" i="53"/>
  <c r="I47" i="53"/>
  <c r="I40" i="53"/>
  <c r="I22" i="53"/>
  <c r="I29" i="53"/>
  <c r="I48" i="53"/>
  <c r="I33" i="53"/>
  <c r="I8" i="53"/>
  <c r="I9" i="53"/>
  <c r="I12" i="53"/>
  <c r="I23" i="53"/>
  <c r="I52" i="53"/>
  <c r="I49" i="53"/>
  <c r="I36" i="53"/>
  <c r="I15" i="53"/>
  <c r="I21" i="53"/>
  <c r="I14" i="53"/>
  <c r="I44" i="53"/>
  <c r="I11" i="53"/>
  <c r="I25" i="53"/>
  <c r="I51" i="53"/>
  <c r="I30" i="53"/>
  <c r="I57" i="53"/>
  <c r="I45" i="53"/>
  <c r="I39" i="53"/>
  <c r="I28" i="53"/>
  <c r="I13" i="53"/>
  <c r="I26" i="53"/>
  <c r="I37" i="53"/>
  <c r="I16" i="53"/>
  <c r="I31" i="53"/>
  <c r="I27" i="53"/>
  <c r="I10" i="53"/>
  <c r="I35" i="53"/>
  <c r="I34" i="53"/>
  <c r="I53" i="53"/>
  <c r="I43" i="53"/>
  <c r="I42" i="53"/>
  <c r="I18" i="53"/>
  <c r="I41" i="53"/>
  <c r="I20" i="53"/>
  <c r="I24" i="53"/>
  <c r="I46" i="53"/>
  <c r="I32" i="53"/>
  <c r="I50" i="53"/>
  <c r="I58" i="53"/>
  <c r="I55" i="53"/>
  <c r="I54" i="53"/>
  <c r="I56" i="53"/>
  <c r="X59" i="1"/>
  <c r="Z59" i="1"/>
  <c r="AA46" i="1" s="1"/>
  <c r="AB46" i="1" s="1"/>
  <c r="AC46" i="1" s="1"/>
  <c r="F13" i="1"/>
  <c r="AE13" i="1" s="1"/>
  <c r="C55" i="47"/>
  <c r="I9" i="1"/>
  <c r="H59" i="1"/>
  <c r="AF8" i="1"/>
  <c r="F16" i="1"/>
  <c r="F49" i="1"/>
  <c r="AE49" i="1" s="1"/>
  <c r="F28" i="1"/>
  <c r="AE28" i="1" s="1"/>
  <c r="F34" i="1"/>
  <c r="AE34" i="1" s="1"/>
  <c r="F26" i="1"/>
  <c r="AE26" i="1" s="1"/>
  <c r="F51" i="1"/>
  <c r="AE51" i="1" s="1"/>
  <c r="F52" i="1"/>
  <c r="AE52" i="1" s="1"/>
  <c r="F32" i="1"/>
  <c r="AE32" i="1" s="1"/>
  <c r="F11" i="1"/>
  <c r="AE11" i="1" s="1"/>
  <c r="F50" i="1"/>
  <c r="AE50" i="1" s="1"/>
  <c r="F41" i="1"/>
  <c r="AE41" i="1" s="1"/>
  <c r="F33" i="1"/>
  <c r="F27" i="1"/>
  <c r="F17" i="1"/>
  <c r="AE17" i="1" s="1"/>
  <c r="F10" i="1"/>
  <c r="AE10" i="1" s="1"/>
  <c r="F38" i="1"/>
  <c r="AE38" i="1" s="1"/>
  <c r="F22" i="1"/>
  <c r="AE22" i="1" s="1"/>
  <c r="F55" i="1"/>
  <c r="AE55" i="1" s="1"/>
  <c r="F24" i="1"/>
  <c r="AE24" i="1" s="1"/>
  <c r="F47" i="1"/>
  <c r="AE47" i="1" s="1"/>
  <c r="F30" i="1"/>
  <c r="AE30" i="1" s="1"/>
  <c r="F45" i="1"/>
  <c r="AE45" i="1" s="1"/>
  <c r="F21" i="1"/>
  <c r="AE21" i="1" s="1"/>
  <c r="F53" i="1"/>
  <c r="F12" i="1"/>
  <c r="F36" i="1"/>
  <c r="AE36" i="1" s="1"/>
  <c r="F8" i="1"/>
  <c r="F9" i="1"/>
  <c r="AE9" i="1" s="1"/>
  <c r="F19" i="1"/>
  <c r="AE19" i="1" s="1"/>
  <c r="F43" i="1"/>
  <c r="AE43" i="1" s="1"/>
  <c r="F31" i="1"/>
  <c r="AE31" i="1" s="1"/>
  <c r="F48" i="1"/>
  <c r="AE48" i="1" s="1"/>
  <c r="F44" i="1"/>
  <c r="AE44" i="1" s="1"/>
  <c r="F46" i="1"/>
  <c r="AE46" i="1" s="1"/>
  <c r="F14" i="1"/>
  <c r="AE14" i="1" s="1"/>
  <c r="F58" i="1"/>
  <c r="AE58" i="1" s="1"/>
  <c r="F56" i="1"/>
  <c r="F42" i="1"/>
  <c r="AE42" i="1" s="1"/>
  <c r="F25" i="1"/>
  <c r="AE25" i="1" s="1"/>
  <c r="F35" i="1"/>
  <c r="AE35" i="1" s="1"/>
  <c r="F54" i="1"/>
  <c r="AE54" i="1" s="1"/>
  <c r="F37" i="1"/>
  <c r="AE37" i="1" s="1"/>
  <c r="F23" i="1"/>
  <c r="AE23" i="1" s="1"/>
  <c r="F39" i="1"/>
  <c r="AE39" i="1" s="1"/>
  <c r="F18" i="1"/>
  <c r="AE18" i="1" s="1"/>
  <c r="F15" i="1"/>
  <c r="AE15" i="1" s="1"/>
  <c r="F29" i="1"/>
  <c r="AE29" i="1" s="1"/>
  <c r="F57" i="1"/>
  <c r="AE57" i="1" s="1"/>
  <c r="F20" i="1"/>
  <c r="AE20" i="1" s="1"/>
  <c r="D55" i="47"/>
  <c r="K53" i="49"/>
  <c r="AE56" i="1" l="1"/>
  <c r="AE12" i="1"/>
  <c r="AE27" i="1"/>
  <c r="AE16" i="1"/>
  <c r="AE53" i="1"/>
  <c r="AE33" i="1"/>
  <c r="Q56" i="55"/>
  <c r="AG46" i="1"/>
  <c r="AH46" i="1" s="1"/>
  <c r="K45" i="28" s="1"/>
  <c r="H59" i="53"/>
  <c r="I59" i="53"/>
  <c r="AA28" i="1"/>
  <c r="AB28" i="1" s="1"/>
  <c r="AC28" i="1" s="1"/>
  <c r="AG28" i="1" s="1"/>
  <c r="AH28" i="1" s="1"/>
  <c r="AA55" i="1"/>
  <c r="AB55" i="1" s="1"/>
  <c r="AC55" i="1" s="1"/>
  <c r="AG55" i="1" s="1"/>
  <c r="AH55" i="1" s="1"/>
  <c r="AA15" i="1"/>
  <c r="AB15" i="1" s="1"/>
  <c r="AC15" i="1" s="1"/>
  <c r="AG15" i="1" s="1"/>
  <c r="AA26" i="1"/>
  <c r="AB26" i="1" s="1"/>
  <c r="AC26" i="1" s="1"/>
  <c r="AG26" i="1" s="1"/>
  <c r="AH26" i="1" s="1"/>
  <c r="AA41" i="1"/>
  <c r="AB41" i="1" s="1"/>
  <c r="AC41" i="1" s="1"/>
  <c r="AG41" i="1" s="1"/>
  <c r="AH41" i="1" s="1"/>
  <c r="K40" i="28" s="1"/>
  <c r="AA58" i="1"/>
  <c r="AB58" i="1" s="1"/>
  <c r="AC58" i="1" s="1"/>
  <c r="AG58" i="1" s="1"/>
  <c r="AH58" i="1" s="1"/>
  <c r="K57" i="28" s="1"/>
  <c r="AA32" i="1"/>
  <c r="AB32" i="1" s="1"/>
  <c r="AC32" i="1" s="1"/>
  <c r="AG32" i="1" s="1"/>
  <c r="AH32" i="1" s="1"/>
  <c r="AA50" i="1"/>
  <c r="AB50" i="1" s="1"/>
  <c r="AC50" i="1" s="1"/>
  <c r="AG50" i="1" s="1"/>
  <c r="AH50" i="1" s="1"/>
  <c r="AA36" i="1"/>
  <c r="AB36" i="1" s="1"/>
  <c r="AC36" i="1" s="1"/>
  <c r="AG36" i="1" s="1"/>
  <c r="AH36" i="1" s="1"/>
  <c r="AA38" i="1"/>
  <c r="AB38" i="1" s="1"/>
  <c r="AC38" i="1" s="1"/>
  <c r="AG38" i="1" s="1"/>
  <c r="AH38" i="1" s="1"/>
  <c r="K37" i="28" s="1"/>
  <c r="AA21" i="1"/>
  <c r="AB21" i="1" s="1"/>
  <c r="AC21" i="1" s="1"/>
  <c r="AG21" i="1" s="1"/>
  <c r="AH21" i="1" s="1"/>
  <c r="AA40" i="1"/>
  <c r="AB40" i="1" s="1"/>
  <c r="AC40" i="1" s="1"/>
  <c r="AG40" i="1" s="1"/>
  <c r="AH40" i="1" s="1"/>
  <c r="K39" i="28" s="1"/>
  <c r="AA19" i="1"/>
  <c r="AB19" i="1" s="1"/>
  <c r="AC19" i="1" s="1"/>
  <c r="AG19" i="1" s="1"/>
  <c r="AH19" i="1" s="1"/>
  <c r="AA35" i="1"/>
  <c r="AB35" i="1" s="1"/>
  <c r="AC35" i="1" s="1"/>
  <c r="AG35" i="1" s="1"/>
  <c r="AH35" i="1" s="1"/>
  <c r="K34" i="28" s="1"/>
  <c r="AA13" i="1"/>
  <c r="AB13" i="1" s="1"/>
  <c r="AC13" i="1" s="1"/>
  <c r="AG13" i="1" s="1"/>
  <c r="AH13" i="1" s="1"/>
  <c r="K12" i="28" s="1"/>
  <c r="AA49" i="1"/>
  <c r="AB49" i="1" s="1"/>
  <c r="AC49" i="1" s="1"/>
  <c r="AG49" i="1" s="1"/>
  <c r="AH49" i="1" s="1"/>
  <c r="AA17" i="1"/>
  <c r="AB17" i="1" s="1"/>
  <c r="AC17" i="1" s="1"/>
  <c r="AG17" i="1" s="1"/>
  <c r="AH17" i="1" s="1"/>
  <c r="AA44" i="1"/>
  <c r="AB44" i="1" s="1"/>
  <c r="AC44" i="1" s="1"/>
  <c r="AG44" i="1" s="1"/>
  <c r="AH44" i="1" s="1"/>
  <c r="AA33" i="1"/>
  <c r="AB33" i="1" s="1"/>
  <c r="AC33" i="1" s="1"/>
  <c r="AG33" i="1" s="1"/>
  <c r="AA20" i="1"/>
  <c r="AB20" i="1" s="1"/>
  <c r="AC20" i="1" s="1"/>
  <c r="AG20" i="1" s="1"/>
  <c r="AH20" i="1" s="1"/>
  <c r="AA24" i="1"/>
  <c r="AB24" i="1" s="1"/>
  <c r="AC24" i="1" s="1"/>
  <c r="AG24" i="1" s="1"/>
  <c r="AH24" i="1" s="1"/>
  <c r="AA12" i="1"/>
  <c r="AB12" i="1" s="1"/>
  <c r="AC12" i="1" s="1"/>
  <c r="AG12" i="1" s="1"/>
  <c r="AH12" i="1" s="1"/>
  <c r="AA56" i="1"/>
  <c r="AB56" i="1" s="1"/>
  <c r="AC56" i="1" s="1"/>
  <c r="AG56" i="1" s="1"/>
  <c r="AH56" i="1" s="1"/>
  <c r="AA16" i="1"/>
  <c r="AB16" i="1" s="1"/>
  <c r="AC16" i="1" s="1"/>
  <c r="AG16" i="1" s="1"/>
  <c r="AH16" i="1" s="1"/>
  <c r="K15" i="28" s="1"/>
  <c r="AA25" i="1"/>
  <c r="AB25" i="1" s="1"/>
  <c r="AC25" i="1" s="1"/>
  <c r="AG25" i="1" s="1"/>
  <c r="AH25" i="1" s="1"/>
  <c r="K24" i="28" s="1"/>
  <c r="AA9" i="1"/>
  <c r="AB9" i="1" s="1"/>
  <c r="AC9" i="1" s="1"/>
  <c r="AG9" i="1" s="1"/>
  <c r="AA29" i="1"/>
  <c r="AB29" i="1" s="1"/>
  <c r="AC29" i="1" s="1"/>
  <c r="AG29" i="1" s="1"/>
  <c r="AH29" i="1" s="1"/>
  <c r="AA10" i="1"/>
  <c r="AB10" i="1" s="1"/>
  <c r="AC10" i="1" s="1"/>
  <c r="AG10" i="1" s="1"/>
  <c r="AH10" i="1" s="1"/>
  <c r="AA51" i="1"/>
  <c r="AB51" i="1" s="1"/>
  <c r="AC51" i="1" s="1"/>
  <c r="AG51" i="1" s="1"/>
  <c r="AH51" i="1" s="1"/>
  <c r="AA11" i="1"/>
  <c r="AB11" i="1" s="1"/>
  <c r="AC11" i="1" s="1"/>
  <c r="AG11" i="1" s="1"/>
  <c r="AH11" i="1" s="1"/>
  <c r="AA39" i="1"/>
  <c r="AB39" i="1" s="1"/>
  <c r="AC39" i="1" s="1"/>
  <c r="AG39" i="1" s="1"/>
  <c r="AH39" i="1" s="1"/>
  <c r="K38" i="28" s="1"/>
  <c r="AA57" i="1"/>
  <c r="AB57" i="1" s="1"/>
  <c r="AC57" i="1" s="1"/>
  <c r="AG57" i="1" s="1"/>
  <c r="AH57" i="1" s="1"/>
  <c r="K56" i="28" s="1"/>
  <c r="AA42" i="1"/>
  <c r="AB42" i="1" s="1"/>
  <c r="AC42" i="1" s="1"/>
  <c r="AG42" i="1" s="1"/>
  <c r="AH42" i="1" s="1"/>
  <c r="AA43" i="1"/>
  <c r="AB43" i="1" s="1"/>
  <c r="AC43" i="1" s="1"/>
  <c r="AG43" i="1" s="1"/>
  <c r="AH43" i="1" s="1"/>
  <c r="AA27" i="1"/>
  <c r="AB27" i="1" s="1"/>
  <c r="AC27" i="1" s="1"/>
  <c r="AG27" i="1" s="1"/>
  <c r="AH27" i="1" s="1"/>
  <c r="AA54" i="1"/>
  <c r="AB54" i="1" s="1"/>
  <c r="AC54" i="1" s="1"/>
  <c r="AG54" i="1" s="1"/>
  <c r="AH54" i="1" s="1"/>
  <c r="K53" i="28" s="1"/>
  <c r="AA52" i="1"/>
  <c r="AB52" i="1" s="1"/>
  <c r="AC52" i="1" s="1"/>
  <c r="AG52" i="1" s="1"/>
  <c r="AH52" i="1" s="1"/>
  <c r="AA23" i="1"/>
  <c r="AB23" i="1" s="1"/>
  <c r="AC23" i="1" s="1"/>
  <c r="AG23" i="1" s="1"/>
  <c r="AH23" i="1" s="1"/>
  <c r="AA18" i="1"/>
  <c r="AB18" i="1" s="1"/>
  <c r="AC18" i="1" s="1"/>
  <c r="AG18" i="1" s="1"/>
  <c r="AH18" i="1" s="1"/>
  <c r="AA30" i="1"/>
  <c r="AB30" i="1" s="1"/>
  <c r="AC30" i="1" s="1"/>
  <c r="AG30" i="1" s="1"/>
  <c r="AH30" i="1" s="1"/>
  <c r="K29" i="28" s="1"/>
  <c r="AA47" i="1"/>
  <c r="AB47" i="1" s="1"/>
  <c r="AC47" i="1" s="1"/>
  <c r="AG47" i="1" s="1"/>
  <c r="AH47" i="1" s="1"/>
  <c r="K46" i="28" s="1"/>
  <c r="AA37" i="1"/>
  <c r="AB37" i="1" s="1"/>
  <c r="AC37" i="1" s="1"/>
  <c r="AG37" i="1" s="1"/>
  <c r="AH37" i="1" s="1"/>
  <c r="AA8" i="1"/>
  <c r="AB8" i="1" s="1"/>
  <c r="AA48" i="1"/>
  <c r="AB48" i="1" s="1"/>
  <c r="AC48" i="1" s="1"/>
  <c r="AG48" i="1" s="1"/>
  <c r="AH48" i="1" s="1"/>
  <c r="K47" i="28" s="1"/>
  <c r="AA53" i="1"/>
  <c r="AB53" i="1" s="1"/>
  <c r="AC53" i="1" s="1"/>
  <c r="AG53" i="1" s="1"/>
  <c r="AH53" i="1" s="1"/>
  <c r="K52" i="28" s="1"/>
  <c r="AA22" i="1"/>
  <c r="AB22" i="1" s="1"/>
  <c r="AC22" i="1" s="1"/>
  <c r="AG22" i="1" s="1"/>
  <c r="AH22" i="1" s="1"/>
  <c r="AA14" i="1"/>
  <c r="AB14" i="1" s="1"/>
  <c r="AC14" i="1" s="1"/>
  <c r="AG14" i="1" s="1"/>
  <c r="AH14" i="1" s="1"/>
  <c r="K13" i="28" s="1"/>
  <c r="AA45" i="1"/>
  <c r="AB45" i="1" s="1"/>
  <c r="AC45" i="1" s="1"/>
  <c r="AG45" i="1" s="1"/>
  <c r="AH45" i="1" s="1"/>
  <c r="AA31" i="1"/>
  <c r="AB31" i="1" s="1"/>
  <c r="AC31" i="1" s="1"/>
  <c r="AG31" i="1" s="1"/>
  <c r="AH31" i="1" s="1"/>
  <c r="AA34" i="1"/>
  <c r="AB34" i="1" s="1"/>
  <c r="AC34" i="1" s="1"/>
  <c r="AG34" i="1" s="1"/>
  <c r="AH34" i="1" s="1"/>
  <c r="K33" i="28" s="1"/>
  <c r="AE8" i="1"/>
  <c r="F59" i="1"/>
  <c r="AH15" i="1"/>
  <c r="I59" i="1"/>
  <c r="M9" i="1"/>
  <c r="AH33" i="1" l="1"/>
  <c r="K32" i="28" s="1"/>
  <c r="AA59" i="1"/>
  <c r="K26" i="28"/>
  <c r="AF9" i="1"/>
  <c r="M59" i="1"/>
  <c r="K41" i="28"/>
  <c r="K20" i="28"/>
  <c r="K22" i="28"/>
  <c r="K21" i="28"/>
  <c r="K18" i="28"/>
  <c r="AB59" i="1"/>
  <c r="AC8" i="1"/>
  <c r="K16" i="28"/>
  <c r="K42" i="28"/>
  <c r="K36" i="28"/>
  <c r="K28" i="28"/>
  <c r="K11" i="28"/>
  <c r="K49" i="28"/>
  <c r="K25" i="28"/>
  <c r="K43" i="28"/>
  <c r="K17" i="28"/>
  <c r="K48" i="28"/>
  <c r="K54" i="28"/>
  <c r="K14" i="28"/>
  <c r="K27" i="28"/>
  <c r="K9" i="28"/>
  <c r="AE59" i="1"/>
  <c r="K31" i="28"/>
  <c r="K35" i="28"/>
  <c r="K10" i="28"/>
  <c r="K55" i="28"/>
  <c r="K19" i="28"/>
  <c r="K50" i="28"/>
  <c r="K44" i="28"/>
  <c r="K51" i="28"/>
  <c r="K23" i="28"/>
  <c r="K30" i="28"/>
  <c r="AG8" i="1" l="1"/>
  <c r="AC59" i="1"/>
  <c r="AF59" i="1"/>
  <c r="AH9" i="1"/>
  <c r="K8" i="28" l="1"/>
  <c r="AG59" i="1"/>
  <c r="AH8" i="1"/>
  <c r="K7" i="28" l="1"/>
  <c r="AH59" i="1"/>
  <c r="AI8" i="1" s="1"/>
  <c r="G8" i="53" s="1"/>
  <c r="J8" i="53" l="1"/>
  <c r="AI47" i="1"/>
  <c r="G47" i="53" s="1"/>
  <c r="J47" i="53" s="1"/>
  <c r="K47" i="53" s="1"/>
  <c r="AI57" i="1"/>
  <c r="G57" i="53" s="1"/>
  <c r="J57" i="53" s="1"/>
  <c r="K57" i="53" s="1"/>
  <c r="AI38" i="1"/>
  <c r="G38" i="53" s="1"/>
  <c r="J38" i="53" s="1"/>
  <c r="K38" i="53" s="1"/>
  <c r="AI48" i="1"/>
  <c r="G48" i="53" s="1"/>
  <c r="J48" i="53" s="1"/>
  <c r="K48" i="53" s="1"/>
  <c r="AI40" i="1"/>
  <c r="G40" i="53" s="1"/>
  <c r="J40" i="53" s="1"/>
  <c r="K40" i="53" s="1"/>
  <c r="AI35" i="1"/>
  <c r="G35" i="53" s="1"/>
  <c r="J35" i="53" s="1"/>
  <c r="K35" i="53" s="1"/>
  <c r="AI25" i="1"/>
  <c r="G25" i="53" s="1"/>
  <c r="J25" i="53" s="1"/>
  <c r="K25" i="53" s="1"/>
  <c r="AI46" i="1"/>
  <c r="G46" i="53" s="1"/>
  <c r="J46" i="53" s="1"/>
  <c r="K46" i="53" s="1"/>
  <c r="AI39" i="1"/>
  <c r="G39" i="53" s="1"/>
  <c r="J39" i="53" s="1"/>
  <c r="K39" i="53" s="1"/>
  <c r="AI53" i="1"/>
  <c r="G53" i="53" s="1"/>
  <c r="J53" i="53" s="1"/>
  <c r="K53" i="53" s="1"/>
  <c r="AI34" i="1"/>
  <c r="G34" i="53" s="1"/>
  <c r="J34" i="53" s="1"/>
  <c r="K34" i="53" s="1"/>
  <c r="AI30" i="1"/>
  <c r="G30" i="53" s="1"/>
  <c r="J30" i="53" s="1"/>
  <c r="K30" i="53" s="1"/>
  <c r="AI33" i="1"/>
  <c r="G33" i="53" s="1"/>
  <c r="J33" i="53" s="1"/>
  <c r="K33" i="53" s="1"/>
  <c r="AI58" i="1"/>
  <c r="G58" i="53" s="1"/>
  <c r="J58" i="53" s="1"/>
  <c r="K58" i="53" s="1"/>
  <c r="AI13" i="1"/>
  <c r="G13" i="53" s="1"/>
  <c r="J13" i="53" s="1"/>
  <c r="K13" i="53" s="1"/>
  <c r="AI14" i="1"/>
  <c r="G14" i="53" s="1"/>
  <c r="J14" i="53" s="1"/>
  <c r="K14" i="53" s="1"/>
  <c r="AI41" i="1"/>
  <c r="G41" i="53" s="1"/>
  <c r="J41" i="53" s="1"/>
  <c r="K41" i="53" s="1"/>
  <c r="AI16" i="1"/>
  <c r="G16" i="53" s="1"/>
  <c r="J16" i="53" s="1"/>
  <c r="K16" i="53" s="1"/>
  <c r="AI54" i="1"/>
  <c r="G54" i="53" s="1"/>
  <c r="J54" i="53" s="1"/>
  <c r="K54" i="53" s="1"/>
  <c r="AI19" i="1"/>
  <c r="G19" i="53" s="1"/>
  <c r="J19" i="53" s="1"/>
  <c r="K19" i="53" s="1"/>
  <c r="AI17" i="1"/>
  <c r="G17" i="53" s="1"/>
  <c r="J17" i="53" s="1"/>
  <c r="K17" i="53" s="1"/>
  <c r="AI37" i="1"/>
  <c r="G37" i="53" s="1"/>
  <c r="J37" i="53" s="1"/>
  <c r="K37" i="53" s="1"/>
  <c r="AI36" i="1"/>
  <c r="G36" i="53" s="1"/>
  <c r="J36" i="53" s="1"/>
  <c r="K36" i="53" s="1"/>
  <c r="AI56" i="1"/>
  <c r="G56" i="53" s="1"/>
  <c r="J56" i="53" s="1"/>
  <c r="K56" i="53" s="1"/>
  <c r="AI45" i="1"/>
  <c r="G45" i="53" s="1"/>
  <c r="J45" i="53" s="1"/>
  <c r="K45" i="53" s="1"/>
  <c r="AI23" i="1"/>
  <c r="G23" i="53" s="1"/>
  <c r="J23" i="53" s="1"/>
  <c r="K23" i="53" s="1"/>
  <c r="AI12" i="1"/>
  <c r="G12" i="53" s="1"/>
  <c r="J12" i="53" s="1"/>
  <c r="K12" i="53" s="1"/>
  <c r="AI26" i="1"/>
  <c r="G26" i="53" s="1"/>
  <c r="J26" i="53" s="1"/>
  <c r="K26" i="53" s="1"/>
  <c r="AI18" i="1"/>
  <c r="G18" i="53" s="1"/>
  <c r="J18" i="53" s="1"/>
  <c r="K18" i="53" s="1"/>
  <c r="AI55" i="1"/>
  <c r="G55" i="53" s="1"/>
  <c r="J55" i="53" s="1"/>
  <c r="K55" i="53" s="1"/>
  <c r="AI10" i="1"/>
  <c r="G10" i="53" s="1"/>
  <c r="J10" i="53" s="1"/>
  <c r="K10" i="53" s="1"/>
  <c r="AI32" i="1"/>
  <c r="G32" i="53" s="1"/>
  <c r="J32" i="53" s="1"/>
  <c r="K32" i="53" s="1"/>
  <c r="AI20" i="1"/>
  <c r="G20" i="53" s="1"/>
  <c r="J20" i="53" s="1"/>
  <c r="K20" i="53" s="1"/>
  <c r="AI51" i="1"/>
  <c r="G51" i="53" s="1"/>
  <c r="J51" i="53" s="1"/>
  <c r="K51" i="53" s="1"/>
  <c r="AI24" i="1"/>
  <c r="G24" i="53" s="1"/>
  <c r="J24" i="53" s="1"/>
  <c r="K24" i="53" s="1"/>
  <c r="AI42" i="1"/>
  <c r="G42" i="53" s="1"/>
  <c r="J42" i="53" s="1"/>
  <c r="K42" i="53" s="1"/>
  <c r="AI49" i="1"/>
  <c r="G49" i="53" s="1"/>
  <c r="J49" i="53" s="1"/>
  <c r="K49" i="53" s="1"/>
  <c r="AI28" i="1"/>
  <c r="G28" i="53" s="1"/>
  <c r="J28" i="53" s="1"/>
  <c r="K28" i="53" s="1"/>
  <c r="AI11" i="1"/>
  <c r="G11" i="53" s="1"/>
  <c r="J11" i="53" s="1"/>
  <c r="K11" i="53" s="1"/>
  <c r="AI31" i="1"/>
  <c r="G31" i="53" s="1"/>
  <c r="J31" i="53" s="1"/>
  <c r="K31" i="53" s="1"/>
  <c r="AI22" i="1"/>
  <c r="G22" i="53" s="1"/>
  <c r="J22" i="53" s="1"/>
  <c r="K22" i="53" s="1"/>
  <c r="AI43" i="1"/>
  <c r="G43" i="53" s="1"/>
  <c r="J43" i="53" s="1"/>
  <c r="K43" i="53" s="1"/>
  <c r="AI29" i="1"/>
  <c r="G29" i="53" s="1"/>
  <c r="J29" i="53" s="1"/>
  <c r="K29" i="53" s="1"/>
  <c r="AI27" i="1"/>
  <c r="G27" i="53" s="1"/>
  <c r="J27" i="53" s="1"/>
  <c r="K27" i="53" s="1"/>
  <c r="AI21" i="1"/>
  <c r="G21" i="53" s="1"/>
  <c r="J21" i="53" s="1"/>
  <c r="K21" i="53" s="1"/>
  <c r="AI50" i="1"/>
  <c r="G50" i="53" s="1"/>
  <c r="J50" i="53" s="1"/>
  <c r="K50" i="53" s="1"/>
  <c r="AI44" i="1"/>
  <c r="G44" i="53" s="1"/>
  <c r="J44" i="53" s="1"/>
  <c r="K44" i="53" s="1"/>
  <c r="AI15" i="1"/>
  <c r="G15" i="53" s="1"/>
  <c r="J15" i="53" s="1"/>
  <c r="K15" i="53" s="1"/>
  <c r="AI52" i="1"/>
  <c r="G52" i="53" s="1"/>
  <c r="J52" i="53" s="1"/>
  <c r="K52" i="53" s="1"/>
  <c r="AI9" i="1"/>
  <c r="G9" i="53" s="1"/>
  <c r="J9" i="53" s="1"/>
  <c r="K9" i="53" s="1"/>
  <c r="K58" i="28"/>
  <c r="I61" i="28" s="1"/>
  <c r="J4" i="28" s="1"/>
  <c r="J59" i="53" l="1"/>
  <c r="K8" i="53"/>
  <c r="G59" i="53"/>
  <c r="AI59" i="1"/>
  <c r="J12" i="28"/>
  <c r="J45" i="28"/>
  <c r="J44" i="28"/>
  <c r="J18" i="28"/>
  <c r="J50" i="28"/>
  <c r="J13" i="28"/>
  <c r="J16" i="28"/>
  <c r="J56" i="28"/>
  <c r="J38" i="28"/>
  <c r="J55" i="28"/>
  <c r="J19" i="28"/>
  <c r="J20" i="28"/>
  <c r="J41" i="28"/>
  <c r="J11" i="28"/>
  <c r="J17" i="28"/>
  <c r="J57" i="28"/>
  <c r="J51" i="28"/>
  <c r="J39" i="28"/>
  <c r="J43" i="28"/>
  <c r="J37" i="28"/>
  <c r="J8" i="28"/>
  <c r="J22" i="28"/>
  <c r="J23" i="28"/>
  <c r="J33" i="28"/>
  <c r="J29" i="28"/>
  <c r="J46" i="28"/>
  <c r="J31" i="28"/>
  <c r="J27" i="28"/>
  <c r="J25" i="28"/>
  <c r="J26" i="28"/>
  <c r="J49" i="28"/>
  <c r="J10" i="28"/>
  <c r="J40" i="28"/>
  <c r="J21" i="28"/>
  <c r="J42" i="28"/>
  <c r="J30" i="28"/>
  <c r="J48" i="28"/>
  <c r="J32" i="28"/>
  <c r="J35" i="28"/>
  <c r="J9" i="28"/>
  <c r="J54" i="28"/>
  <c r="J14" i="28"/>
  <c r="J53" i="28"/>
  <c r="J7" i="28"/>
  <c r="J28" i="28"/>
  <c r="J15" i="28"/>
  <c r="J24" i="28"/>
  <c r="J52" i="28"/>
  <c r="J34" i="28"/>
  <c r="J47" i="28"/>
  <c r="J36" i="28"/>
  <c r="K59" i="53" l="1"/>
  <c r="M52" i="28"/>
  <c r="L52" i="28"/>
  <c r="M30" i="28"/>
  <c r="L30" i="28"/>
  <c r="L37" i="28"/>
  <c r="M37" i="28"/>
  <c r="L56" i="28"/>
  <c r="M56" i="28"/>
  <c r="L24" i="28"/>
  <c r="M24" i="28"/>
  <c r="L53" i="28"/>
  <c r="M53" i="28"/>
  <c r="L35" i="28"/>
  <c r="O35" i="28" s="1"/>
  <c r="M35" i="28"/>
  <c r="L42" i="28"/>
  <c r="M42" i="28"/>
  <c r="M49" i="28"/>
  <c r="L49" i="28"/>
  <c r="L31" i="28"/>
  <c r="M31" i="28"/>
  <c r="M23" i="28"/>
  <c r="L23" i="28"/>
  <c r="O23" i="28" s="1"/>
  <c r="M43" i="28"/>
  <c r="L43" i="28"/>
  <c r="L17" i="28"/>
  <c r="M17" i="28"/>
  <c r="L19" i="28"/>
  <c r="M19" i="28"/>
  <c r="L16" i="28"/>
  <c r="M16" i="28"/>
  <c r="L44" i="28"/>
  <c r="M44" i="28"/>
  <c r="J58" i="28"/>
  <c r="L7" i="28"/>
  <c r="M7" i="28"/>
  <c r="M27" i="28"/>
  <c r="L27" i="28"/>
  <c r="L20" i="28"/>
  <c r="M20" i="28"/>
  <c r="M36" i="28"/>
  <c r="L36" i="28"/>
  <c r="M15" i="28"/>
  <c r="L15" i="28"/>
  <c r="L14" i="28"/>
  <c r="M14" i="28"/>
  <c r="L32" i="28"/>
  <c r="O32" i="28" s="1"/>
  <c r="M32" i="28"/>
  <c r="L21" i="28"/>
  <c r="M21" i="28"/>
  <c r="M26" i="28"/>
  <c r="L26" i="28"/>
  <c r="L46" i="28"/>
  <c r="M46" i="28"/>
  <c r="M22" i="28"/>
  <c r="L22" i="28"/>
  <c r="L39" i="28"/>
  <c r="M39" i="28"/>
  <c r="M11" i="28"/>
  <c r="L11" i="28"/>
  <c r="L55" i="28"/>
  <c r="M55" i="28"/>
  <c r="M13" i="28"/>
  <c r="L13" i="28"/>
  <c r="L45" i="28"/>
  <c r="M45" i="28"/>
  <c r="L9" i="28"/>
  <c r="M9" i="28"/>
  <c r="L10" i="28"/>
  <c r="M10" i="28"/>
  <c r="L33" i="28"/>
  <c r="O33" i="28" s="1"/>
  <c r="M33" i="28"/>
  <c r="M57" i="28"/>
  <c r="L57" i="28"/>
  <c r="O57" i="28" s="1"/>
  <c r="L18" i="28"/>
  <c r="O18" i="28" s="1"/>
  <c r="M18" i="28"/>
  <c r="L47" i="28"/>
  <c r="M47" i="28"/>
  <c r="M34" i="28"/>
  <c r="L34" i="28"/>
  <c r="M28" i="28"/>
  <c r="L28" i="28"/>
  <c r="L54" i="28"/>
  <c r="M54" i="28"/>
  <c r="L48" i="28"/>
  <c r="M48" i="28"/>
  <c r="M40" i="28"/>
  <c r="L40" i="28"/>
  <c r="L25" i="28"/>
  <c r="M25" i="28"/>
  <c r="L29" i="28"/>
  <c r="M29" i="28"/>
  <c r="M8" i="28"/>
  <c r="L8" i="28"/>
  <c r="L51" i="28"/>
  <c r="M51" i="28"/>
  <c r="M41" i="28"/>
  <c r="L41" i="28"/>
  <c r="L38" i="28"/>
  <c r="O38" i="28" s="1"/>
  <c r="M38" i="28"/>
  <c r="M50" i="28"/>
  <c r="L50" i="28"/>
  <c r="O50" i="28" s="1"/>
  <c r="L12" i="28"/>
  <c r="M12" i="28"/>
  <c r="L51" i="53" l="1"/>
  <c r="L21" i="53"/>
  <c r="L47" i="53"/>
  <c r="L50" i="53"/>
  <c r="L18" i="53"/>
  <c r="L32" i="53"/>
  <c r="L54" i="53"/>
  <c r="L53" i="53"/>
  <c r="L40" i="53"/>
  <c r="L43" i="53"/>
  <c r="L27" i="53"/>
  <c r="L46" i="53"/>
  <c r="L15" i="53"/>
  <c r="L37" i="53"/>
  <c r="L41" i="53"/>
  <c r="L10" i="53"/>
  <c r="L42" i="53"/>
  <c r="L55" i="53"/>
  <c r="L56" i="53"/>
  <c r="L31" i="53"/>
  <c r="L28" i="53"/>
  <c r="L9" i="53"/>
  <c r="L30" i="53"/>
  <c r="L29" i="53"/>
  <c r="L26" i="53"/>
  <c r="L23" i="53"/>
  <c r="L16" i="53"/>
  <c r="L14" i="53"/>
  <c r="L58" i="53"/>
  <c r="L35" i="53"/>
  <c r="L57" i="53"/>
  <c r="L44" i="53"/>
  <c r="L39" i="53"/>
  <c r="L11" i="53"/>
  <c r="L36" i="53"/>
  <c r="L13" i="53"/>
  <c r="L45" i="53"/>
  <c r="L34" i="53"/>
  <c r="L38" i="53"/>
  <c r="L52" i="53"/>
  <c r="L24" i="53"/>
  <c r="L20" i="53"/>
  <c r="L12" i="53"/>
  <c r="L49" i="53"/>
  <c r="L19" i="53"/>
  <c r="L25" i="53"/>
  <c r="L33" i="53"/>
  <c r="L22" i="53"/>
  <c r="L17" i="53"/>
  <c r="L48" i="53"/>
  <c r="L8" i="53"/>
  <c r="M58" i="28"/>
  <c r="P38" i="28"/>
  <c r="P18" i="28"/>
  <c r="P33" i="28"/>
  <c r="P32" i="28"/>
  <c r="L58" i="28"/>
  <c r="P23" i="28"/>
  <c r="P50" i="28"/>
  <c r="P57" i="28"/>
  <c r="P35" i="28"/>
  <c r="L59" i="53" l="1"/>
  <c r="N4" i="28"/>
  <c r="N50" i="28" s="1"/>
  <c r="N31" i="28" l="1"/>
  <c r="O31" i="28" s="1"/>
  <c r="P31" i="28" s="1"/>
  <c r="N44" i="28"/>
  <c r="O44" i="28" s="1"/>
  <c r="P44" i="28" s="1"/>
  <c r="N48" i="28"/>
  <c r="O48" i="28" s="1"/>
  <c r="P48" i="28" s="1"/>
  <c r="N22" i="28"/>
  <c r="O22" i="28" s="1"/>
  <c r="P22" i="28" s="1"/>
  <c r="N15" i="28"/>
  <c r="O15" i="28" s="1"/>
  <c r="P15" i="28" s="1"/>
  <c r="N28" i="28"/>
  <c r="O28" i="28" s="1"/>
  <c r="P28" i="28" s="1"/>
  <c r="N16" i="28"/>
  <c r="O16" i="28" s="1"/>
  <c r="P16" i="28" s="1"/>
  <c r="N55" i="28"/>
  <c r="O55" i="28" s="1"/>
  <c r="P55" i="28" s="1"/>
  <c r="N14" i="28"/>
  <c r="O14" i="28" s="1"/>
  <c r="P14" i="28" s="1"/>
  <c r="N19" i="28"/>
  <c r="O19" i="28" s="1"/>
  <c r="P19" i="28" s="1"/>
  <c r="N49" i="28"/>
  <c r="O49" i="28" s="1"/>
  <c r="P49" i="28" s="1"/>
  <c r="N38" i="28"/>
  <c r="N42" i="28"/>
  <c r="O42" i="28" s="1"/>
  <c r="P42" i="28" s="1"/>
  <c r="N54" i="28"/>
  <c r="O54" i="28" s="1"/>
  <c r="P54" i="28" s="1"/>
  <c r="N51" i="28"/>
  <c r="O51" i="28" s="1"/>
  <c r="P51" i="28" s="1"/>
  <c r="N29" i="28"/>
  <c r="O29" i="28" s="1"/>
  <c r="P29" i="28" s="1"/>
  <c r="N9" i="28"/>
  <c r="O9" i="28" s="1"/>
  <c r="P9" i="28" s="1"/>
  <c r="N40" i="28"/>
  <c r="O40" i="28" s="1"/>
  <c r="P40" i="28" s="1"/>
  <c r="N18" i="28"/>
  <c r="N43" i="28"/>
  <c r="O43" i="28" s="1"/>
  <c r="P43" i="28" s="1"/>
  <c r="N26" i="28"/>
  <c r="O26" i="28" s="1"/>
  <c r="P26" i="28" s="1"/>
  <c r="N20" i="28"/>
  <c r="O20" i="28" s="1"/>
  <c r="P20" i="28" s="1"/>
  <c r="N30" i="28"/>
  <c r="O30" i="28" s="1"/>
  <c r="P30" i="28" s="1"/>
  <c r="N17" i="28"/>
  <c r="O17" i="28" s="1"/>
  <c r="P17" i="28" s="1"/>
  <c r="N13" i="28"/>
  <c r="O13" i="28" s="1"/>
  <c r="P13" i="28" s="1"/>
  <c r="N36" i="28"/>
  <c r="O36" i="28" s="1"/>
  <c r="P36" i="28" s="1"/>
  <c r="N35" i="28"/>
  <c r="N24" i="28"/>
  <c r="O24" i="28" s="1"/>
  <c r="P24" i="28" s="1"/>
  <c r="N34" i="28"/>
  <c r="O34" i="28" s="1"/>
  <c r="P34" i="28" s="1"/>
  <c r="N57" i="28"/>
  <c r="N41" i="28"/>
  <c r="O41" i="28" s="1"/>
  <c r="P41" i="28" s="1"/>
  <c r="N23" i="28"/>
  <c r="N52" i="28"/>
  <c r="O52" i="28" s="1"/>
  <c r="P52" i="28" s="1"/>
  <c r="N47" i="28"/>
  <c r="O47" i="28" s="1"/>
  <c r="P47" i="28" s="1"/>
  <c r="N10" i="28"/>
  <c r="O10" i="28" s="1"/>
  <c r="P10" i="28" s="1"/>
  <c r="N37" i="28"/>
  <c r="O37" i="28" s="1"/>
  <c r="P37" i="28" s="1"/>
  <c r="N45" i="28"/>
  <c r="O45" i="28" s="1"/>
  <c r="P45" i="28" s="1"/>
  <c r="N32" i="28"/>
  <c r="N39" i="28"/>
  <c r="O39" i="28" s="1"/>
  <c r="P39" i="28" s="1"/>
  <c r="N7" i="28"/>
  <c r="O7" i="28" s="1"/>
  <c r="P7" i="28" s="1"/>
  <c r="N21" i="28"/>
  <c r="O21" i="28" s="1"/>
  <c r="P21" i="28" s="1"/>
  <c r="N56" i="28"/>
  <c r="O56" i="28" s="1"/>
  <c r="P56" i="28" s="1"/>
  <c r="N11" i="28"/>
  <c r="O11" i="28" s="1"/>
  <c r="P11" i="28" s="1"/>
  <c r="N25" i="28"/>
  <c r="O25" i="28" s="1"/>
  <c r="P25" i="28" s="1"/>
  <c r="N12" i="28"/>
  <c r="O12" i="28" s="1"/>
  <c r="P12" i="28" s="1"/>
  <c r="N8" i="28"/>
  <c r="O8" i="28" s="1"/>
  <c r="P8" i="28" s="1"/>
  <c r="N46" i="28"/>
  <c r="O46" i="28" s="1"/>
  <c r="P46" i="28" s="1"/>
  <c r="N27" i="28"/>
  <c r="O27" i="28" s="1"/>
  <c r="P27" i="28" s="1"/>
  <c r="N33" i="28"/>
  <c r="N53" i="28"/>
  <c r="O53" i="28" s="1"/>
  <c r="P53" i="28" s="1"/>
  <c r="N58" i="28" l="1"/>
  <c r="O58" i="28"/>
  <c r="P58" i="28" s="1"/>
  <c r="Q27" i="28" l="1"/>
  <c r="Q11" i="28"/>
  <c r="Q17" i="28"/>
  <c r="Q16" i="28"/>
  <c r="Q33" i="28"/>
  <c r="Q41" i="28"/>
  <c r="Q13" i="28"/>
  <c r="Q44" i="28"/>
  <c r="Q32" i="28"/>
  <c r="Q40" i="28"/>
  <c r="Q15" i="28"/>
  <c r="Q47" i="28"/>
  <c r="Q12" i="28"/>
  <c r="Q35" i="28"/>
  <c r="Q55" i="28"/>
  <c r="Q19" i="28"/>
  <c r="Q38" i="28"/>
  <c r="Q30" i="28"/>
  <c r="Q22" i="28"/>
  <c r="Q26" i="28"/>
  <c r="Q56" i="28"/>
  <c r="Q43" i="28"/>
  <c r="Q54" i="28"/>
  <c r="Q34" i="28"/>
  <c r="Q48" i="28"/>
  <c r="Q23" i="28"/>
  <c r="Q31" i="28"/>
  <c r="Q28" i="28"/>
  <c r="Q25" i="28"/>
  <c r="Q29" i="28"/>
  <c r="Q45" i="28"/>
  <c r="Q9" i="28"/>
  <c r="Q46" i="28"/>
  <c r="Q51" i="28"/>
  <c r="Q39" i="28"/>
  <c r="Q20" i="28"/>
  <c r="Q49" i="28"/>
  <c r="Q7" i="28"/>
  <c r="Q42" i="28"/>
  <c r="Q14" i="28"/>
  <c r="Q57" i="28"/>
  <c r="Q24" i="28"/>
  <c r="Q18" i="28"/>
  <c r="Q50" i="28"/>
  <c r="Q36" i="28"/>
  <c r="Q8" i="28"/>
  <c r="Q52" i="28"/>
  <c r="Q37" i="28"/>
  <c r="Q10" i="28"/>
  <c r="Q21" i="28"/>
  <c r="Q53" i="28"/>
  <c r="L19" i="46" l="1"/>
  <c r="L38" i="46"/>
  <c r="L50" i="46"/>
  <c r="L46" i="46"/>
  <c r="L7" i="46"/>
  <c r="L8" i="46"/>
  <c r="L36" i="46"/>
  <c r="L51" i="46"/>
  <c r="L14" i="46"/>
  <c r="L39" i="46"/>
  <c r="L35" i="46"/>
  <c r="L45" i="46"/>
  <c r="L31" i="46"/>
  <c r="L49" i="46"/>
  <c r="L25" i="46"/>
  <c r="L43" i="46"/>
  <c r="L17" i="46"/>
  <c r="L44" i="46"/>
  <c r="L21" i="46"/>
  <c r="L12" i="46"/>
  <c r="L23" i="46"/>
  <c r="L28" i="46"/>
  <c r="L29" i="46"/>
  <c r="L40" i="46"/>
  <c r="L24" i="46"/>
  <c r="L32" i="46"/>
  <c r="L27" i="46"/>
  <c r="L15" i="46"/>
  <c r="L41" i="46"/>
  <c r="L54" i="46"/>
  <c r="L22" i="46"/>
  <c r="L10" i="46"/>
  <c r="L33" i="46"/>
  <c r="L53" i="46"/>
  <c r="L42" i="46"/>
  <c r="L55" i="46"/>
  <c r="L56" i="46"/>
  <c r="L37" i="46"/>
  <c r="L13" i="46"/>
  <c r="L18" i="46"/>
  <c r="L52" i="46"/>
  <c r="L30" i="46"/>
  <c r="L16" i="46"/>
  <c r="L20" i="46"/>
  <c r="L6" i="46"/>
  <c r="Q58" i="28"/>
  <c r="L34" i="46"/>
  <c r="L9" i="46"/>
  <c r="L48" i="46"/>
  <c r="L47" i="46"/>
  <c r="L11" i="46"/>
  <c r="L26" i="46"/>
  <c r="J34" i="56"/>
  <c r="W34" i="56" s="1"/>
  <c r="I34" i="46" s="1"/>
  <c r="J14" i="56"/>
  <c r="W14" i="56" s="1"/>
  <c r="I14" i="46" s="1"/>
  <c r="J31" i="56"/>
  <c r="W31" i="56" s="1"/>
  <c r="I31" i="46" s="1"/>
  <c r="J41" i="56"/>
  <c r="W41" i="56" s="1"/>
  <c r="I41" i="46" s="1"/>
  <c r="J27" i="56"/>
  <c r="W27" i="56" s="1"/>
  <c r="I27" i="46" s="1"/>
  <c r="J35" i="56"/>
  <c r="W35" i="56" s="1"/>
  <c r="I35" i="46" s="1"/>
  <c r="J11" i="56"/>
  <c r="W11" i="56" s="1"/>
  <c r="I11" i="46" s="1"/>
  <c r="J30" i="56"/>
  <c r="W30" i="56" s="1"/>
  <c r="I30" i="46" s="1"/>
  <c r="J39" i="56"/>
  <c r="W39" i="56" s="1"/>
  <c r="I39" i="46" s="1"/>
  <c r="J9" i="56"/>
  <c r="W9" i="56" s="1"/>
  <c r="I9" i="46" s="1"/>
  <c r="J38" i="56"/>
  <c r="W38" i="56" s="1"/>
  <c r="I38" i="46" s="1"/>
  <c r="J8" i="56"/>
  <c r="W8" i="56" s="1"/>
  <c r="I8" i="46" s="1"/>
  <c r="J56" i="56"/>
  <c r="W56" i="56" s="1"/>
  <c r="I56" i="46" s="1"/>
  <c r="J53" i="56"/>
  <c r="W53" i="56" s="1"/>
  <c r="I53" i="46" s="1"/>
  <c r="J45" i="56"/>
  <c r="W45" i="56" s="1"/>
  <c r="I45" i="46" s="1"/>
  <c r="J50" i="56"/>
  <c r="W50" i="56" s="1"/>
  <c r="I50" i="46" s="1"/>
  <c r="J36" i="56"/>
  <c r="W36" i="56" s="1"/>
  <c r="I36" i="46" s="1"/>
  <c r="J12" i="56"/>
  <c r="W12" i="56" s="1"/>
  <c r="I12" i="46" s="1"/>
  <c r="J17" i="56"/>
  <c r="W17" i="56" s="1"/>
  <c r="I17" i="46" s="1"/>
  <c r="J23" i="56"/>
  <c r="W23" i="56" s="1"/>
  <c r="I23" i="46" s="1"/>
  <c r="J15" i="56"/>
  <c r="W15" i="56" s="1"/>
  <c r="I15" i="46" s="1"/>
  <c r="J29" i="56"/>
  <c r="W29" i="56" s="1"/>
  <c r="I29" i="46" s="1"/>
  <c r="J47" i="56"/>
  <c r="W47" i="56" s="1"/>
  <c r="I47" i="46" s="1"/>
  <c r="J28" i="56"/>
  <c r="W28" i="56" s="1"/>
  <c r="I28" i="46" s="1"/>
  <c r="J42" i="56"/>
  <c r="W42" i="56" s="1"/>
  <c r="I42" i="46" s="1"/>
  <c r="J20" i="56"/>
  <c r="W20" i="56" s="1"/>
  <c r="I20" i="46" s="1"/>
  <c r="J10" i="56"/>
  <c r="W10" i="56" s="1"/>
  <c r="I10" i="46" s="1"/>
  <c r="J40" i="56"/>
  <c r="W40" i="56" s="1"/>
  <c r="I40" i="46" s="1"/>
  <c r="J13" i="56"/>
  <c r="W13" i="56" s="1"/>
  <c r="I13" i="46" s="1"/>
  <c r="J21" i="56"/>
  <c r="W21" i="56" s="1"/>
  <c r="I21" i="46" s="1"/>
  <c r="J46" i="56"/>
  <c r="W46" i="56" s="1"/>
  <c r="I46" i="46" s="1"/>
  <c r="J54" i="56"/>
  <c r="W54" i="56" s="1"/>
  <c r="I54" i="46" s="1"/>
  <c r="J22" i="56"/>
  <c r="W22" i="56" s="1"/>
  <c r="I22" i="46" s="1"/>
  <c r="J52" i="56"/>
  <c r="W52" i="56" s="1"/>
  <c r="I52" i="46" s="1"/>
  <c r="J26" i="56"/>
  <c r="W26" i="56" s="1"/>
  <c r="I26" i="46" s="1"/>
  <c r="J48" i="56"/>
  <c r="W48" i="56" s="1"/>
  <c r="I48" i="46" s="1"/>
  <c r="J24" i="56"/>
  <c r="W24" i="56" s="1"/>
  <c r="I24" i="46" s="1"/>
  <c r="J49" i="56"/>
  <c r="W49" i="56" s="1"/>
  <c r="I49" i="46" s="1"/>
  <c r="J18" i="56"/>
  <c r="W18" i="56" s="1"/>
  <c r="I18" i="46" s="1"/>
  <c r="J25" i="56"/>
  <c r="W25" i="56" s="1"/>
  <c r="I25" i="46" s="1"/>
  <c r="J55" i="56"/>
  <c r="W55" i="56" s="1"/>
  <c r="I55" i="46" s="1"/>
  <c r="J51" i="56"/>
  <c r="W51" i="56" s="1"/>
  <c r="I51" i="46" s="1"/>
  <c r="J16" i="56"/>
  <c r="W16" i="56" s="1"/>
  <c r="I16" i="46" s="1"/>
  <c r="J33" i="56"/>
  <c r="W33" i="56" s="1"/>
  <c r="I33" i="46" s="1"/>
  <c r="J44" i="56"/>
  <c r="W44" i="56" s="1"/>
  <c r="I44" i="46" s="1"/>
  <c r="J32" i="56"/>
  <c r="W32" i="56" s="1"/>
  <c r="I32" i="46" s="1"/>
  <c r="J7" i="56"/>
  <c r="W7" i="56" s="1"/>
  <c r="I7" i="46" s="1"/>
  <c r="J43" i="56"/>
  <c r="W43" i="56" s="1"/>
  <c r="I43" i="46" s="1"/>
  <c r="J19" i="56"/>
  <c r="W19" i="56" s="1"/>
  <c r="I19" i="46" s="1"/>
  <c r="J37" i="56"/>
  <c r="W37" i="56" s="1"/>
  <c r="I37" i="46" s="1"/>
  <c r="L57" i="46" l="1"/>
  <c r="J6" i="56"/>
  <c r="W6" i="56" l="1"/>
  <c r="J57" i="56"/>
  <c r="W57" i="56" l="1"/>
  <c r="I6" i="46"/>
  <c r="I57" i="46" l="1"/>
  <c r="K16" i="56" l="1"/>
  <c r="X16" i="56" s="1"/>
  <c r="K16" i="46" s="1"/>
  <c r="K42" i="56"/>
  <c r="X42" i="56" s="1"/>
  <c r="K42" i="46" s="1"/>
  <c r="K36" i="56"/>
  <c r="X36" i="56" s="1"/>
  <c r="K36" i="46" s="1"/>
  <c r="K44" i="56"/>
  <c r="X44" i="56" s="1"/>
  <c r="K44" i="46" s="1"/>
  <c r="K47" i="56"/>
  <c r="X47" i="56" s="1"/>
  <c r="K47" i="46" s="1"/>
  <c r="K56" i="56"/>
  <c r="X56" i="56" s="1"/>
  <c r="K56" i="46" s="1"/>
  <c r="K15" i="56"/>
  <c r="X15" i="56" s="1"/>
  <c r="K15" i="46" s="1"/>
  <c r="K20" i="56"/>
  <c r="X20" i="56" s="1"/>
  <c r="K20" i="46" s="1"/>
  <c r="K14" i="56"/>
  <c r="X14" i="56" s="1"/>
  <c r="K14" i="46" s="1"/>
  <c r="K38" i="56"/>
  <c r="X38" i="56" s="1"/>
  <c r="K38" i="46" s="1"/>
  <c r="K46" i="56"/>
  <c r="X46" i="56" s="1"/>
  <c r="K46" i="46" s="1"/>
  <c r="K21" i="56"/>
  <c r="X21" i="56" s="1"/>
  <c r="K21" i="46" s="1"/>
  <c r="K22" i="56"/>
  <c r="X22" i="56" s="1"/>
  <c r="K22" i="46" s="1"/>
  <c r="K35" i="56"/>
  <c r="X35" i="56" s="1"/>
  <c r="K35" i="46" s="1"/>
  <c r="K29" i="56"/>
  <c r="X29" i="56" s="1"/>
  <c r="K29" i="46" s="1"/>
  <c r="K8" i="56"/>
  <c r="X8" i="56" s="1"/>
  <c r="K8" i="46" s="1"/>
  <c r="K12" i="56"/>
  <c r="X12" i="56" s="1"/>
  <c r="K12" i="46" s="1"/>
  <c r="K39" i="56"/>
  <c r="X39" i="56" s="1"/>
  <c r="K39" i="46" s="1"/>
  <c r="K11" i="56"/>
  <c r="X11" i="56" s="1"/>
  <c r="K11" i="46" s="1"/>
  <c r="K23" i="56"/>
  <c r="X23" i="56" s="1"/>
  <c r="K23" i="46" s="1"/>
  <c r="K28" i="56"/>
  <c r="X28" i="56" s="1"/>
  <c r="K28" i="46" s="1"/>
  <c r="K19" i="56"/>
  <c r="X19" i="56" s="1"/>
  <c r="K19" i="46" s="1"/>
  <c r="K33" i="56"/>
  <c r="X33" i="56" s="1"/>
  <c r="K33" i="46" s="1"/>
  <c r="K18" i="56"/>
  <c r="X18" i="56" s="1"/>
  <c r="K18" i="46" s="1"/>
  <c r="K25" i="56"/>
  <c r="X25" i="56" s="1"/>
  <c r="K25" i="46" s="1"/>
  <c r="K54" i="56"/>
  <c r="X54" i="56" s="1"/>
  <c r="K54" i="46" s="1"/>
  <c r="K30" i="56"/>
  <c r="X30" i="56" s="1"/>
  <c r="K30" i="46" s="1"/>
  <c r="K34" i="56"/>
  <c r="X34" i="56" s="1"/>
  <c r="K34" i="46" s="1"/>
  <c r="K50" i="56"/>
  <c r="X50" i="56" s="1"/>
  <c r="K50" i="46" s="1"/>
  <c r="K51" i="56"/>
  <c r="X51" i="56" s="1"/>
  <c r="K51" i="46" s="1"/>
  <c r="K6" i="56"/>
  <c r="K43" i="56"/>
  <c r="X43" i="56" s="1"/>
  <c r="K43" i="46" s="1"/>
  <c r="K53" i="56"/>
  <c r="X53" i="56" s="1"/>
  <c r="K53" i="46" s="1"/>
  <c r="K45" i="56"/>
  <c r="X45" i="56" s="1"/>
  <c r="K45" i="46" s="1"/>
  <c r="K13" i="56"/>
  <c r="X13" i="56" s="1"/>
  <c r="K13" i="46" s="1"/>
  <c r="K37" i="56"/>
  <c r="X37" i="56" s="1"/>
  <c r="K37" i="46" s="1"/>
  <c r="K41" i="56"/>
  <c r="X41" i="56" s="1"/>
  <c r="K41" i="46" s="1"/>
  <c r="K32" i="56"/>
  <c r="X32" i="56" s="1"/>
  <c r="K32" i="46" s="1"/>
  <c r="K26" i="56"/>
  <c r="X26" i="56" s="1"/>
  <c r="K26" i="46" s="1"/>
  <c r="K52" i="56"/>
  <c r="X52" i="56" s="1"/>
  <c r="K52" i="46" s="1"/>
  <c r="K55" i="56"/>
  <c r="X55" i="56" s="1"/>
  <c r="K55" i="46" s="1"/>
  <c r="K40" i="56"/>
  <c r="X40" i="56" s="1"/>
  <c r="K40" i="46" s="1"/>
  <c r="K7" i="56"/>
  <c r="X7" i="56" s="1"/>
  <c r="K7" i="46" s="1"/>
  <c r="K10" i="56"/>
  <c r="X10" i="56" s="1"/>
  <c r="K10" i="46" s="1"/>
  <c r="K24" i="56"/>
  <c r="X24" i="56" s="1"/>
  <c r="K24" i="46" s="1"/>
  <c r="K27" i="56"/>
  <c r="X27" i="56" s="1"/>
  <c r="K27" i="46" s="1"/>
  <c r="K49" i="56"/>
  <c r="X49" i="56" s="1"/>
  <c r="K49" i="46" s="1"/>
  <c r="K48" i="56"/>
  <c r="X48" i="56" s="1"/>
  <c r="K48" i="46" s="1"/>
  <c r="K17" i="56"/>
  <c r="X17" i="56" s="1"/>
  <c r="K17" i="46" s="1"/>
  <c r="K31" i="56"/>
  <c r="X31" i="56" s="1"/>
  <c r="K31" i="46" s="1"/>
  <c r="X6" i="56" l="1"/>
  <c r="K6" i="46" s="1"/>
  <c r="K9" i="56"/>
  <c r="X9" i="56" s="1"/>
  <c r="K9" i="46" s="1"/>
  <c r="K57" i="46" l="1"/>
  <c r="X57" i="56"/>
  <c r="K57" i="56"/>
  <c r="I19" i="56" l="1"/>
  <c r="V19" i="56" s="1"/>
  <c r="H19" i="46" s="1"/>
  <c r="I12" i="56"/>
  <c r="V12" i="56" s="1"/>
  <c r="H12" i="46" s="1"/>
  <c r="I8" i="56"/>
  <c r="V8" i="56" s="1"/>
  <c r="H8" i="46" s="1"/>
  <c r="I11" i="56"/>
  <c r="V11" i="56" s="1"/>
  <c r="H11" i="46" s="1"/>
  <c r="I29" i="56"/>
  <c r="V29" i="56" s="1"/>
  <c r="H29" i="46" s="1"/>
  <c r="I46" i="56"/>
  <c r="V46" i="56" s="1"/>
  <c r="H46" i="46" s="1"/>
  <c r="I39" i="56"/>
  <c r="V39" i="56" s="1"/>
  <c r="H39" i="46" s="1"/>
  <c r="I23" i="56"/>
  <c r="V23" i="56" s="1"/>
  <c r="H23" i="46" s="1"/>
  <c r="I7" i="56"/>
  <c r="V7" i="56" s="1"/>
  <c r="H7" i="46" s="1"/>
  <c r="I53" i="56"/>
  <c r="V53" i="56" s="1"/>
  <c r="H53" i="46" s="1"/>
  <c r="I26" i="56"/>
  <c r="V26" i="56" s="1"/>
  <c r="H26" i="46" s="1"/>
  <c r="I21" i="56"/>
  <c r="V21" i="56" s="1"/>
  <c r="H21" i="46" s="1"/>
  <c r="I41" i="56"/>
  <c r="V41" i="56" s="1"/>
  <c r="H41" i="46" s="1"/>
  <c r="I28" i="56"/>
  <c r="V28" i="56" s="1"/>
  <c r="H28" i="46" s="1"/>
  <c r="I10" i="56"/>
  <c r="V10" i="56" s="1"/>
  <c r="H10" i="46" s="1"/>
  <c r="I35" i="56"/>
  <c r="V35" i="56" s="1"/>
  <c r="H35" i="46" s="1"/>
  <c r="I47" i="56"/>
  <c r="V47" i="56" s="1"/>
  <c r="H47" i="46" s="1"/>
  <c r="I14" i="56"/>
  <c r="V14" i="56" s="1"/>
  <c r="H14" i="46" s="1"/>
  <c r="I54" i="56"/>
  <c r="V54" i="56" s="1"/>
  <c r="H54" i="46" s="1"/>
  <c r="I16" i="56"/>
  <c r="V16" i="56" s="1"/>
  <c r="H16" i="46" s="1"/>
  <c r="I33" i="56"/>
  <c r="V33" i="56" s="1"/>
  <c r="H33" i="46" s="1"/>
  <c r="I13" i="56"/>
  <c r="V13" i="56" s="1"/>
  <c r="H13" i="46" s="1"/>
  <c r="I32" i="56"/>
  <c r="V32" i="56" s="1"/>
  <c r="H32" i="46" s="1"/>
  <c r="I52" i="56"/>
  <c r="V52" i="56" s="1"/>
  <c r="H52" i="46" s="1"/>
  <c r="I24" i="56"/>
  <c r="V24" i="56" s="1"/>
  <c r="H24" i="46" s="1"/>
  <c r="I56" i="56"/>
  <c r="V56" i="56" s="1"/>
  <c r="H56" i="46" s="1"/>
  <c r="I48" i="56"/>
  <c r="V48" i="56" s="1"/>
  <c r="H48" i="46" s="1"/>
  <c r="I49" i="56"/>
  <c r="V49" i="56" s="1"/>
  <c r="H49" i="46" s="1"/>
  <c r="I31" i="56"/>
  <c r="V31" i="56" s="1"/>
  <c r="H31" i="46" s="1"/>
  <c r="I38" i="56"/>
  <c r="V38" i="56" s="1"/>
  <c r="H38" i="46" s="1"/>
  <c r="I34" i="56"/>
  <c r="V34" i="56" s="1"/>
  <c r="H34" i="46" s="1"/>
  <c r="I9" i="56"/>
  <c r="V9" i="56" s="1"/>
  <c r="H9" i="46" s="1"/>
  <c r="I40" i="56"/>
  <c r="V40" i="56" s="1"/>
  <c r="H40" i="46" s="1"/>
  <c r="I30" i="56"/>
  <c r="V30" i="56" s="1"/>
  <c r="H30" i="46" s="1"/>
  <c r="I44" i="56"/>
  <c r="V44" i="56" s="1"/>
  <c r="H44" i="46" s="1"/>
  <c r="I25" i="56"/>
  <c r="V25" i="56" s="1"/>
  <c r="H25" i="46" s="1"/>
  <c r="I55" i="56"/>
  <c r="V55" i="56" s="1"/>
  <c r="H55" i="46" s="1"/>
  <c r="I45" i="56"/>
  <c r="V45" i="56" s="1"/>
  <c r="H45" i="46" s="1"/>
  <c r="I27" i="56"/>
  <c r="V27" i="56" s="1"/>
  <c r="H27" i="46" s="1"/>
  <c r="I15" i="56"/>
  <c r="V15" i="56" s="1"/>
  <c r="H15" i="46" s="1"/>
  <c r="I20" i="56"/>
  <c r="V20" i="56" s="1"/>
  <c r="H20" i="46" s="1"/>
  <c r="I18" i="56"/>
  <c r="V18" i="56" s="1"/>
  <c r="H18" i="46" s="1"/>
  <c r="I50" i="56"/>
  <c r="V50" i="56" s="1"/>
  <c r="H50" i="46" s="1"/>
  <c r="I36" i="56"/>
  <c r="V36" i="56" s="1"/>
  <c r="H36" i="46" s="1"/>
  <c r="I43" i="56"/>
  <c r="V43" i="56" s="1"/>
  <c r="H43" i="46" s="1"/>
  <c r="I42" i="56"/>
  <c r="V42" i="56" s="1"/>
  <c r="H42" i="46" s="1"/>
  <c r="I22" i="56"/>
  <c r="V22" i="56" s="1"/>
  <c r="H22" i="46" s="1"/>
  <c r="I6" i="56"/>
  <c r="I51" i="56"/>
  <c r="V51" i="56" s="1"/>
  <c r="H51" i="46" s="1"/>
  <c r="I37" i="56"/>
  <c r="V37" i="56" s="1"/>
  <c r="H37" i="46" s="1"/>
  <c r="I17" i="56"/>
  <c r="V17" i="56" s="1"/>
  <c r="H17" i="46" s="1"/>
  <c r="B20" i="56"/>
  <c r="B19" i="56"/>
  <c r="B11" i="56"/>
  <c r="B8" i="56"/>
  <c r="B44" i="56"/>
  <c r="B39" i="56"/>
  <c r="B23" i="56"/>
  <c r="B29" i="56"/>
  <c r="B12" i="56"/>
  <c r="B42" i="56"/>
  <c r="B24" i="56"/>
  <c r="B48" i="56"/>
  <c r="B27" i="56"/>
  <c r="B17" i="56"/>
  <c r="B56" i="56"/>
  <c r="B47" i="56"/>
  <c r="B33" i="56"/>
  <c r="B21" i="56"/>
  <c r="B37" i="56"/>
  <c r="B49" i="56"/>
  <c r="B38" i="56"/>
  <c r="B22" i="56"/>
  <c r="B53" i="56"/>
  <c r="B45" i="56"/>
  <c r="B7" i="56"/>
  <c r="B15" i="56"/>
  <c r="B30" i="56"/>
  <c r="B50" i="56"/>
  <c r="B36" i="56"/>
  <c r="B6" i="56"/>
  <c r="B40" i="56"/>
  <c r="B25" i="56"/>
  <c r="B26" i="56"/>
  <c r="B51" i="56"/>
  <c r="B13" i="56"/>
  <c r="B41" i="56"/>
  <c r="B35" i="56"/>
  <c r="B10" i="56"/>
  <c r="B31" i="56"/>
  <c r="B16" i="56"/>
  <c r="B9" i="56"/>
  <c r="B52" i="56"/>
  <c r="B46" i="56"/>
  <c r="B14" i="56"/>
  <c r="B54" i="56"/>
  <c r="B55" i="56"/>
  <c r="B32" i="56"/>
  <c r="B28" i="56"/>
  <c r="B43" i="56"/>
  <c r="B34" i="56"/>
  <c r="B18" i="56"/>
  <c r="H11" i="56"/>
  <c r="U11" i="56" s="1"/>
  <c r="G11" i="46" s="1"/>
  <c r="H8" i="56"/>
  <c r="U8" i="56" s="1"/>
  <c r="G8" i="46" s="1"/>
  <c r="H23" i="56"/>
  <c r="U23" i="56" s="1"/>
  <c r="G23" i="46" s="1"/>
  <c r="H19" i="56"/>
  <c r="U19" i="56" s="1"/>
  <c r="G19" i="46" s="1"/>
  <c r="H12" i="56"/>
  <c r="U12" i="56" s="1"/>
  <c r="G12" i="46" s="1"/>
  <c r="H46" i="56"/>
  <c r="U46" i="56" s="1"/>
  <c r="G46" i="46" s="1"/>
  <c r="H29" i="56"/>
  <c r="U29" i="56" s="1"/>
  <c r="G29" i="46" s="1"/>
  <c r="H39" i="56"/>
  <c r="U39" i="56" s="1"/>
  <c r="G39" i="46" s="1"/>
  <c r="H25" i="56"/>
  <c r="U25" i="56" s="1"/>
  <c r="G25" i="46" s="1"/>
  <c r="H30" i="56"/>
  <c r="U30" i="56" s="1"/>
  <c r="G30" i="46" s="1"/>
  <c r="H50" i="56"/>
  <c r="U50" i="56" s="1"/>
  <c r="G50" i="46" s="1"/>
  <c r="H36" i="56"/>
  <c r="U36" i="56" s="1"/>
  <c r="G36" i="46" s="1"/>
  <c r="H6" i="56"/>
  <c r="H13" i="56"/>
  <c r="U13" i="56" s="1"/>
  <c r="G13" i="46" s="1"/>
  <c r="H26" i="56"/>
  <c r="U26" i="56" s="1"/>
  <c r="G26" i="46" s="1"/>
  <c r="H47" i="56"/>
  <c r="U47" i="56" s="1"/>
  <c r="G47" i="46" s="1"/>
  <c r="H37" i="56"/>
  <c r="U37" i="56" s="1"/>
  <c r="G37" i="46" s="1"/>
  <c r="H49" i="56"/>
  <c r="U49" i="56" s="1"/>
  <c r="G49" i="46" s="1"/>
  <c r="H17" i="56"/>
  <c r="U17" i="56" s="1"/>
  <c r="G17" i="46" s="1"/>
  <c r="H7" i="56"/>
  <c r="U7" i="56" s="1"/>
  <c r="G7" i="46" s="1"/>
  <c r="H52" i="56"/>
  <c r="U52" i="56" s="1"/>
  <c r="G52" i="46" s="1"/>
  <c r="H21" i="56"/>
  <c r="U21" i="56" s="1"/>
  <c r="G21" i="46" s="1"/>
  <c r="H10" i="56"/>
  <c r="U10" i="56" s="1"/>
  <c r="G10" i="46" s="1"/>
  <c r="H35" i="56"/>
  <c r="U35" i="56" s="1"/>
  <c r="G35" i="46" s="1"/>
  <c r="H32" i="56"/>
  <c r="U32" i="56" s="1"/>
  <c r="G32" i="46" s="1"/>
  <c r="H38" i="56"/>
  <c r="U38" i="56" s="1"/>
  <c r="G38" i="46" s="1"/>
  <c r="H56" i="56"/>
  <c r="U56" i="56" s="1"/>
  <c r="G56" i="46" s="1"/>
  <c r="H15" i="56"/>
  <c r="U15" i="56" s="1"/>
  <c r="G15" i="46" s="1"/>
  <c r="H14" i="56"/>
  <c r="U14" i="56" s="1"/>
  <c r="G14" i="46" s="1"/>
  <c r="H54" i="56"/>
  <c r="U54" i="56" s="1"/>
  <c r="G54" i="46" s="1"/>
  <c r="H40" i="56"/>
  <c r="U40" i="56" s="1"/>
  <c r="G40" i="46" s="1"/>
  <c r="H27" i="56"/>
  <c r="U27" i="56" s="1"/>
  <c r="G27" i="46" s="1"/>
  <c r="H18" i="56"/>
  <c r="U18" i="56" s="1"/>
  <c r="G18" i="46" s="1"/>
  <c r="H22" i="56"/>
  <c r="U22" i="56" s="1"/>
  <c r="G22" i="46" s="1"/>
  <c r="H55" i="56"/>
  <c r="U55" i="56" s="1"/>
  <c r="G55" i="46" s="1"/>
  <c r="H31" i="56"/>
  <c r="U31" i="56" s="1"/>
  <c r="G31" i="46" s="1"/>
  <c r="H42" i="56"/>
  <c r="U42" i="56" s="1"/>
  <c r="G42" i="46" s="1"/>
  <c r="H24" i="56"/>
  <c r="U24" i="56" s="1"/>
  <c r="G24" i="46" s="1"/>
  <c r="H51" i="56"/>
  <c r="U51" i="56" s="1"/>
  <c r="G51" i="46" s="1"/>
  <c r="H34" i="56"/>
  <c r="U34" i="56" s="1"/>
  <c r="G34" i="46" s="1"/>
  <c r="H53" i="56"/>
  <c r="U53" i="56" s="1"/>
  <c r="G53" i="46" s="1"/>
  <c r="H9" i="56"/>
  <c r="U9" i="56" s="1"/>
  <c r="G9" i="46" s="1"/>
  <c r="H16" i="56"/>
  <c r="U16" i="56" s="1"/>
  <c r="G16" i="46" s="1"/>
  <c r="H20" i="56"/>
  <c r="U20" i="56" s="1"/>
  <c r="G20" i="46" s="1"/>
  <c r="H48" i="56"/>
  <c r="U48" i="56" s="1"/>
  <c r="G48" i="46" s="1"/>
  <c r="H43" i="56"/>
  <c r="U43" i="56" s="1"/>
  <c r="G43" i="46" s="1"/>
  <c r="H41" i="56"/>
  <c r="U41" i="56" s="1"/>
  <c r="G41" i="46" s="1"/>
  <c r="H44" i="56"/>
  <c r="U44" i="56" s="1"/>
  <c r="G44" i="46" s="1"/>
  <c r="H33" i="56"/>
  <c r="U33" i="56" s="1"/>
  <c r="G33" i="46" s="1"/>
  <c r="H28" i="56"/>
  <c r="U28" i="56" s="1"/>
  <c r="G28" i="46" s="1"/>
  <c r="H45" i="56"/>
  <c r="U45" i="56" s="1"/>
  <c r="G45" i="46" s="1"/>
  <c r="E23" i="56"/>
  <c r="R23" i="56" s="1"/>
  <c r="E23" i="46" s="1"/>
  <c r="E19" i="56"/>
  <c r="R19" i="56" s="1"/>
  <c r="E19" i="46" s="1"/>
  <c r="E12" i="56"/>
  <c r="R12" i="56" s="1"/>
  <c r="E12" i="46" s="1"/>
  <c r="E39" i="56"/>
  <c r="R39" i="56" s="1"/>
  <c r="E39" i="46" s="1"/>
  <c r="E29" i="56"/>
  <c r="R29" i="56" s="1"/>
  <c r="E29" i="46" s="1"/>
  <c r="E46" i="56"/>
  <c r="R46" i="56" s="1"/>
  <c r="E46" i="46" s="1"/>
  <c r="E8" i="56"/>
  <c r="R8" i="56" s="1"/>
  <c r="E8" i="46" s="1"/>
  <c r="E38" i="56"/>
  <c r="R38" i="56" s="1"/>
  <c r="E38" i="46" s="1"/>
  <c r="E31" i="56"/>
  <c r="R31" i="56" s="1"/>
  <c r="E31" i="46" s="1"/>
  <c r="E40" i="56"/>
  <c r="R40" i="56" s="1"/>
  <c r="E40" i="46" s="1"/>
  <c r="E45" i="56"/>
  <c r="R45" i="56" s="1"/>
  <c r="E45" i="46" s="1"/>
  <c r="E49" i="56"/>
  <c r="R49" i="56" s="1"/>
  <c r="E49" i="46" s="1"/>
  <c r="E20" i="56"/>
  <c r="R20" i="56" s="1"/>
  <c r="E20" i="46" s="1"/>
  <c r="E7" i="56"/>
  <c r="R7" i="56" s="1"/>
  <c r="E7" i="46" s="1"/>
  <c r="E42" i="56"/>
  <c r="R42" i="56" s="1"/>
  <c r="E42" i="46" s="1"/>
  <c r="E22" i="56"/>
  <c r="R22" i="56" s="1"/>
  <c r="E22" i="46" s="1"/>
  <c r="E41" i="56"/>
  <c r="R41" i="56" s="1"/>
  <c r="E41" i="46" s="1"/>
  <c r="E25" i="56"/>
  <c r="R25" i="56" s="1"/>
  <c r="E25" i="46" s="1"/>
  <c r="E37" i="56"/>
  <c r="R37" i="56" s="1"/>
  <c r="E37" i="46" s="1"/>
  <c r="E10" i="56"/>
  <c r="R10" i="56" s="1"/>
  <c r="E10" i="46" s="1"/>
  <c r="E35" i="56"/>
  <c r="R35" i="56" s="1"/>
  <c r="E35" i="46" s="1"/>
  <c r="E48" i="56"/>
  <c r="R48" i="56" s="1"/>
  <c r="E48" i="46" s="1"/>
  <c r="E13" i="56"/>
  <c r="R13" i="56" s="1"/>
  <c r="E13" i="46" s="1"/>
  <c r="E21" i="56"/>
  <c r="R21" i="56" s="1"/>
  <c r="E21" i="46" s="1"/>
  <c r="E54" i="56"/>
  <c r="R54" i="56" s="1"/>
  <c r="E54" i="46" s="1"/>
  <c r="E16" i="56"/>
  <c r="R16" i="56" s="1"/>
  <c r="E16" i="46" s="1"/>
  <c r="E26" i="56"/>
  <c r="R26" i="56" s="1"/>
  <c r="E26" i="46" s="1"/>
  <c r="E55" i="56"/>
  <c r="R55" i="56" s="1"/>
  <c r="E55" i="46" s="1"/>
  <c r="E17" i="56"/>
  <c r="R17" i="56" s="1"/>
  <c r="E17" i="46" s="1"/>
  <c r="E28" i="56"/>
  <c r="R28" i="56" s="1"/>
  <c r="E28" i="46" s="1"/>
  <c r="E32" i="56"/>
  <c r="R32" i="56" s="1"/>
  <c r="E32" i="46" s="1"/>
  <c r="E52" i="56"/>
  <c r="R52" i="56" s="1"/>
  <c r="E52" i="46" s="1"/>
  <c r="E24" i="56"/>
  <c r="R24" i="56" s="1"/>
  <c r="E24" i="46" s="1"/>
  <c r="E56" i="56"/>
  <c r="R56" i="56" s="1"/>
  <c r="E56" i="46" s="1"/>
  <c r="E9" i="56"/>
  <c r="R9" i="56" s="1"/>
  <c r="E9" i="46" s="1"/>
  <c r="E51" i="56"/>
  <c r="R51" i="56" s="1"/>
  <c r="E51" i="46" s="1"/>
  <c r="E11" i="56"/>
  <c r="R11" i="56" s="1"/>
  <c r="E11" i="46" s="1"/>
  <c r="E34" i="56"/>
  <c r="R34" i="56" s="1"/>
  <c r="E34" i="46" s="1"/>
  <c r="E53" i="56"/>
  <c r="R53" i="56" s="1"/>
  <c r="E53" i="46" s="1"/>
  <c r="E47" i="56"/>
  <c r="R47" i="56" s="1"/>
  <c r="E47" i="46" s="1"/>
  <c r="E43" i="56"/>
  <c r="R43" i="56" s="1"/>
  <c r="E43" i="46" s="1"/>
  <c r="E18" i="56"/>
  <c r="R18" i="56" s="1"/>
  <c r="E18" i="46" s="1"/>
  <c r="E50" i="56"/>
  <c r="R50" i="56" s="1"/>
  <c r="E50" i="46" s="1"/>
  <c r="E36" i="56"/>
  <c r="R36" i="56" s="1"/>
  <c r="E36" i="46" s="1"/>
  <c r="E44" i="56"/>
  <c r="R44" i="56" s="1"/>
  <c r="E44" i="46" s="1"/>
  <c r="E33" i="56"/>
  <c r="R33" i="56" s="1"/>
  <c r="E33" i="46" s="1"/>
  <c r="E27" i="56"/>
  <c r="R27" i="56" s="1"/>
  <c r="E27" i="46" s="1"/>
  <c r="E15" i="56"/>
  <c r="R15" i="56" s="1"/>
  <c r="E15" i="46" s="1"/>
  <c r="E14" i="56"/>
  <c r="R14" i="56" s="1"/>
  <c r="E14" i="46" s="1"/>
  <c r="E30" i="56"/>
  <c r="R30" i="56" s="1"/>
  <c r="E30" i="46" s="1"/>
  <c r="E6" i="56"/>
  <c r="C11" i="56"/>
  <c r="P11" i="56" s="1"/>
  <c r="C11" i="46" s="1"/>
  <c r="C8" i="56"/>
  <c r="P8" i="56" s="1"/>
  <c r="C8" i="46" s="1"/>
  <c r="C29" i="56"/>
  <c r="P29" i="56" s="1"/>
  <c r="C29" i="46" s="1"/>
  <c r="C23" i="56"/>
  <c r="P23" i="56" s="1"/>
  <c r="C23" i="46" s="1"/>
  <c r="C28" i="56"/>
  <c r="P28" i="56" s="1"/>
  <c r="C28" i="46" s="1"/>
  <c r="C12" i="56"/>
  <c r="P12" i="56" s="1"/>
  <c r="C12" i="46" s="1"/>
  <c r="C46" i="56"/>
  <c r="P46" i="56" s="1"/>
  <c r="C46" i="46" s="1"/>
  <c r="C19" i="56"/>
  <c r="P19" i="56" s="1"/>
  <c r="C19" i="46" s="1"/>
  <c r="C39" i="56"/>
  <c r="P39" i="56" s="1"/>
  <c r="C39" i="46" s="1"/>
  <c r="C45" i="56"/>
  <c r="P45" i="56" s="1"/>
  <c r="C45" i="46" s="1"/>
  <c r="C41" i="56"/>
  <c r="P41" i="56" s="1"/>
  <c r="C41" i="46" s="1"/>
  <c r="C52" i="56"/>
  <c r="P52" i="56" s="1"/>
  <c r="C52" i="46" s="1"/>
  <c r="C55" i="56"/>
  <c r="P55" i="56" s="1"/>
  <c r="C55" i="46" s="1"/>
  <c r="C27" i="56"/>
  <c r="P27" i="56" s="1"/>
  <c r="C27" i="46" s="1"/>
  <c r="C17" i="56"/>
  <c r="P17" i="56" s="1"/>
  <c r="C17" i="46" s="1"/>
  <c r="C53" i="56"/>
  <c r="P53" i="56" s="1"/>
  <c r="C53" i="46" s="1"/>
  <c r="C48" i="56"/>
  <c r="P48" i="56" s="1"/>
  <c r="C48" i="46" s="1"/>
  <c r="C20" i="56"/>
  <c r="P20" i="56" s="1"/>
  <c r="C20" i="46" s="1"/>
  <c r="C25" i="56"/>
  <c r="P25" i="56" s="1"/>
  <c r="C25" i="46" s="1"/>
  <c r="C30" i="56"/>
  <c r="P30" i="56" s="1"/>
  <c r="C30" i="46" s="1"/>
  <c r="C50" i="56"/>
  <c r="P50" i="56" s="1"/>
  <c r="C50" i="46" s="1"/>
  <c r="C36" i="56"/>
  <c r="P36" i="56" s="1"/>
  <c r="C36" i="46" s="1"/>
  <c r="C6" i="56"/>
  <c r="C40" i="56"/>
  <c r="P40" i="56" s="1"/>
  <c r="C40" i="46" s="1"/>
  <c r="C56" i="56"/>
  <c r="P56" i="56" s="1"/>
  <c r="C56" i="46" s="1"/>
  <c r="C31" i="56"/>
  <c r="P31" i="56" s="1"/>
  <c r="C31" i="46" s="1"/>
  <c r="C34" i="56"/>
  <c r="P34" i="56" s="1"/>
  <c r="C34" i="46" s="1"/>
  <c r="C13" i="56"/>
  <c r="P13" i="56" s="1"/>
  <c r="C13" i="46" s="1"/>
  <c r="C26" i="56"/>
  <c r="P26" i="56" s="1"/>
  <c r="C26" i="46" s="1"/>
  <c r="C35" i="56"/>
  <c r="P35" i="56" s="1"/>
  <c r="C35" i="46" s="1"/>
  <c r="C9" i="56"/>
  <c r="P9" i="56" s="1"/>
  <c r="C9" i="46" s="1"/>
  <c r="C15" i="56"/>
  <c r="P15" i="56" s="1"/>
  <c r="C15" i="46" s="1"/>
  <c r="C7" i="56"/>
  <c r="P7" i="56" s="1"/>
  <c r="C7" i="46" s="1"/>
  <c r="C37" i="56"/>
  <c r="P37" i="56" s="1"/>
  <c r="C37" i="46" s="1"/>
  <c r="C16" i="56"/>
  <c r="P16" i="56" s="1"/>
  <c r="C16" i="46" s="1"/>
  <c r="C10" i="56"/>
  <c r="P10" i="56" s="1"/>
  <c r="C10" i="46" s="1"/>
  <c r="C38" i="56"/>
  <c r="P38" i="56" s="1"/>
  <c r="C38" i="46" s="1"/>
  <c r="C49" i="56"/>
  <c r="P49" i="56" s="1"/>
  <c r="C49" i="46" s="1"/>
  <c r="C14" i="56"/>
  <c r="P14" i="56" s="1"/>
  <c r="C14" i="46" s="1"/>
  <c r="C54" i="56"/>
  <c r="P54" i="56" s="1"/>
  <c r="C54" i="46" s="1"/>
  <c r="C24" i="56"/>
  <c r="P24" i="56" s="1"/>
  <c r="C24" i="46" s="1"/>
  <c r="C32" i="56"/>
  <c r="P32" i="56" s="1"/>
  <c r="C32" i="46" s="1"/>
  <c r="C47" i="56"/>
  <c r="P47" i="56" s="1"/>
  <c r="C47" i="46" s="1"/>
  <c r="C18" i="56"/>
  <c r="P18" i="56" s="1"/>
  <c r="C18" i="46" s="1"/>
  <c r="C44" i="56"/>
  <c r="P44" i="56" s="1"/>
  <c r="C44" i="46" s="1"/>
  <c r="C42" i="56"/>
  <c r="P42" i="56" s="1"/>
  <c r="C42" i="46" s="1"/>
  <c r="C33" i="56"/>
  <c r="P33" i="56" s="1"/>
  <c r="C33" i="46" s="1"/>
  <c r="C21" i="56"/>
  <c r="P21" i="56" s="1"/>
  <c r="C21" i="46" s="1"/>
  <c r="C22" i="56"/>
  <c r="P22" i="56" s="1"/>
  <c r="C22" i="46" s="1"/>
  <c r="C51" i="56"/>
  <c r="P51" i="56" s="1"/>
  <c r="C51" i="46" s="1"/>
  <c r="C43" i="56"/>
  <c r="P43" i="56" s="1"/>
  <c r="C43" i="46" s="1"/>
  <c r="F12" i="56"/>
  <c r="S12" i="56" s="1"/>
  <c r="F12" i="46" s="1"/>
  <c r="F11" i="56"/>
  <c r="S11" i="56" s="1"/>
  <c r="F11" i="46" s="1"/>
  <c r="F28" i="56"/>
  <c r="S28" i="56" s="1"/>
  <c r="F28" i="46" s="1"/>
  <c r="F39" i="56"/>
  <c r="S39" i="56" s="1"/>
  <c r="F39" i="46" s="1"/>
  <c r="F19" i="56"/>
  <c r="S19" i="56" s="1"/>
  <c r="F19" i="46" s="1"/>
  <c r="F29" i="56"/>
  <c r="S29" i="56" s="1"/>
  <c r="F29" i="46" s="1"/>
  <c r="F8" i="56"/>
  <c r="S8" i="56" s="1"/>
  <c r="F8" i="46" s="1"/>
  <c r="F46" i="56"/>
  <c r="S46" i="56" s="1"/>
  <c r="F46" i="46" s="1"/>
  <c r="F20" i="56"/>
  <c r="S20" i="56" s="1"/>
  <c r="F20" i="46" s="1"/>
  <c r="F44" i="56"/>
  <c r="S44" i="56" s="1"/>
  <c r="F44" i="46" s="1"/>
  <c r="F15" i="56"/>
  <c r="S15" i="56" s="1"/>
  <c r="F15" i="46" s="1"/>
  <c r="F47" i="56"/>
  <c r="S47" i="56" s="1"/>
  <c r="F47" i="46" s="1"/>
  <c r="F9" i="56"/>
  <c r="S9" i="56" s="1"/>
  <c r="F9" i="46" s="1"/>
  <c r="F14" i="56"/>
  <c r="S14" i="56" s="1"/>
  <c r="F14" i="46" s="1"/>
  <c r="F54" i="56"/>
  <c r="S54" i="56" s="1"/>
  <c r="F54" i="46" s="1"/>
  <c r="F16" i="56"/>
  <c r="S16" i="56" s="1"/>
  <c r="F16" i="46" s="1"/>
  <c r="F10" i="56"/>
  <c r="S10" i="56" s="1"/>
  <c r="F10" i="46" s="1"/>
  <c r="F17" i="56"/>
  <c r="S17" i="56" s="1"/>
  <c r="F17" i="46" s="1"/>
  <c r="F32" i="56"/>
  <c r="S32" i="56" s="1"/>
  <c r="F32" i="46" s="1"/>
  <c r="F52" i="56"/>
  <c r="S52" i="56" s="1"/>
  <c r="F52" i="46" s="1"/>
  <c r="F24" i="56"/>
  <c r="S24" i="56" s="1"/>
  <c r="F24" i="46" s="1"/>
  <c r="F56" i="56"/>
  <c r="S56" i="56" s="1"/>
  <c r="F56" i="46" s="1"/>
  <c r="F48" i="56"/>
  <c r="S48" i="56" s="1"/>
  <c r="F48" i="46" s="1"/>
  <c r="F31" i="56"/>
  <c r="S31" i="56" s="1"/>
  <c r="F31" i="46" s="1"/>
  <c r="F36" i="56"/>
  <c r="S36" i="56" s="1"/>
  <c r="F36" i="46" s="1"/>
  <c r="F38" i="56"/>
  <c r="S38" i="56" s="1"/>
  <c r="F38" i="46" s="1"/>
  <c r="F23" i="56"/>
  <c r="S23" i="56" s="1"/>
  <c r="F23" i="46" s="1"/>
  <c r="F33" i="56"/>
  <c r="S33" i="56" s="1"/>
  <c r="F33" i="46" s="1"/>
  <c r="F21" i="56"/>
  <c r="S21" i="56" s="1"/>
  <c r="F21" i="46" s="1"/>
  <c r="F22" i="56"/>
  <c r="S22" i="56" s="1"/>
  <c r="F22" i="46" s="1"/>
  <c r="F49" i="56"/>
  <c r="S49" i="56" s="1"/>
  <c r="F49" i="46" s="1"/>
  <c r="F50" i="56"/>
  <c r="S50" i="56" s="1"/>
  <c r="F50" i="46" s="1"/>
  <c r="F6" i="56"/>
  <c r="F53" i="56"/>
  <c r="S53" i="56" s="1"/>
  <c r="F53" i="46" s="1"/>
  <c r="F45" i="56"/>
  <c r="S45" i="56" s="1"/>
  <c r="F45" i="46" s="1"/>
  <c r="F37" i="56"/>
  <c r="S37" i="56" s="1"/>
  <c r="F37" i="46" s="1"/>
  <c r="F13" i="56"/>
  <c r="S13" i="56" s="1"/>
  <c r="F13" i="46" s="1"/>
  <c r="F18" i="56"/>
  <c r="S18" i="56" s="1"/>
  <c r="F18" i="46" s="1"/>
  <c r="F34" i="56"/>
  <c r="S34" i="56" s="1"/>
  <c r="F34" i="46" s="1"/>
  <c r="F43" i="56"/>
  <c r="S43" i="56" s="1"/>
  <c r="F43" i="46" s="1"/>
  <c r="F42" i="56"/>
  <c r="S42" i="56" s="1"/>
  <c r="F42" i="46" s="1"/>
  <c r="F26" i="56"/>
  <c r="S26" i="56" s="1"/>
  <c r="F26" i="46" s="1"/>
  <c r="F55" i="56"/>
  <c r="S55" i="56" s="1"/>
  <c r="F55" i="46" s="1"/>
  <c r="F40" i="56"/>
  <c r="S40" i="56" s="1"/>
  <c r="F40" i="46" s="1"/>
  <c r="F30" i="56"/>
  <c r="S30" i="56" s="1"/>
  <c r="F30" i="46" s="1"/>
  <c r="F25" i="56"/>
  <c r="S25" i="56" s="1"/>
  <c r="F25" i="46" s="1"/>
  <c r="F51" i="56"/>
  <c r="S51" i="56" s="1"/>
  <c r="F51" i="46" s="1"/>
  <c r="F27" i="56"/>
  <c r="S27" i="56" s="1"/>
  <c r="F27" i="46" s="1"/>
  <c r="F41" i="56"/>
  <c r="S41" i="56" s="1"/>
  <c r="F41" i="46" s="1"/>
  <c r="F35" i="56"/>
  <c r="S35" i="56" s="1"/>
  <c r="F35" i="46" s="1"/>
  <c r="F7" i="56"/>
  <c r="S7" i="56" s="1"/>
  <c r="F7" i="46" s="1"/>
  <c r="G11" i="56"/>
  <c r="T11" i="56" s="1"/>
  <c r="G8" i="56"/>
  <c r="T8" i="56" s="1"/>
  <c r="G39" i="56"/>
  <c r="T39" i="56" s="1"/>
  <c r="G23" i="56"/>
  <c r="T23" i="56" s="1"/>
  <c r="G15" i="56"/>
  <c r="T15" i="56" s="1"/>
  <c r="G29" i="56"/>
  <c r="T29" i="56" s="1"/>
  <c r="G20" i="56"/>
  <c r="T20" i="56" s="1"/>
  <c r="G12" i="56"/>
  <c r="T12" i="56" s="1"/>
  <c r="G33" i="56"/>
  <c r="T33" i="56" s="1"/>
  <c r="G21" i="56"/>
  <c r="T21" i="56" s="1"/>
  <c r="G43" i="56"/>
  <c r="T43" i="56" s="1"/>
  <c r="G37" i="56"/>
  <c r="T37" i="56" s="1"/>
  <c r="G49" i="56"/>
  <c r="T49" i="56" s="1"/>
  <c r="G35" i="56"/>
  <c r="T35" i="56" s="1"/>
  <c r="G38" i="56"/>
  <c r="T38" i="56" s="1"/>
  <c r="G9" i="56"/>
  <c r="T9" i="56" s="1"/>
  <c r="G22" i="56"/>
  <c r="T22" i="56" s="1"/>
  <c r="G53" i="56"/>
  <c r="T53" i="56" s="1"/>
  <c r="G45" i="56"/>
  <c r="T45" i="56" s="1"/>
  <c r="G27" i="56"/>
  <c r="T27" i="56" s="1"/>
  <c r="G42" i="56"/>
  <c r="T42" i="56" s="1"/>
  <c r="G19" i="56"/>
  <c r="T19" i="56" s="1"/>
  <c r="G30" i="56"/>
  <c r="T30" i="56" s="1"/>
  <c r="G50" i="56"/>
  <c r="T50" i="56" s="1"/>
  <c r="G36" i="56"/>
  <c r="T36" i="56" s="1"/>
  <c r="G6" i="56"/>
  <c r="G40" i="56"/>
  <c r="T40" i="56" s="1"/>
  <c r="G25" i="56"/>
  <c r="T25" i="56" s="1"/>
  <c r="G26" i="56"/>
  <c r="T26" i="56" s="1"/>
  <c r="G31" i="56"/>
  <c r="T31" i="56" s="1"/>
  <c r="G18" i="56"/>
  <c r="T18" i="56" s="1"/>
  <c r="G46" i="56"/>
  <c r="T46" i="56" s="1"/>
  <c r="G51" i="56"/>
  <c r="T51" i="56" s="1"/>
  <c r="G13" i="56"/>
  <c r="T13" i="56" s="1"/>
  <c r="G7" i="56"/>
  <c r="T7" i="56" s="1"/>
  <c r="G41" i="56"/>
  <c r="T41" i="56" s="1"/>
  <c r="G17" i="56"/>
  <c r="T17" i="56" s="1"/>
  <c r="G56" i="56"/>
  <c r="T56" i="56" s="1"/>
  <c r="G44" i="56"/>
  <c r="T44" i="56" s="1"/>
  <c r="G14" i="56"/>
  <c r="T14" i="56" s="1"/>
  <c r="G54" i="56"/>
  <c r="T54" i="56" s="1"/>
  <c r="G32" i="56"/>
  <c r="T32" i="56" s="1"/>
  <c r="G10" i="56"/>
  <c r="T10" i="56" s="1"/>
  <c r="G47" i="56"/>
  <c r="T47" i="56" s="1"/>
  <c r="G55" i="56"/>
  <c r="T55" i="56" s="1"/>
  <c r="G34" i="56"/>
  <c r="T34" i="56" s="1"/>
  <c r="G16" i="56"/>
  <c r="T16" i="56" s="1"/>
  <c r="G52" i="56"/>
  <c r="T52" i="56" s="1"/>
  <c r="G48" i="56"/>
  <c r="T48" i="56" s="1"/>
  <c r="G28" i="56"/>
  <c r="T28" i="56" s="1"/>
  <c r="G24" i="56"/>
  <c r="T24" i="56" s="1"/>
  <c r="S6" i="56" l="1"/>
  <c r="F57" i="56"/>
  <c r="R6" i="56"/>
  <c r="E57" i="56"/>
  <c r="O54" i="56"/>
  <c r="B54" i="46" s="1"/>
  <c r="O26" i="56"/>
  <c r="B26" i="46" s="1"/>
  <c r="O38" i="56"/>
  <c r="B38" i="46" s="1"/>
  <c r="O12" i="56"/>
  <c r="B12" i="46" s="1"/>
  <c r="I57" i="56"/>
  <c r="V6" i="56"/>
  <c r="O52" i="56"/>
  <c r="B52" i="46" s="1"/>
  <c r="B57" i="56"/>
  <c r="O6" i="56"/>
  <c r="B6" i="46" s="1"/>
  <c r="O21" i="56"/>
  <c r="B21" i="46" s="1"/>
  <c r="O39" i="56"/>
  <c r="B39" i="46" s="1"/>
  <c r="O29" i="56"/>
  <c r="B29" i="46" s="1"/>
  <c r="T6" i="56"/>
  <c r="T57" i="56" s="1"/>
  <c r="G57" i="56"/>
  <c r="O9" i="56"/>
  <c r="B9" i="46" s="1"/>
  <c r="O36" i="56"/>
  <c r="B36" i="46" s="1"/>
  <c r="O33" i="56"/>
  <c r="B33" i="46" s="1"/>
  <c r="O44" i="56"/>
  <c r="B44" i="46" s="1"/>
  <c r="U6" i="56"/>
  <c r="H57" i="56"/>
  <c r="O16" i="56"/>
  <c r="B16" i="46" s="1"/>
  <c r="O50" i="56"/>
  <c r="B50" i="46" s="1"/>
  <c r="O47" i="56"/>
  <c r="B47" i="46" s="1"/>
  <c r="O8" i="56"/>
  <c r="B8" i="46" s="1"/>
  <c r="O40" i="56"/>
  <c r="B40" i="46" s="1"/>
  <c r="O18" i="56"/>
  <c r="B18" i="46" s="1"/>
  <c r="O31" i="56"/>
  <c r="B31" i="46" s="1"/>
  <c r="O30" i="56"/>
  <c r="B30" i="46" s="1"/>
  <c r="O56" i="56"/>
  <c r="B56" i="46" s="1"/>
  <c r="O11" i="56"/>
  <c r="B11" i="46" s="1"/>
  <c r="O49" i="56"/>
  <c r="B49" i="46" s="1"/>
  <c r="O46" i="56"/>
  <c r="B46" i="46" s="1"/>
  <c r="O34" i="56"/>
  <c r="B34" i="46" s="1"/>
  <c r="O10" i="56"/>
  <c r="B10" i="46" s="1"/>
  <c r="O15" i="56"/>
  <c r="B15" i="46" s="1"/>
  <c r="O17" i="56"/>
  <c r="B17" i="46" s="1"/>
  <c r="O19" i="56"/>
  <c r="B19" i="46" s="1"/>
  <c r="P6" i="56"/>
  <c r="C57" i="56"/>
  <c r="O25" i="56"/>
  <c r="B25" i="46" s="1"/>
  <c r="O37" i="56"/>
  <c r="B37" i="46" s="1"/>
  <c r="O43" i="56"/>
  <c r="B43" i="46" s="1"/>
  <c r="O35" i="56"/>
  <c r="B35" i="46" s="1"/>
  <c r="O7" i="56"/>
  <c r="B7" i="46" s="1"/>
  <c r="O27" i="56"/>
  <c r="B27" i="46" s="1"/>
  <c r="O20" i="56"/>
  <c r="B20" i="46" s="1"/>
  <c r="O14" i="56"/>
  <c r="B14" i="46" s="1"/>
  <c r="O28" i="56"/>
  <c r="B28" i="46" s="1"/>
  <c r="O41" i="56"/>
  <c r="B41" i="46" s="1"/>
  <c r="O45" i="56"/>
  <c r="B45" i="46" s="1"/>
  <c r="O48" i="56"/>
  <c r="B48" i="46" s="1"/>
  <c r="O23" i="56"/>
  <c r="B23" i="46" s="1"/>
  <c r="O32" i="56"/>
  <c r="B32" i="46" s="1"/>
  <c r="O13" i="56"/>
  <c r="B13" i="46" s="1"/>
  <c r="O53" i="56"/>
  <c r="B53" i="46" s="1"/>
  <c r="O24" i="56"/>
  <c r="B24" i="46" s="1"/>
  <c r="O55" i="56"/>
  <c r="B55" i="46" s="1"/>
  <c r="O51" i="56"/>
  <c r="B51" i="46" s="1"/>
  <c r="O22" i="56"/>
  <c r="B22" i="46" s="1"/>
  <c r="O42" i="56"/>
  <c r="B42" i="46" s="1"/>
  <c r="D19" i="56"/>
  <c r="Q19" i="56" s="1"/>
  <c r="D19" i="46" s="1"/>
  <c r="M19" i="46" l="1"/>
  <c r="U57" i="56"/>
  <c r="G6" i="46"/>
  <c r="G57" i="46" s="1"/>
  <c r="R57" i="56"/>
  <c r="E6" i="46"/>
  <c r="E57" i="46" s="1"/>
  <c r="V57" i="56"/>
  <c r="H6" i="46"/>
  <c r="H57" i="46" s="1"/>
  <c r="S57" i="56"/>
  <c r="F6" i="46"/>
  <c r="F57" i="46" s="1"/>
  <c r="P57" i="56"/>
  <c r="C6" i="46"/>
  <c r="C57" i="46" s="1"/>
  <c r="B57" i="46"/>
  <c r="D37" i="56"/>
  <c r="Q37" i="56" s="1"/>
  <c r="D37" i="46" s="1"/>
  <c r="M37" i="46" s="1"/>
  <c r="D35" i="56"/>
  <c r="D42" i="56"/>
  <c r="D51" i="56"/>
  <c r="D52" i="56"/>
  <c r="D6" i="56"/>
  <c r="L19" i="56"/>
  <c r="D36" i="56"/>
  <c r="Y19" i="56"/>
  <c r="D10" i="56"/>
  <c r="D31" i="56"/>
  <c r="D21" i="56"/>
  <c r="D40" i="56"/>
  <c r="D27" i="56"/>
  <c r="D28" i="56"/>
  <c r="D47" i="56"/>
  <c r="D50" i="56"/>
  <c r="D49" i="56"/>
  <c r="D17" i="56"/>
  <c r="D34" i="56"/>
  <c r="D45" i="56"/>
  <c r="O57" i="56"/>
  <c r="D12" i="56"/>
  <c r="D43" i="56"/>
  <c r="D33" i="56"/>
  <c r="D20" i="56"/>
  <c r="D7" i="56"/>
  <c r="L37" i="56" l="1"/>
  <c r="Y37" i="56"/>
  <c r="D30" i="56"/>
  <c r="Q6" i="56"/>
  <c r="L6" i="56"/>
  <c r="Q31" i="56"/>
  <c r="L31" i="56"/>
  <c r="D29" i="56"/>
  <c r="D13" i="56"/>
  <c r="Q27" i="56"/>
  <c r="L27" i="56"/>
  <c r="Q10" i="56"/>
  <c r="L10" i="56"/>
  <c r="D53" i="56"/>
  <c r="D25" i="56"/>
  <c r="D56" i="56"/>
  <c r="Q45" i="56"/>
  <c r="L45" i="56"/>
  <c r="Q52" i="56"/>
  <c r="L52" i="56"/>
  <c r="D48" i="56"/>
  <c r="Q49" i="56"/>
  <c r="L49" i="56"/>
  <c r="Q20" i="56"/>
  <c r="L20" i="56"/>
  <c r="D16" i="56"/>
  <c r="D22" i="56"/>
  <c r="Q34" i="56"/>
  <c r="L34" i="56"/>
  <c r="Q51" i="56"/>
  <c r="L51" i="56"/>
  <c r="D14" i="56"/>
  <c r="D46" i="56"/>
  <c r="D18" i="56"/>
  <c r="D39" i="56"/>
  <c r="Q33" i="56"/>
  <c r="L33" i="56"/>
  <c r="Q50" i="56"/>
  <c r="L50" i="56"/>
  <c r="D24" i="56"/>
  <c r="D54" i="56"/>
  <c r="D26" i="56"/>
  <c r="Q17" i="56"/>
  <c r="L17" i="56"/>
  <c r="Q36" i="56"/>
  <c r="L36" i="56"/>
  <c r="Q42" i="56"/>
  <c r="L42" i="56"/>
  <c r="D8" i="56"/>
  <c r="D15" i="56"/>
  <c r="D32" i="56"/>
  <c r="Q43" i="56"/>
  <c r="L43" i="56"/>
  <c r="Q47" i="56"/>
  <c r="L47" i="56"/>
  <c r="Q40" i="56"/>
  <c r="L40" i="56"/>
  <c r="D11" i="56"/>
  <c r="D9" i="56"/>
  <c r="D55" i="56"/>
  <c r="D38" i="56"/>
  <c r="D23" i="56"/>
  <c r="D44" i="56"/>
  <c r="Q7" i="56"/>
  <c r="L7" i="56"/>
  <c r="D41" i="56"/>
  <c r="Q12" i="56"/>
  <c r="L12" i="56"/>
  <c r="Q28" i="56"/>
  <c r="L28" i="56"/>
  <c r="Q21" i="56"/>
  <c r="L21" i="56"/>
  <c r="Q35" i="56"/>
  <c r="L35" i="56"/>
  <c r="D57" i="56" l="1"/>
  <c r="D43" i="46"/>
  <c r="M43" i="46" s="1"/>
  <c r="Y43" i="56"/>
  <c r="Q55" i="56"/>
  <c r="L55" i="56"/>
  <c r="Q32" i="56"/>
  <c r="L32" i="56"/>
  <c r="Q26" i="56"/>
  <c r="L26" i="56"/>
  <c r="Q16" i="56"/>
  <c r="L16" i="56"/>
  <c r="Q56" i="56"/>
  <c r="L56" i="56"/>
  <c r="Q29" i="56"/>
  <c r="L29" i="56"/>
  <c r="Q46" i="56"/>
  <c r="L46" i="56"/>
  <c r="Q38" i="56"/>
  <c r="L38" i="56"/>
  <c r="Q15" i="56"/>
  <c r="L15" i="56"/>
  <c r="Q54" i="56"/>
  <c r="L54" i="56"/>
  <c r="D20" i="46"/>
  <c r="M20" i="46" s="1"/>
  <c r="Y20" i="56"/>
  <c r="Q25" i="56"/>
  <c r="L25" i="56"/>
  <c r="Q53" i="56"/>
  <c r="L53" i="56"/>
  <c r="D31" i="46"/>
  <c r="M31" i="46" s="1"/>
  <c r="Y31" i="56"/>
  <c r="D28" i="46"/>
  <c r="M28" i="46" s="1"/>
  <c r="Y28" i="56"/>
  <c r="Q11" i="56"/>
  <c r="L11" i="56"/>
  <c r="D7" i="46"/>
  <c r="M7" i="46" s="1"/>
  <c r="Y7" i="56"/>
  <c r="D49" i="46"/>
  <c r="M49" i="46" s="1"/>
  <c r="Y49" i="56"/>
  <c r="D17" i="46"/>
  <c r="M17" i="46" s="1"/>
  <c r="Y17" i="56"/>
  <c r="Q44" i="56"/>
  <c r="L44" i="56"/>
  <c r="Q48" i="56"/>
  <c r="L48" i="56"/>
  <c r="D45" i="46"/>
  <c r="M45" i="46" s="1"/>
  <c r="Y45" i="56"/>
  <c r="Q8" i="56"/>
  <c r="L8" i="56"/>
  <c r="D40" i="46"/>
  <c r="M40" i="46" s="1"/>
  <c r="Y40" i="56"/>
  <c r="D42" i="46"/>
  <c r="M42" i="46" s="1"/>
  <c r="Y42" i="56"/>
  <c r="D50" i="46"/>
  <c r="M50" i="46" s="1"/>
  <c r="Y50" i="56"/>
  <c r="D51" i="46"/>
  <c r="M51" i="46" s="1"/>
  <c r="Y51" i="56"/>
  <c r="D6" i="46"/>
  <c r="M6" i="46" s="1"/>
  <c r="Y6" i="56"/>
  <c r="Q18" i="56"/>
  <c r="L18" i="56"/>
  <c r="Q9" i="56"/>
  <c r="L9" i="56"/>
  <c r="D10" i="46"/>
  <c r="M10" i="46" s="1"/>
  <c r="Y10" i="56"/>
  <c r="Q30" i="56"/>
  <c r="L30" i="56"/>
  <c r="Q13" i="56"/>
  <c r="L13" i="56"/>
  <c r="D12" i="46"/>
  <c r="M12" i="46" s="1"/>
  <c r="Y12" i="56"/>
  <c r="Q41" i="56"/>
  <c r="L41" i="56"/>
  <c r="Q24" i="56"/>
  <c r="L24" i="56"/>
  <c r="D35" i="46"/>
  <c r="M35" i="46" s="1"/>
  <c r="Y35" i="56"/>
  <c r="D21" i="46"/>
  <c r="M21" i="46" s="1"/>
  <c r="Y21" i="56"/>
  <c r="Q23" i="56"/>
  <c r="L23" i="56"/>
  <c r="D47" i="46"/>
  <c r="M47" i="46" s="1"/>
  <c r="Y47" i="56"/>
  <c r="D36" i="46"/>
  <c r="M36" i="46" s="1"/>
  <c r="Y36" i="56"/>
  <c r="D33" i="46"/>
  <c r="M33" i="46" s="1"/>
  <c r="Y33" i="56"/>
  <c r="D34" i="46"/>
  <c r="M34" i="46" s="1"/>
  <c r="Y34" i="56"/>
  <c r="D52" i="46"/>
  <c r="M52" i="46" s="1"/>
  <c r="Y52" i="56"/>
  <c r="Q14" i="56"/>
  <c r="L14" i="56"/>
  <c r="Q39" i="56"/>
  <c r="L39" i="56"/>
  <c r="Q22" i="56"/>
  <c r="L22" i="56"/>
  <c r="D27" i="46"/>
  <c r="M27" i="46" s="1"/>
  <c r="Y27" i="56"/>
  <c r="L57" i="56" l="1"/>
  <c r="Q57" i="56"/>
  <c r="D16" i="46"/>
  <c r="M16" i="46" s="1"/>
  <c r="Y16" i="56"/>
  <c r="D13" i="46"/>
  <c r="M13" i="46" s="1"/>
  <c r="Y13" i="56"/>
  <c r="D23" i="46"/>
  <c r="M23" i="46" s="1"/>
  <c r="Y23" i="56"/>
  <c r="D54" i="46"/>
  <c r="M54" i="46" s="1"/>
  <c r="Y54" i="56"/>
  <c r="D15" i="46"/>
  <c r="M15" i="46" s="1"/>
  <c r="Y15" i="56"/>
  <c r="D26" i="46"/>
  <c r="M26" i="46" s="1"/>
  <c r="Y26" i="56"/>
  <c r="D39" i="46"/>
  <c r="M39" i="46" s="1"/>
  <c r="Y39" i="56"/>
  <c r="D38" i="46"/>
  <c r="M38" i="46" s="1"/>
  <c r="Y38" i="56"/>
  <c r="D32" i="46"/>
  <c r="M32" i="46" s="1"/>
  <c r="Y32" i="56"/>
  <c r="D14" i="46"/>
  <c r="M14" i="46" s="1"/>
  <c r="Y14" i="56"/>
  <c r="D11" i="46"/>
  <c r="M11" i="46" s="1"/>
  <c r="Y11" i="56"/>
  <c r="D48" i="46"/>
  <c r="M48" i="46" s="1"/>
  <c r="Y48" i="56"/>
  <c r="D44" i="46"/>
  <c r="M44" i="46" s="1"/>
  <c r="Y44" i="56"/>
  <c r="D53" i="46"/>
  <c r="M53" i="46" s="1"/>
  <c r="Y53" i="56"/>
  <c r="D46" i="46"/>
  <c r="M46" i="46" s="1"/>
  <c r="Y46" i="56"/>
  <c r="D55" i="46"/>
  <c r="M55" i="46" s="1"/>
  <c r="Y55" i="56"/>
  <c r="D24" i="46"/>
  <c r="M24" i="46" s="1"/>
  <c r="Y24" i="56"/>
  <c r="D9" i="46"/>
  <c r="M9" i="46" s="1"/>
  <c r="Y9" i="56"/>
  <c r="D22" i="46"/>
  <c r="M22" i="46" s="1"/>
  <c r="Y22" i="56"/>
  <c r="D41" i="46"/>
  <c r="M41" i="46" s="1"/>
  <c r="Y41" i="56"/>
  <c r="D18" i="46"/>
  <c r="M18" i="46" s="1"/>
  <c r="Y18" i="56"/>
  <c r="D56" i="46"/>
  <c r="M56" i="46" s="1"/>
  <c r="Y56" i="56"/>
  <c r="D30" i="46"/>
  <c r="M30" i="46" s="1"/>
  <c r="Y30" i="56"/>
  <c r="D8" i="46"/>
  <c r="M8" i="46" s="1"/>
  <c r="Y8" i="56"/>
  <c r="D25" i="46"/>
  <c r="M25" i="46" s="1"/>
  <c r="Y25" i="56"/>
  <c r="D29" i="46"/>
  <c r="M29" i="46" s="1"/>
  <c r="Y29" i="56"/>
  <c r="Y57" i="56" l="1"/>
  <c r="M57" i="46"/>
  <c r="D57" i="46"/>
</calcChain>
</file>

<file path=xl/comments1.xml><?xml version="1.0" encoding="utf-8"?>
<comments xmlns="http://schemas.openxmlformats.org/spreadsheetml/2006/main">
  <authors>
    <author>cesar.rivera</author>
  </authors>
  <commentList>
    <comment ref="L58" authorId="0" shapeId="0">
      <text>
        <r>
          <rPr>
            <b/>
            <sz val="9"/>
            <color indexed="81"/>
            <rFont val="Tahoma"/>
            <family val="2"/>
          </rPr>
          <t>cesar.rivera:</t>
        </r>
        <r>
          <rPr>
            <sz val="9"/>
            <color indexed="81"/>
            <rFont val="Tahoma"/>
            <family val="2"/>
          </rPr>
          <t xml:space="preserve">
art 19° fracc IV
</t>
        </r>
      </text>
    </comment>
  </commentList>
</comments>
</file>

<file path=xl/sharedStrings.xml><?xml version="1.0" encoding="utf-8"?>
<sst xmlns="http://schemas.openxmlformats.org/spreadsheetml/2006/main" count="1103" uniqueCount="359">
  <si>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</si>
  <si>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</si>
  <si>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</si>
  <si>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</si>
  <si>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</si>
  <si>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</si>
  <si>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</si>
  <si>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</si>
  <si>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</si>
  <si>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</si>
  <si>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</si>
  <si>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</si>
  <si>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</si>
  <si>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</si>
  <si>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</si>
  <si>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</si>
  <si>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</si>
  <si>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</si>
  <si>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</si>
  <si>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</si>
  <si>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</si>
  <si>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</si>
  <si>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</si>
  <si>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</si>
  <si>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</si>
  <si>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</si>
  <si>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</si>
  <si>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</si>
  <si>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</si>
  <si>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</si>
  <si>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</si>
  <si>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</si>
  <si>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</si>
  <si>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</si>
  <si>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</si>
  <si>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</si>
  <si>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</si>
  <si>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</si>
  <si>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</si>
  <si>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</si>
  <si>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</si>
  <si>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</si>
  <si>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</si>
  <si>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</si>
  <si>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</si>
  <si>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</si>
  <si>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</si>
  <si>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</si>
  <si>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</si>
  <si>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</si>
  <si>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</si>
  <si>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</si>
  <si>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</si>
  <si>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TOTAL</t>
  </si>
  <si>
    <t>P=RP/BG</t>
  </si>
  <si>
    <t>ER=P*RP</t>
  </si>
  <si>
    <t>PC</t>
  </si>
  <si>
    <t>PO</t>
  </si>
  <si>
    <t>TERRITORIO (KM2)</t>
  </si>
  <si>
    <t>CS2</t>
  </si>
  <si>
    <t>MS</t>
  </si>
  <si>
    <t>APOYO</t>
  </si>
  <si>
    <t>[(CS2-CS1)/CS1]</t>
  </si>
  <si>
    <t>COEF APOYO
MEJORA SOCIAL</t>
  </si>
  <si>
    <t>CIMP=0.85(CS2/∑CS2)+0.15(MS/∑MS)</t>
  </si>
  <si>
    <t>TE</t>
  </si>
  <si>
    <t>POBLACIÓN Y TERRITORIO</t>
  </si>
  <si>
    <t>CEPT=0.85(PO/∑PO)+0.15(TE/∑TE)</t>
  </si>
  <si>
    <t>PC*35%</t>
  </si>
  <si>
    <t>CEP= MAE1/∑MAE1</t>
  </si>
  <si>
    <t>CEG=MAE2/∑MAE2</t>
  </si>
  <si>
    <t>CIMP*25%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</si>
  <si>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</si>
  <si>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PC/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PC</t>
    </r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</si>
  <si>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</si>
  <si>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</si>
  <si>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</si>
  <si>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</si>
  <si>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r>
      <t>0.85(CS2/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CS2</t>
    </r>
    <r>
      <rPr>
        <i/>
        <sz val="8"/>
        <color rgb="FFFF0000"/>
        <rFont val="Arial"/>
        <family val="2"/>
      </rPr>
      <t>)</t>
    </r>
  </si>
  <si>
    <r>
      <t>MS/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 xml:space="preserve">MS </t>
    </r>
  </si>
  <si>
    <r>
      <t>0.15(MS2/</t>
    </r>
    <r>
      <rPr>
        <sz val="8"/>
        <color rgb="FFFF0000"/>
        <rFont val="Calibri"/>
        <family val="2"/>
      </rPr>
      <t>∑M</t>
    </r>
    <r>
      <rPr>
        <sz val="8"/>
        <color rgb="FFFF0000"/>
        <rFont val="Arial"/>
        <family val="2"/>
      </rPr>
      <t>S2</t>
    </r>
    <r>
      <rPr>
        <i/>
        <sz val="8"/>
        <color rgb="FFFF0000"/>
        <rFont val="Arial"/>
        <family val="2"/>
      </rPr>
      <t>)</t>
    </r>
  </si>
  <si>
    <t>POB ING &lt; A 2 SALARIOS MIN
2000</t>
  </si>
  <si>
    <t>R1</t>
  </si>
  <si>
    <t>R2</t>
  </si>
  <si>
    <t>R3</t>
  </si>
  <si>
    <t>R4</t>
  </si>
  <si>
    <t>POB ING &lt; A 2 SALARIOS MIN
2010</t>
  </si>
  <si>
    <t xml:space="preserve">FUENTE: </t>
  </si>
  <si>
    <t>ESTRUCTURA      %</t>
  </si>
  <si>
    <t>ESTRUCTURA     %</t>
  </si>
  <si>
    <t>COEFICIENTE  POBLACIÓN Y TERRITORIO</t>
  </si>
  <si>
    <t>COEFICIENTE  ÍNDICE MUNICIPAL DE POBREZA</t>
  </si>
  <si>
    <t>COEFICIENTE EFECTIVIDAD REC PREDIAL</t>
  </si>
  <si>
    <t>COEFICIENTE DE PARTICIPACIÓN</t>
  </si>
  <si>
    <t>COEFICIENTE POBLACIÓN</t>
  </si>
  <si>
    <t>COEFICIENTE PROYECCIÓN POBLACIÓN</t>
  </si>
  <si>
    <t>PO*35%</t>
  </si>
  <si>
    <t>CEP*30%</t>
  </si>
  <si>
    <t>DISTRIBUCIÓN POR POBLACIÓN</t>
  </si>
  <si>
    <t>DISTRIBUCIÓN POR PROYECCIÓN DE POBLACIÓN</t>
  </si>
  <si>
    <t>DISTRIBUCIÓN POR COEFICIENTE REGLA I</t>
  </si>
  <si>
    <t>COEFICIENTE ESTIMADO DE PARTICIPACIÓN</t>
  </si>
  <si>
    <t>ÍNDICE MUNICIPAL DE POBREZA</t>
  </si>
  <si>
    <t>DISTRIBUCIÓN POR POBLACIÓN Y TERRITORIO</t>
  </si>
  <si>
    <t>DISTRIBUCIÓN POR ÍNDICE DE POBREZA</t>
  </si>
  <si>
    <t>DISTRIBUCIÓN POR EFECTIVIDAD RECAUDACIÓN  PREDIAL</t>
  </si>
  <si>
    <t xml:space="preserve">POBLACIÓN </t>
  </si>
  <si>
    <t>REGLA I</t>
  </si>
  <si>
    <t>PROYECCIÓN DE POBLACIÓN</t>
  </si>
  <si>
    <t>$</t>
  </si>
  <si>
    <t>MAE2=(PI*35%)+(PC*35%)+(CD*30%)</t>
  </si>
  <si>
    <t>FGP</t>
  </si>
  <si>
    <t>FFM</t>
  </si>
  <si>
    <t>IEPS</t>
  </si>
  <si>
    <t xml:space="preserve">  Proyecciones de la Población 2010-2030, CONSEJO NACIONAL DE POBLACIÓN</t>
  </si>
  <si>
    <t>EFECTIVIDAD RECAUDACIÓN DE PREDIAL</t>
  </si>
  <si>
    <t>CER*50%</t>
  </si>
  <si>
    <t>CEPT*25%</t>
  </si>
  <si>
    <t>MAE1=(CEPT*25%)+(CIMP*25%)+(CER*50%)</t>
  </si>
  <si>
    <t>Fondo del Estado</t>
  </si>
  <si>
    <t>Monto</t>
  </si>
  <si>
    <t>Porcentaje de distribución</t>
  </si>
  <si>
    <t>Fondo General de Participaciones (FGP)</t>
  </si>
  <si>
    <t>Impuesto Especial sobre Producción y Servicios (IEPS)</t>
  </si>
  <si>
    <t>Los montos no incluyen descuentos ni compensación alguna.</t>
  </si>
  <si>
    <t>SECRETARÍA DE FINANZAS Y TESORERÍA GENERAL DEL ESTADO</t>
  </si>
  <si>
    <t>FEXHI</t>
  </si>
  <si>
    <t>Art 19 - I</t>
  </si>
  <si>
    <t>Art 19 - III y IV</t>
  </si>
  <si>
    <t>Art 19 - VI</t>
  </si>
  <si>
    <t>Art 19 - VII</t>
  </si>
  <si>
    <t>Art 20</t>
  </si>
  <si>
    <t>FOFIR</t>
  </si>
  <si>
    <t>PROPORCION DE RECAUDACIÓN</t>
  </si>
  <si>
    <t>RECAUDACIÓN PONDERADO POR EFICIENCIA</t>
  </si>
  <si>
    <t>COEFICIENTE DE DISTRIBUCIÓN ANTES DE GARANTÍA</t>
  </si>
  <si>
    <t>Impuesto sobre la Venta Final de Gasolinas y Diesel (IEPSGD)</t>
  </si>
  <si>
    <t>Fondo de Fiscalización y Recaudación (FOFIR)</t>
  </si>
  <si>
    <t>Monto a distribuir</t>
  </si>
  <si>
    <t>DETERMINACIÓN PRELIMINAR DE LOS COEFICIENTES DE PARTICIPACIÓN DE RECURSOS A MUNICIPIOS POR VARIABLE (ARTÍCULO14 FRACC II LCH)</t>
  </si>
  <si>
    <t>MONTO OBS + ESTIM DE GASOLINAS</t>
  </si>
  <si>
    <t>MONTO OBS. + ESTIM. DE PARTICIPACIONES</t>
  </si>
  <si>
    <t>Fondo de Compensacion ISAN</t>
  </si>
  <si>
    <t xml:space="preserve">Impuesto sobre Adquisición de Vehículos Nuevos (ISAN) </t>
  </si>
  <si>
    <t>DETERMINACIÓN  DEL  COEFICIENTE DE PARTICIPACIÓN DE RECURSOS A MUNICIPIOS</t>
  </si>
  <si>
    <t>ISAN</t>
  </si>
  <si>
    <t>COMP ISAN</t>
  </si>
  <si>
    <t>COORDINACIÓN DE PLANEACIÓN HACENDARIA</t>
  </si>
  <si>
    <t>30% FFM</t>
  </si>
  <si>
    <t>70% FFM</t>
  </si>
  <si>
    <t>Fondo de Fomento Municipal (FFM) 30%</t>
  </si>
  <si>
    <t>Fondo de Fomento Municipal (FFM) 70%</t>
  </si>
  <si>
    <t>Las cifras de Recaudación y Facturación del Impuesto Predial fueron actualizadas para el Cálculo de Distribución. La población por Municipio para la entidad</t>
  </si>
  <si>
    <t>50%*CERi,t+20%*REi,t+30%*CCRi,t</t>
  </si>
  <si>
    <t>REi,t = Ri,t-1 /∑Ri,t-1</t>
  </si>
  <si>
    <t>CCRi,t=CRi,t /∑CRi,t</t>
  </si>
  <si>
    <t>CRi,t=(Ri,t-1/Ri,t-2)- 1</t>
  </si>
  <si>
    <t>Ri,t-2</t>
  </si>
  <si>
    <t>CERi,t = ERi,t-1 /∑ERi,t-1</t>
  </si>
  <si>
    <t>ERt-1 = Ri,t-1 / BGi,t-1</t>
  </si>
  <si>
    <t>Ri,t-1</t>
  </si>
  <si>
    <t>BGt-1</t>
  </si>
  <si>
    <t xml:space="preserve"> ESTIMACIÓN 30% FFM ANUAL</t>
  </si>
  <si>
    <t>DISTRIBUCIÓN POR RECAUDACION</t>
  </si>
  <si>
    <t>DISTRIBUCIÓN CRECIMIENTO RECAUDACION</t>
  </si>
  <si>
    <t xml:space="preserve">DISTRIBUCIÓN POR EFICIENCIA EN LA RECAUDACIÓN  </t>
  </si>
  <si>
    <t>COEFICIENTE  POR MONTO DE RECAUDACIÓN EN EL IMPUESTO PREDIAL</t>
  </si>
  <si>
    <t>Tasa&gt;0</t>
  </si>
  <si>
    <t xml:space="preserve">TASA DE CRECIMIENTO EN LA RECAUDACIÓN EFECTIVA </t>
  </si>
  <si>
    <t>COEFICIENTE  DE EFICIENCIA RECAUDATORIA</t>
  </si>
  <si>
    <t>Eficiencia Recaudatoria</t>
  </si>
  <si>
    <t>COEFICIENTE DE DISTRIBUCIÓN  30% FFM Art 14 Frac III</t>
  </si>
  <si>
    <t>RECAUDACIÓN EN EL IMPUESTO PREDIAL</t>
  </si>
  <si>
    <t>CRECIMIENTO RECAUDACION</t>
  </si>
  <si>
    <t xml:space="preserve"> EFICIENCIA RECAUDATORIA</t>
  </si>
  <si>
    <t>IEPSGYD</t>
  </si>
  <si>
    <t>BGt-2</t>
  </si>
  <si>
    <t>RPt-1</t>
  </si>
  <si>
    <t>INFLACIÓN 2019</t>
  </si>
  <si>
    <t>Mes</t>
  </si>
  <si>
    <t>PARTICIPACIONES DISTRIBUIDAS AÑO ANTERIOR
FGP, FFM 70%, FOFIR, IEPS, ISAN, FEXHI</t>
  </si>
  <si>
    <r>
      <rPr>
        <b/>
        <sz val="8"/>
        <rFont val="Arial"/>
        <family val="2"/>
      </rPr>
      <t xml:space="preserve">PARTICIPACIONES </t>
    </r>
    <r>
      <rPr>
        <b/>
        <sz val="9"/>
        <rFont val="Arial"/>
        <family val="2"/>
      </rPr>
      <t>DISTRIBUIDAS AÑO ANT. MÁS INFLACIÓN O CRECIMIENTO</t>
    </r>
  </si>
  <si>
    <t>MONTO NECESARIO PARA ALCANZAR EL AÑO ANTERIOR</t>
  </si>
  <si>
    <t>CRECIMIENTO Vs AÑO ANTERIOR</t>
  </si>
  <si>
    <t xml:space="preserve"> </t>
  </si>
  <si>
    <t xml:space="preserve"> MUNICIPIO </t>
  </si>
  <si>
    <t>COEFICIENTE</t>
  </si>
  <si>
    <t xml:space="preserve"> ABASOLO </t>
  </si>
  <si>
    <t xml:space="preserve"> AGUALEGUAS </t>
  </si>
  <si>
    <t xml:space="preserve"> ALDAMAS, LOS </t>
  </si>
  <si>
    <t xml:space="preserve"> ALLENDE </t>
  </si>
  <si>
    <t xml:space="preserve"> ANAHUAC </t>
  </si>
  <si>
    <t xml:space="preserve"> APODACA </t>
  </si>
  <si>
    <t xml:space="preserve"> ARAMBERRI </t>
  </si>
  <si>
    <t xml:space="preserve"> BUSTAMANTE </t>
  </si>
  <si>
    <t xml:space="preserve"> CADEREYTA JIMENEZ </t>
  </si>
  <si>
    <t xml:space="preserve"> CARMEN </t>
  </si>
  <si>
    <t xml:space="preserve"> CERRALVO  </t>
  </si>
  <si>
    <t xml:space="preserve"> CHINA </t>
  </si>
  <si>
    <t xml:space="preserve"> CIENEGA DE FLORES </t>
  </si>
  <si>
    <t xml:space="preserve"> DOCTOR ARROYO </t>
  </si>
  <si>
    <t xml:space="preserve"> DOCTOR COSS </t>
  </si>
  <si>
    <t xml:space="preserve"> DOCTOR GONZALEZ </t>
  </si>
  <si>
    <t xml:space="preserve"> GALEANA </t>
  </si>
  <si>
    <t xml:space="preserve"> GARCIA </t>
  </si>
  <si>
    <t xml:space="preserve"> GENERAL BRAVO </t>
  </si>
  <si>
    <t xml:space="preserve"> GENERAL ESCOBEDO </t>
  </si>
  <si>
    <t xml:space="preserve"> GENERAL TERAN </t>
  </si>
  <si>
    <t xml:space="preserve"> GENERAL TREVIÑO </t>
  </si>
  <si>
    <t xml:space="preserve"> GENERAL ZARAGOZA </t>
  </si>
  <si>
    <t xml:space="preserve"> GENERAL ZUAZUA </t>
  </si>
  <si>
    <t xml:space="preserve"> GUADALUPE </t>
  </si>
  <si>
    <t xml:space="preserve"> HERRERAS, LOS </t>
  </si>
  <si>
    <t xml:space="preserve"> HIDALGO </t>
  </si>
  <si>
    <t xml:space="preserve"> HIGUERAS </t>
  </si>
  <si>
    <t xml:space="preserve"> HUALAHUISES </t>
  </si>
  <si>
    <t xml:space="preserve"> ITURBIDE </t>
  </si>
  <si>
    <t xml:space="preserve"> JUAREZ </t>
  </si>
  <si>
    <t xml:space="preserve"> LAMPAZOS DE NARANJO </t>
  </si>
  <si>
    <t xml:space="preserve"> LINARES </t>
  </si>
  <si>
    <t xml:space="preserve"> MARIN </t>
  </si>
  <si>
    <t xml:space="preserve"> MELCHOR OCAMPO </t>
  </si>
  <si>
    <t xml:space="preserve"> MIER Y NORIEGA </t>
  </si>
  <si>
    <t xml:space="preserve"> MINA </t>
  </si>
  <si>
    <t xml:space="preserve"> MONTEMORELOS </t>
  </si>
  <si>
    <t xml:space="preserve"> MONTERREY </t>
  </si>
  <si>
    <t xml:space="preserve"> PARAS </t>
  </si>
  <si>
    <t xml:space="preserve"> PESQUERIA </t>
  </si>
  <si>
    <t xml:space="preserve"> RAMONES, LOS </t>
  </si>
  <si>
    <t xml:space="preserve"> RAYONES </t>
  </si>
  <si>
    <t xml:space="preserve"> SABINAS HIDALGO </t>
  </si>
  <si>
    <t xml:space="preserve"> SALINAS VICTORIA </t>
  </si>
  <si>
    <t xml:space="preserve"> SAN NICOLAS DE LOS GARZA </t>
  </si>
  <si>
    <t xml:space="preserve"> SAN PEDRO GARZA GARCIA </t>
  </si>
  <si>
    <t xml:space="preserve"> SANTA CATARINA </t>
  </si>
  <si>
    <t xml:space="preserve"> SANTIAGO </t>
  </si>
  <si>
    <t xml:space="preserve"> VALLECILLO </t>
  </si>
  <si>
    <t xml:space="preserve"> VILLALDAMA </t>
  </si>
  <si>
    <t xml:space="preserve">         TOTAL </t>
  </si>
  <si>
    <t>ISR Venta de Inmuebles</t>
  </si>
  <si>
    <t>20% para municipios</t>
  </si>
  <si>
    <t>RECAUDACIÓN 2019</t>
  </si>
  <si>
    <t>LOS ALDAMAS</t>
  </si>
  <si>
    <t>LOS HERRERAS</t>
  </si>
  <si>
    <t>LOS RAMONES</t>
  </si>
  <si>
    <t>ISR NOMINA</t>
  </si>
  <si>
    <t>ISR INMUEBLES</t>
  </si>
  <si>
    <t>FONDO DE ISR POR LA ENAJENACIÓN DE BIENES INMUEBLES</t>
  </si>
  <si>
    <t>ISR Enajenación de Inmuebles</t>
  </si>
  <si>
    <t>PEF 2021</t>
  </si>
  <si>
    <t>POBLACIÓN 2020</t>
  </si>
  <si>
    <t>Entidad federativa</t>
  </si>
  <si>
    <t>Municipio</t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</si>
  <si>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</si>
  <si>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</si>
  <si>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</si>
  <si>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</si>
  <si>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</si>
  <si>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</si>
  <si>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</si>
  <si>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</si>
  <si>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</si>
  <si>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</si>
  <si>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</si>
  <si>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</si>
  <si>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</si>
  <si>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</si>
  <si>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</si>
  <si>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</si>
  <si>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</si>
  <si>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</si>
  <si>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</si>
  <si>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</si>
  <si>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</si>
  <si>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</si>
  <si>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</si>
  <si>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</si>
  <si>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</si>
  <si>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</si>
  <si>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</si>
  <si>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</si>
  <si>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</si>
  <si>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</si>
  <si>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</si>
  <si>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</si>
  <si>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</si>
  <si>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</si>
  <si>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</si>
  <si>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</si>
  <si>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</si>
  <si>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</si>
  <si>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</si>
  <si>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</si>
  <si>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</si>
  <si>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</si>
  <si>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</si>
  <si>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</si>
  <si>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</si>
  <si>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</si>
  <si>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</si>
  <si>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</si>
  <si>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</si>
  <si>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</si>
  <si>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</si>
  <si>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</si>
  <si>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</si>
  <si>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</si>
  <si>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</si>
  <si>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</si>
  <si>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censo pob 2020</t>
  </si>
  <si>
    <t>COORDINACIÓN Y PLANEACIÓN HACENDARIA</t>
  </si>
  <si>
    <t>(PESOS)</t>
  </si>
  <si>
    <t>COEFICIENTE 1er SEMESTRE 2021</t>
  </si>
  <si>
    <t>PARTICIPACIONES OBSERVADAS 1ER SEM MAS ESTIMADAS 2DO SEM 2021</t>
  </si>
  <si>
    <t>MONTO 2021 POR ENCIMA DE 2020 MÁS INFLACIÓN</t>
  </si>
  <si>
    <t>MONTO A DISMINUIR EN MUNICIPIOS CON CRECIMIENTO SUPERIOR A 2020 MÁS INFLACIÓN</t>
  </si>
  <si>
    <t>MONTO A DISTRIBUIR EN 2021 PARA GARANTIZAR AL MENOS EL PAGO DE 2020 MÁS INFLACIÓN</t>
  </si>
  <si>
    <t>DETERMINACIÓN INCREMENTO 2021 vs PAGO 2020 MÁS INFLACIÓN</t>
  </si>
  <si>
    <t>Participaciones federales según acuerdo publicado el 21 de diciembre de 2020</t>
  </si>
  <si>
    <t>POBLACIÓN  2020</t>
  </si>
  <si>
    <t xml:space="preserve">  Población 2020, CENSO POBLACION Y VIVIENDA, INEGI</t>
  </si>
  <si>
    <t>COEFICIENTE CRECIMIENTO RECAUDACION</t>
  </si>
  <si>
    <t>RECAUDACIÓN 2020</t>
  </si>
  <si>
    <t>FACTURACIÓN  2020
(2016-2019)</t>
  </si>
  <si>
    <t>ISAI 2020</t>
  </si>
  <si>
    <t>FACTURACIÓN  2019
(2015-2019)</t>
  </si>
  <si>
    <t>PROYECCIÓN DE POBLACIÓN 2020</t>
  </si>
  <si>
    <t>POB 15 AÑOS O + NO SABE LEER NI ESCRIBIR 2010</t>
  </si>
  <si>
    <t>POBL SIN ACCESO A DRENAJE 2010</t>
  </si>
  <si>
    <t>POB SIN ACCESO A  ELECTRICIDAD 2010</t>
  </si>
  <si>
    <t>COEF CARENCIA SOCIAL
2010</t>
  </si>
  <si>
    <t>POB 15 MAS AÑOS NO SABE LEER NI ESCRIBIR
2020</t>
  </si>
  <si>
    <t>POBL SIN ACCESO A DRENAJE
2020</t>
  </si>
  <si>
    <t>POB SIN ACCESO A ELECTRICIDAD
2020</t>
  </si>
  <si>
    <t>COEF  CARENCIA SOCIAL
2020</t>
  </si>
  <si>
    <t>Fondo sobre Extracción de Hidrocarburos (FEXHI)</t>
  </si>
  <si>
    <t>DIFERENCIAS POR CALCULO CON COEFICIENTE DE 1er SEMESTRE Vs CALCULO CON COEFICIENTE ACTUALIZADO</t>
  </si>
  <si>
    <t>FFM (70%)</t>
  </si>
  <si>
    <t>FFM (30%)</t>
  </si>
  <si>
    <t>IEPS GYD</t>
  </si>
  <si>
    <t>ISR ENAJENACION</t>
  </si>
  <si>
    <t>CS1</t>
  </si>
  <si>
    <t>MEJORA SOCIAL 2020 vs 2010</t>
  </si>
  <si>
    <t>AJUSTE MENSUAL PARA APLICAR DE JULIO A DICIEMBRE 2021</t>
  </si>
  <si>
    <t>POR DISTRIBUCIÓN DE PARTICIPACIONES EN EL 1er SEMESTRE DE 2021</t>
  </si>
  <si>
    <t>FEIEF RETENCION</t>
  </si>
  <si>
    <t>FEIEF FGP  RETENCION</t>
  </si>
  <si>
    <t>MONTO RETENCION</t>
  </si>
  <si>
    <t>SUBTOTAL</t>
  </si>
  <si>
    <t>TERRITORIO INEGI 2020 NL PUBLICACIÓN</t>
  </si>
  <si>
    <t>Fuente: Panorama Sociodemografico de Nuevo León. Censo de Población y Vivienda 2020. INEGI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</si>
  <si>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</si>
  <si>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Participaciones NOVIEMBRE 2021</t>
  </si>
  <si>
    <t xml:space="preserve">CÁLCULO DE DISTRIBUCIÓN DE PARTICIPACIONES NOVIEMBRE 2021 </t>
  </si>
  <si>
    <t>CÁLCULO  DE PARTICIPACIONES DE ISR MES DE NOVIEMBRE 2021</t>
  </si>
  <si>
    <t>SALDOS DE PARTICIPACIONES DISTRIBUIDAS ENERO - JUNIO 2021</t>
  </si>
  <si>
    <t>CORRESPONDIENTE AL PERIODO NOVIEMBRE</t>
  </si>
  <si>
    <t>DISTRIBUCIÓN NOVIEMBRE</t>
  </si>
  <si>
    <t>ORGANISMOS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</si>
</sst>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0.000000%"/>
    <numFmt numFmtId="168" formatCode="#,##0\ &quot;$&quot;;[Red]\-#,##0\ &quot;$&quot;"/>
    <numFmt numFmtId="169" formatCode="&quot;$&quot;\ #,##0.00"/>
    <numFmt numFmtId="170" formatCode="\U\ #,##0.00"/>
    <numFmt numFmtId="171" formatCode="_(* #,##0.000000_);_(* \(#,##0.000000\);_(* &quot;-&quot;??_);_(@_)"/>
    <numFmt numFmtId="172" formatCode="0.00000000%"/>
    <numFmt numFmtId="173" formatCode="0.000000"/>
    <numFmt numFmtId="174" formatCode="0.00000000"/>
    <numFmt numFmtId="175" formatCode="#,##0.0000;\-#,##0.0000"/>
    <numFmt numFmtId="176" formatCode="#,##0.00000000000;\-#,##0.00000000000"/>
    <numFmt numFmtId="177" formatCode="0.0000%"/>
    <numFmt numFmtId="178" formatCode="General_)"/>
    <numFmt numFmtId="179" formatCode="_-[$€-2]* #,##0.00_-;\-[$€-2]* #,##0.00_-;_-[$€-2]* &quot;-&quot;??_-"/>
    <numFmt numFmtId="180" formatCode="_-* #,##0_-;\-* #,##0_-;_-* &quot;-&quot;??_-;_-@_-"/>
    <numFmt numFmtId="181" formatCode="_-* #,##0.0000_-;\-* #,##0.0000_-;_-* &quot;-&quot;????_-;_-@_-"/>
    <numFmt numFmtId="182" formatCode="_-* #,##0.0000_-;\-* #,##0.0000_-;_-* &quot;-&quot;_-;_-@_-"/>
    <numFmt numFmtId="183" formatCode="_-* #,##0.0000_-;\-* #,##0.0000_-;_-* &quot;-&quot;??_-;_-@_-"/>
    <numFmt numFmtId="184" formatCode="_-* #,##0.00000_-;\-* #,##0.00000_-;_-* &quot;-&quot;??_-;_-@_-"/>
    <numFmt numFmtId="185" formatCode="#,##0.00_ ;[Red]\-#,##0.00\ "/>
    <numFmt numFmtId="186" formatCode="#,##0.000000;[Red]\-#,##0.000000"/>
    <numFmt numFmtId="187" formatCode="#,##0_ ;[Red]\-#,##0\ "/>
    <numFmt numFmtId="188" formatCode="###\ ###\ ###\ ##0"/>
    <numFmt numFmtId="189" formatCode="#,##0.0000;[Red]\-#,##0.0000"/>
    <numFmt numFmtId="190" formatCode="_-* #,##0.000000_-;\-* #,##0.000000_-;_-* &quot;-&quot;????_-;_-@_-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b/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b/>
      <sz val="19"/>
      <name val="Arial"/>
      <family val="2"/>
    </font>
    <font>
      <b/>
      <sz val="8"/>
      <name val="Arial"/>
      <family val="2"/>
    </font>
    <font>
      <sz val="11"/>
      <color theme="1"/>
      <name val="Soberana Sans"/>
      <family val="2"/>
    </font>
    <font>
      <sz val="11"/>
      <name val="Calibri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rgb="FF333333"/>
      <name val="Helvetica"/>
      <family val="2"/>
    </font>
    <font>
      <b/>
      <sz val="12"/>
      <color rgb="FF006100"/>
      <name val="Arial Narrow"/>
      <family val="2"/>
    </font>
    <font>
      <sz val="12"/>
      <color indexed="8"/>
      <name val="Arial Narrow"/>
      <family val="2"/>
    </font>
    <font>
      <b/>
      <sz val="10"/>
      <name val="Arial Narrow"/>
      <family val="2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9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indexed="64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7" fillId="16" borderId="1" applyNumberFormat="0" applyAlignment="0" applyProtection="0"/>
    <xf numFmtId="0" fontId="18" fillId="17" borderId="2" applyNumberFormat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21" fillId="7" borderId="1" applyNumberFormat="0" applyAlignment="0" applyProtection="0"/>
    <xf numFmtId="168" fontId="8" fillId="0" borderId="0" applyFont="0" applyFill="0" applyBorder="0" applyAlignment="0" applyProtection="0"/>
    <xf numFmtId="0" fontId="22" fillId="3" borderId="0" applyNumberFormat="0" applyBorder="0" applyAlignment="0" applyProtection="0"/>
    <xf numFmtId="164" fontId="8" fillId="0" borderId="0" applyFont="0" applyFill="0" applyBorder="0" applyAlignment="0" applyProtection="0"/>
    <xf numFmtId="0" fontId="23" fillId="22" borderId="0" applyNumberFormat="0" applyBorder="0" applyAlignment="0" applyProtection="0"/>
    <xf numFmtId="0" fontId="33" fillId="0" borderId="0"/>
    <xf numFmtId="0" fontId="10" fillId="0" borderId="0"/>
    <xf numFmtId="37" fontId="9" fillId="0" borderId="0"/>
    <xf numFmtId="0" fontId="14" fillId="23" borderId="4" applyNumberFormat="0" applyFont="0" applyAlignment="0" applyProtection="0"/>
    <xf numFmtId="169" fontId="10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4" fillId="16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0" fillId="0" borderId="8" applyNumberFormat="0" applyFill="0" applyAlignment="0" applyProtection="0"/>
    <xf numFmtId="0" fontId="30" fillId="0" borderId="9" applyNumberFormat="0" applyFill="0" applyAlignment="0" applyProtection="0"/>
    <xf numFmtId="170" fontId="11" fillId="0" borderId="0" applyFont="0" applyFill="0" applyBorder="0" applyAlignment="0" applyProtection="0">
      <alignment horizontal="right"/>
    </xf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8" fontId="8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7" fillId="16" borderId="1" applyNumberFormat="0" applyAlignment="0" applyProtection="0"/>
    <xf numFmtId="0" fontId="18" fillId="17" borderId="2" applyNumberFormat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21" fillId="7" borderId="1" applyNumberFormat="0" applyAlignment="0" applyProtection="0"/>
    <xf numFmtId="179" fontId="8" fillId="0" borderId="0" applyFont="0" applyFill="0" applyBorder="0" applyAlignment="0" applyProtection="0"/>
    <xf numFmtId="0" fontId="22" fillId="3" borderId="0" applyNumberFormat="0" applyBorder="0" applyAlignment="0" applyProtection="0"/>
    <xf numFmtId="41" fontId="8" fillId="0" borderId="0" applyFont="0" applyFill="0" applyBorder="0" applyAlignment="0" applyProtection="0"/>
    <xf numFmtId="0" fontId="23" fillId="22" borderId="0" applyNumberFormat="0" applyBorder="0" applyAlignment="0" applyProtection="0"/>
    <xf numFmtId="0" fontId="8" fillId="23" borderId="4" applyNumberFormat="0" applyFont="0" applyAlignment="0" applyProtection="0"/>
    <xf numFmtId="0" fontId="24" fillId="16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0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7" fillId="0" borderId="0"/>
    <xf numFmtId="43" fontId="8" fillId="0" borderId="0" applyFont="0" applyFill="0" applyBorder="0" applyAlignment="0" applyProtection="0"/>
    <xf numFmtId="0" fontId="49" fillId="0" borderId="0"/>
    <xf numFmtId="0" fontId="6" fillId="0" borderId="0"/>
    <xf numFmtId="43" fontId="50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0" fontId="55" fillId="2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9" fontId="8" fillId="0" borderId="0" applyFont="0" applyFill="0" applyBorder="0" applyAlignment="0" applyProtection="0">
      <alignment horizontal="right"/>
    </xf>
    <xf numFmtId="0" fontId="2" fillId="0" borderId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9">
    <xf numFmtId="0" fontId="0" fillId="0" borderId="0" xfId="0"/>
    <xf numFmtId="37" fontId="8" fillId="0" borderId="0" xfId="37" applyFont="1" applyFill="1" applyProtection="1">
      <protection hidden="1"/>
    </xf>
    <xf numFmtId="37" fontId="8" fillId="0" borderId="0" xfId="37" applyFont="1" applyProtection="1">
      <protection hidden="1"/>
    </xf>
    <xf numFmtId="37" fontId="35" fillId="0" borderId="0" xfId="37" applyFont="1" applyProtection="1">
      <protection hidden="1"/>
    </xf>
    <xf numFmtId="37" fontId="40" fillId="0" borderId="0" xfId="37" applyFont="1" applyProtection="1">
      <protection hidden="1"/>
    </xf>
    <xf numFmtId="173" fontId="8" fillId="0" borderId="0" xfId="37" applyNumberFormat="1" applyFont="1" applyProtection="1">
      <protection hidden="1"/>
    </xf>
    <xf numFmtId="174" fontId="8" fillId="0" borderId="0" xfId="37" applyNumberFormat="1" applyFont="1" applyProtection="1">
      <protection hidden="1"/>
    </xf>
    <xf numFmtId="37" fontId="44" fillId="0" borderId="0" xfId="37" applyFont="1" applyAlignment="1" applyProtection="1">
      <alignment horizontal="center"/>
      <protection hidden="1"/>
    </xf>
    <xf numFmtId="37" fontId="8" fillId="0" borderId="0" xfId="37" applyFont="1" applyAlignment="1" applyProtection="1">
      <alignment wrapText="1"/>
      <protection hidden="1"/>
    </xf>
    <xf numFmtId="37" fontId="44" fillId="0" borderId="0" xfId="37" applyFont="1" applyAlignment="1" applyProtection="1">
      <protection hidden="1"/>
    </xf>
    <xf numFmtId="0" fontId="0" fillId="0" borderId="28" xfId="0" applyBorder="1" applyAlignment="1"/>
    <xf numFmtId="0" fontId="8" fillId="0" borderId="0" xfId="53"/>
    <xf numFmtId="0" fontId="8" fillId="0" borderId="0" xfId="53" applyFont="1" applyBorder="1" applyAlignment="1">
      <alignment vertical="center"/>
    </xf>
    <xf numFmtId="3" fontId="8" fillId="0" borderId="0" xfId="53" applyNumberFormat="1" applyBorder="1" applyAlignment="1">
      <alignment horizontal="center" vertical="center"/>
    </xf>
    <xf numFmtId="0" fontId="8" fillId="0" borderId="0" xfId="53" applyBorder="1" applyAlignment="1">
      <alignment horizontal="center" vertical="center"/>
    </xf>
    <xf numFmtId="0" fontId="8" fillId="0" borderId="0" xfId="53" applyFont="1"/>
    <xf numFmtId="180" fontId="0" fillId="0" borderId="0" xfId="51" applyNumberFormat="1" applyFont="1"/>
    <xf numFmtId="180" fontId="8" fillId="0" borderId="0" xfId="51" applyNumberFormat="1" applyFont="1"/>
    <xf numFmtId="180" fontId="12" fillId="0" borderId="34" xfId="51" applyNumberFormat="1" applyFont="1" applyFill="1" applyBorder="1" applyAlignment="1">
      <alignment horizontal="center" vertical="center" wrapText="1"/>
    </xf>
    <xf numFmtId="180" fontId="12" fillId="0" borderId="37" xfId="51" applyNumberFormat="1" applyFont="1" applyFill="1" applyBorder="1"/>
    <xf numFmtId="180" fontId="12" fillId="0" borderId="34" xfId="51" applyNumberFormat="1" applyFont="1" applyFill="1" applyBorder="1"/>
    <xf numFmtId="180" fontId="12" fillId="0" borderId="0" xfId="51" applyNumberFormat="1" applyFont="1" applyFill="1" applyBorder="1"/>
    <xf numFmtId="167" fontId="51" fillId="0" borderId="0" xfId="40" applyNumberFormat="1" applyFont="1" applyProtection="1">
      <protection hidden="1"/>
    </xf>
    <xf numFmtId="37" fontId="12" fillId="0" borderId="0" xfId="37" applyFont="1" applyProtection="1">
      <protection hidden="1"/>
    </xf>
    <xf numFmtId="3" fontId="8" fillId="0" borderId="0" xfId="53" applyNumberFormat="1"/>
    <xf numFmtId="0" fontId="8" fillId="24" borderId="0" xfId="106" applyFill="1"/>
    <xf numFmtId="180" fontId="0" fillId="24" borderId="0" xfId="51" applyNumberFormat="1" applyFont="1" applyFill="1"/>
    <xf numFmtId="181" fontId="8" fillId="24" borderId="38" xfId="106" applyNumberFormat="1" applyFill="1" applyBorder="1"/>
    <xf numFmtId="180" fontId="0" fillId="24" borderId="42" xfId="51" applyNumberFormat="1" applyFont="1" applyFill="1" applyBorder="1"/>
    <xf numFmtId="180" fontId="0" fillId="24" borderId="0" xfId="51" applyNumberFormat="1" applyFont="1" applyFill="1" applyBorder="1"/>
    <xf numFmtId="180" fontId="0" fillId="24" borderId="43" xfId="51" applyNumberFormat="1" applyFont="1" applyFill="1" applyBorder="1"/>
    <xf numFmtId="0" fontId="12" fillId="24" borderId="37" xfId="106" applyFont="1" applyFill="1" applyBorder="1"/>
    <xf numFmtId="182" fontId="8" fillId="24" borderId="41" xfId="106" applyNumberFormat="1" applyFill="1" applyBorder="1"/>
    <xf numFmtId="183" fontId="0" fillId="24" borderId="0" xfId="51" applyNumberFormat="1" applyFont="1" applyFill="1" applyBorder="1"/>
    <xf numFmtId="183" fontId="8" fillId="24" borderId="0" xfId="106" applyNumberFormat="1" applyFill="1" applyBorder="1"/>
    <xf numFmtId="183" fontId="0" fillId="24" borderId="42" xfId="51" applyNumberFormat="1" applyFont="1" applyFill="1" applyBorder="1"/>
    <xf numFmtId="181" fontId="8" fillId="24" borderId="44" xfId="106" applyNumberFormat="1" applyFill="1" applyBorder="1"/>
    <xf numFmtId="41" fontId="0" fillId="24" borderId="45" xfId="51" applyNumberFormat="1" applyFont="1" applyFill="1" applyBorder="1"/>
    <xf numFmtId="180" fontId="0" fillId="24" borderId="46" xfId="51" applyNumberFormat="1" applyFont="1" applyFill="1" applyBorder="1"/>
    <xf numFmtId="180" fontId="0" fillId="24" borderId="47" xfId="51" applyNumberFormat="1" applyFont="1" applyFill="1" applyBorder="1"/>
    <xf numFmtId="180" fontId="0" fillId="24" borderId="48" xfId="51" applyNumberFormat="1" applyFont="1" applyFill="1" applyBorder="1"/>
    <xf numFmtId="0" fontId="12" fillId="24" borderId="49" xfId="106" applyFont="1" applyFill="1" applyBorder="1"/>
    <xf numFmtId="182" fontId="8" fillId="24" borderId="45" xfId="106" applyNumberFormat="1" applyFill="1" applyBorder="1"/>
    <xf numFmtId="183" fontId="0" fillId="24" borderId="47" xfId="51" applyNumberFormat="1" applyFont="1" applyFill="1" applyBorder="1"/>
    <xf numFmtId="183" fontId="0" fillId="24" borderId="46" xfId="51" applyNumberFormat="1" applyFont="1" applyFill="1" applyBorder="1"/>
    <xf numFmtId="0" fontId="53" fillId="24" borderId="0" xfId="106" applyFont="1" applyFill="1"/>
    <xf numFmtId="0" fontId="12" fillId="24" borderId="0" xfId="106" applyFont="1" applyFill="1"/>
    <xf numFmtId="0" fontId="12" fillId="0" borderId="0" xfId="106" applyFont="1"/>
    <xf numFmtId="180" fontId="53" fillId="24" borderId="0" xfId="51" applyNumberFormat="1" applyFont="1" applyFill="1" applyAlignment="1">
      <alignment horizontal="center" vertical="center"/>
    </xf>
    <xf numFmtId="0" fontId="35" fillId="24" borderId="0" xfId="106" applyFont="1" applyFill="1" applyAlignment="1">
      <alignment horizontal="center" vertical="center" wrapText="1"/>
    </xf>
    <xf numFmtId="0" fontId="12" fillId="24" borderId="36" xfId="106" applyFont="1" applyFill="1" applyBorder="1" applyAlignment="1">
      <alignment horizontal="center" vertical="center" wrapText="1"/>
    </xf>
    <xf numFmtId="0" fontId="12" fillId="24" borderId="50" xfId="106" applyFont="1" applyFill="1" applyBorder="1" applyAlignment="1">
      <alignment horizontal="center" vertical="center" wrapText="1"/>
    </xf>
    <xf numFmtId="0" fontId="12" fillId="24" borderId="51" xfId="106" applyFont="1" applyFill="1" applyBorder="1" applyAlignment="1">
      <alignment horizontal="center" vertical="center" wrapText="1"/>
    </xf>
    <xf numFmtId="0" fontId="12" fillId="24" borderId="35" xfId="106" applyFont="1" applyFill="1" applyBorder="1" applyAlignment="1">
      <alignment horizontal="center" vertical="center" wrapText="1"/>
    </xf>
    <xf numFmtId="0" fontId="12" fillId="24" borderId="52" xfId="106" applyFont="1" applyFill="1" applyBorder="1" applyAlignment="1">
      <alignment horizontal="center" vertical="center" wrapText="1"/>
    </xf>
    <xf numFmtId="0" fontId="12" fillId="24" borderId="34" xfId="106" applyFont="1" applyFill="1" applyBorder="1" applyAlignment="1">
      <alignment horizontal="center" vertical="center"/>
    </xf>
    <xf numFmtId="0" fontId="12" fillId="24" borderId="0" xfId="106" applyFont="1" applyFill="1" applyAlignment="1"/>
    <xf numFmtId="0" fontId="12" fillId="24" borderId="0" xfId="106" applyFont="1" applyFill="1" applyAlignment="1">
      <alignment horizontal="center" vertical="center" wrapText="1"/>
    </xf>
    <xf numFmtId="0" fontId="8" fillId="0" borderId="54" xfId="53" applyFont="1" applyBorder="1" applyAlignment="1">
      <alignment vertical="center" wrapText="1"/>
    </xf>
    <xf numFmtId="43" fontId="12" fillId="0" borderId="35" xfId="51" applyNumberFormat="1" applyFont="1" applyFill="1" applyBorder="1" applyAlignment="1">
      <alignment horizontal="center" vertical="center" wrapText="1"/>
    </xf>
    <xf numFmtId="43" fontId="12" fillId="0" borderId="36" xfId="51" applyNumberFormat="1" applyFont="1" applyFill="1" applyBorder="1" applyAlignment="1">
      <alignment horizontal="center" vertical="center"/>
    </xf>
    <xf numFmtId="43" fontId="12" fillId="0" borderId="0" xfId="51" applyNumberFormat="1" applyFont="1" applyFill="1" applyBorder="1"/>
    <xf numFmtId="43" fontId="8" fillId="0" borderId="0" xfId="53" applyNumberFormat="1" applyFont="1"/>
    <xf numFmtId="43" fontId="0" fillId="0" borderId="0" xfId="51" applyNumberFormat="1" applyFont="1"/>
    <xf numFmtId="0" fontId="12" fillId="0" borderId="54" xfId="53" applyFont="1" applyBorder="1" applyAlignment="1">
      <alignment horizontal="center" vertical="center" wrapText="1"/>
    </xf>
    <xf numFmtId="0" fontId="12" fillId="0" borderId="54" xfId="53" applyFont="1" applyBorder="1" applyAlignment="1">
      <alignment horizontal="center" vertical="center"/>
    </xf>
    <xf numFmtId="3" fontId="54" fillId="0" borderId="0" xfId="53" applyNumberFormat="1" applyFont="1"/>
    <xf numFmtId="0" fontId="34" fillId="0" borderId="0" xfId="109" applyFont="1"/>
    <xf numFmtId="43" fontId="34" fillId="0" borderId="0" xfId="110" applyFont="1"/>
    <xf numFmtId="38" fontId="8" fillId="0" borderId="0" xfId="53" applyNumberFormat="1"/>
    <xf numFmtId="38" fontId="0" fillId="0" borderId="0" xfId="51" applyNumberFormat="1" applyFont="1" applyFill="1" applyBorder="1"/>
    <xf numFmtId="38" fontId="0" fillId="24" borderId="0" xfId="51" applyNumberFormat="1" applyFont="1" applyFill="1" applyBorder="1"/>
    <xf numFmtId="37" fontId="8" fillId="24" borderId="11" xfId="37" applyFont="1" applyFill="1" applyBorder="1" applyAlignment="1" applyProtection="1">
      <alignment horizontal="left"/>
      <protection hidden="1"/>
    </xf>
    <xf numFmtId="37" fontId="8" fillId="24" borderId="12" xfId="37" applyFont="1" applyFill="1" applyBorder="1" applyAlignment="1" applyProtection="1">
      <alignment horizontal="left"/>
      <protection hidden="1"/>
    </xf>
    <xf numFmtId="43" fontId="12" fillId="26" borderId="35" xfId="51" applyNumberFormat="1" applyFont="1" applyFill="1" applyBorder="1" applyAlignment="1">
      <alignment horizontal="center" vertical="center" wrapText="1"/>
    </xf>
    <xf numFmtId="17" fontId="0" fillId="0" borderId="0" xfId="51" applyNumberFormat="1" applyFont="1"/>
    <xf numFmtId="187" fontId="0" fillId="0" borderId="0" xfId="33" applyNumberFormat="1" applyFont="1" applyFill="1" applyBorder="1"/>
    <xf numFmtId="187" fontId="12" fillId="0" borderId="38" xfId="33" applyNumberFormat="1" applyFont="1" applyFill="1" applyBorder="1"/>
    <xf numFmtId="187" fontId="12" fillId="0" borderId="35" xfId="33" applyNumberFormat="1" applyFont="1" applyFill="1" applyBorder="1"/>
    <xf numFmtId="187" fontId="12" fillId="0" borderId="36" xfId="33" applyNumberFormat="1" applyFont="1" applyFill="1" applyBorder="1"/>
    <xf numFmtId="37" fontId="8" fillId="24" borderId="0" xfId="37" applyFont="1" applyFill="1" applyProtection="1">
      <protection hidden="1"/>
    </xf>
    <xf numFmtId="37" fontId="8" fillId="24" borderId="28" xfId="37" applyFont="1" applyFill="1" applyBorder="1" applyAlignment="1" applyProtection="1">
      <alignment wrapText="1"/>
      <protection hidden="1"/>
    </xf>
    <xf numFmtId="167" fontId="51" fillId="24" borderId="0" xfId="40" applyNumberFormat="1" applyFont="1" applyFill="1" applyProtection="1">
      <protection hidden="1"/>
    </xf>
    <xf numFmtId="49" fontId="45" fillId="24" borderId="30" xfId="54" applyNumberFormat="1" applyFont="1" applyFill="1" applyBorder="1" applyAlignment="1" applyProtection="1">
      <alignment horizontal="center" vertical="center" wrapText="1"/>
      <protection hidden="1"/>
    </xf>
    <xf numFmtId="10" fontId="45" fillId="24" borderId="31" xfId="56" applyNumberFormat="1" applyFont="1" applyFill="1" applyBorder="1" applyAlignment="1" applyProtection="1">
      <alignment horizontal="center" vertical="center" wrapText="1"/>
      <protection hidden="1"/>
    </xf>
    <xf numFmtId="10" fontId="45" fillId="24" borderId="10" xfId="56" applyNumberFormat="1" applyFont="1" applyFill="1" applyBorder="1" applyAlignment="1" applyProtection="1">
      <alignment horizontal="center" vertical="center" wrapText="1"/>
      <protection hidden="1"/>
    </xf>
    <xf numFmtId="37" fontId="12" fillId="24" borderId="0" xfId="37" applyFont="1" applyFill="1" applyBorder="1" applyAlignment="1" applyProtection="1">
      <alignment horizontal="center" vertical="center" wrapText="1"/>
      <protection hidden="1"/>
    </xf>
    <xf numFmtId="49" fontId="45" fillId="24" borderId="0" xfId="33" applyNumberFormat="1" applyFont="1" applyFill="1" applyBorder="1" applyAlignment="1" applyProtection="1">
      <alignment horizontal="center" vertical="center" wrapText="1"/>
      <protection hidden="1"/>
    </xf>
    <xf numFmtId="49" fontId="12" fillId="24" borderId="0" xfId="33" applyNumberFormat="1" applyFont="1" applyFill="1" applyBorder="1" applyAlignment="1" applyProtection="1">
      <alignment horizontal="center" vertical="center" wrapText="1"/>
      <protection hidden="1"/>
    </xf>
    <xf numFmtId="10" fontId="45" fillId="24" borderId="0" xfId="4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7" applyFont="1" applyFill="1" applyBorder="1" applyAlignment="1" applyProtection="1">
      <alignment horizontal="center" vertical="center" wrapText="1"/>
      <protection hidden="1"/>
    </xf>
    <xf numFmtId="37" fontId="52" fillId="24" borderId="0" xfId="37" applyFont="1" applyFill="1" applyBorder="1" applyAlignment="1" applyProtection="1">
      <alignment horizontal="center" vertical="center" wrapText="1"/>
      <protection hidden="1"/>
    </xf>
    <xf numFmtId="37" fontId="8" fillId="24" borderId="20" xfId="37" applyFont="1" applyFill="1" applyBorder="1" applyAlignment="1" applyProtection="1">
      <alignment horizontal="right"/>
      <protection hidden="1"/>
    </xf>
    <xf numFmtId="186" fontId="8" fillId="24" borderId="20" xfId="40" applyNumberFormat="1" applyFont="1" applyFill="1" applyBorder="1" applyProtection="1">
      <protection hidden="1"/>
    </xf>
    <xf numFmtId="37" fontId="8" fillId="24" borderId="22" xfId="37" applyFont="1" applyFill="1" applyBorder="1" applyAlignment="1" applyProtection="1">
      <alignment horizontal="right"/>
      <protection hidden="1"/>
    </xf>
    <xf numFmtId="37" fontId="8" fillId="24" borderId="23" xfId="37" applyFont="1" applyFill="1" applyBorder="1" applyAlignment="1" applyProtection="1">
      <protection hidden="1"/>
    </xf>
    <xf numFmtId="186" fontId="8" fillId="24" borderId="22" xfId="40" applyNumberFormat="1" applyFont="1" applyFill="1" applyBorder="1" applyProtection="1">
      <protection hidden="1"/>
    </xf>
    <xf numFmtId="37" fontId="12" fillId="24" borderId="13" xfId="37" applyFont="1" applyFill="1" applyBorder="1" applyAlignment="1" applyProtection="1">
      <alignment horizontal="left"/>
      <protection hidden="1"/>
    </xf>
    <xf numFmtId="37" fontId="12" fillId="24" borderId="14" xfId="37" applyFont="1" applyFill="1" applyBorder="1" applyAlignment="1" applyProtection="1">
      <alignment horizontal="right"/>
      <protection hidden="1"/>
    </xf>
    <xf numFmtId="186" fontId="12" fillId="24" borderId="14" xfId="40" applyNumberFormat="1" applyFont="1" applyFill="1" applyBorder="1" applyProtection="1">
      <protection hidden="1"/>
    </xf>
    <xf numFmtId="186" fontId="12" fillId="24" borderId="15" xfId="33" applyNumberFormat="1" applyFont="1" applyFill="1" applyBorder="1" applyProtection="1">
      <protection hidden="1"/>
    </xf>
    <xf numFmtId="37" fontId="12" fillId="24" borderId="0" xfId="37" applyFont="1" applyFill="1" applyProtection="1">
      <protection hidden="1"/>
    </xf>
    <xf numFmtId="172" fontId="8" fillId="24" borderId="0" xfId="40" applyNumberFormat="1" applyFont="1" applyFill="1" applyProtection="1">
      <protection hidden="1"/>
    </xf>
    <xf numFmtId="37" fontId="8" fillId="24" borderId="0" xfId="37" applyFont="1" applyFill="1" applyBorder="1" applyProtection="1">
      <protection hidden="1"/>
    </xf>
    <xf numFmtId="164" fontId="8" fillId="24" borderId="0" xfId="33" applyFont="1" applyFill="1" applyBorder="1" applyProtection="1">
      <protection hidden="1"/>
    </xf>
    <xf numFmtId="167" fontId="51" fillId="24" borderId="0" xfId="40" applyNumberFormat="1" applyFont="1" applyFill="1" applyBorder="1" applyProtection="1">
      <protection hidden="1"/>
    </xf>
    <xf numFmtId="37" fontId="48" fillId="24" borderId="0" xfId="37" applyFont="1" applyFill="1" applyProtection="1">
      <protection hidden="1"/>
    </xf>
    <xf numFmtId="10" fontId="8" fillId="24" borderId="0" xfId="40" applyNumberFormat="1" applyFont="1" applyFill="1" applyProtection="1">
      <protection hidden="1"/>
    </xf>
    <xf numFmtId="177" fontId="8" fillId="24" borderId="0" xfId="40" applyNumberFormat="1" applyFont="1" applyFill="1" applyProtection="1">
      <protection hidden="1"/>
    </xf>
    <xf numFmtId="176" fontId="8" fillId="24" borderId="0" xfId="37" applyNumberFormat="1" applyFont="1" applyFill="1" applyProtection="1">
      <protection hidden="1"/>
    </xf>
    <xf numFmtId="175" fontId="8" fillId="24" borderId="0" xfId="37" applyNumberFormat="1" applyFont="1" applyFill="1" applyProtection="1">
      <protection hidden="1"/>
    </xf>
    <xf numFmtId="174" fontId="8" fillId="24" borderId="0" xfId="37" applyNumberFormat="1" applyFont="1" applyFill="1" applyProtection="1">
      <protection hidden="1"/>
    </xf>
    <xf numFmtId="37" fontId="12" fillId="24" borderId="10" xfId="37" applyFont="1" applyFill="1" applyBorder="1" applyAlignment="1" applyProtection="1">
      <alignment horizontal="center" vertical="center" wrapText="1"/>
      <protection hidden="1"/>
    </xf>
    <xf numFmtId="174" fontId="42" fillId="24" borderId="10" xfId="0" applyNumberFormat="1" applyFont="1" applyFill="1" applyBorder="1" applyAlignment="1" applyProtection="1">
      <alignment horizontal="center" vertical="center" wrapText="1"/>
      <protection hidden="1"/>
    </xf>
    <xf numFmtId="0" fontId="12" fillId="24" borderId="29" xfId="0" applyFont="1" applyFill="1" applyBorder="1" applyAlignment="1" applyProtection="1">
      <alignment horizontal="center" vertical="center" wrapText="1"/>
      <protection hidden="1"/>
    </xf>
    <xf numFmtId="37" fontId="12" fillId="24" borderId="27" xfId="37" applyFont="1" applyFill="1" applyBorder="1" applyAlignment="1" applyProtection="1">
      <alignment horizontal="center" vertical="center" wrapText="1"/>
      <protection hidden="1"/>
    </xf>
    <xf numFmtId="174" fontId="42" fillId="24" borderId="27" xfId="0" applyNumberFormat="1" applyFont="1" applyFill="1" applyBorder="1" applyAlignment="1" applyProtection="1">
      <alignment horizontal="center" vertical="center" wrapText="1"/>
      <protection hidden="1"/>
    </xf>
    <xf numFmtId="0" fontId="12" fillId="24" borderId="0" xfId="0" applyFont="1" applyFill="1" applyBorder="1" applyAlignment="1" applyProtection="1">
      <alignment horizontal="center" vertical="center" wrapText="1"/>
      <protection hidden="1"/>
    </xf>
    <xf numFmtId="37" fontId="35" fillId="24" borderId="0" xfId="37" applyFont="1" applyFill="1" applyBorder="1" applyAlignment="1" applyProtection="1">
      <alignment horizontal="center" vertical="center" wrapText="1"/>
      <protection hidden="1"/>
    </xf>
    <xf numFmtId="37" fontId="35" fillId="24" borderId="0" xfId="37" applyFont="1" applyFill="1" applyProtection="1">
      <protection hidden="1"/>
    </xf>
    <xf numFmtId="174" fontId="35" fillId="24" borderId="0" xfId="39" applyNumberFormat="1" applyFont="1" applyFill="1" applyBorder="1" applyAlignment="1" applyProtection="1">
      <alignment horizontal="center" vertical="center" wrapText="1"/>
      <protection hidden="1"/>
    </xf>
    <xf numFmtId="37" fontId="35" fillId="24" borderId="0" xfId="37" applyFont="1" applyFill="1" applyAlignment="1" applyProtection="1">
      <alignment horizontal="center" vertical="center"/>
      <protection hidden="1"/>
    </xf>
    <xf numFmtId="37" fontId="40" fillId="24" borderId="0" xfId="37" applyFont="1" applyFill="1" applyBorder="1" applyAlignment="1" applyProtection="1">
      <alignment horizontal="center" vertical="center" wrapText="1"/>
      <protection hidden="1"/>
    </xf>
    <xf numFmtId="37" fontId="40" fillId="24" borderId="0" xfId="37" applyFont="1" applyFill="1" applyProtection="1">
      <protection hidden="1"/>
    </xf>
    <xf numFmtId="174" fontId="41" fillId="24" borderId="0" xfId="0" applyNumberFormat="1" applyFont="1" applyFill="1" applyAlignment="1" applyProtection="1">
      <alignment horizontal="center" vertical="center" wrapText="1"/>
      <protection hidden="1"/>
    </xf>
    <xf numFmtId="37" fontId="35" fillId="24" borderId="0" xfId="37" applyFont="1" applyFill="1" applyAlignment="1" applyProtection="1">
      <alignment horizontal="center" vertical="center" wrapText="1"/>
      <protection hidden="1"/>
    </xf>
    <xf numFmtId="3" fontId="34" fillId="24" borderId="20" xfId="0" applyNumberFormat="1" applyFont="1" applyFill="1" applyBorder="1" applyProtection="1">
      <protection hidden="1"/>
    </xf>
    <xf numFmtId="37" fontId="8" fillId="24" borderId="11" xfId="37" applyFont="1" applyFill="1" applyBorder="1" applyProtection="1">
      <protection hidden="1"/>
    </xf>
    <xf numFmtId="37" fontId="8" fillId="24" borderId="20" xfId="37" applyFont="1" applyFill="1" applyBorder="1" applyProtection="1">
      <protection hidden="1"/>
    </xf>
    <xf numFmtId="3" fontId="34" fillId="24" borderId="22" xfId="0" applyNumberFormat="1" applyFont="1" applyFill="1" applyBorder="1" applyProtection="1">
      <protection hidden="1"/>
    </xf>
    <xf numFmtId="37" fontId="8" fillId="24" borderId="12" xfId="37" applyFont="1" applyFill="1" applyBorder="1" applyProtection="1">
      <protection hidden="1"/>
    </xf>
    <xf numFmtId="37" fontId="8" fillId="24" borderId="22" xfId="37" applyFont="1" applyFill="1" applyBorder="1" applyProtection="1">
      <protection hidden="1"/>
    </xf>
    <xf numFmtId="3" fontId="36" fillId="24" borderId="14" xfId="0" applyNumberFormat="1" applyFont="1" applyFill="1" applyBorder="1" applyProtection="1">
      <protection hidden="1"/>
    </xf>
    <xf numFmtId="37" fontId="12" fillId="24" borderId="13" xfId="37" applyFont="1" applyFill="1" applyBorder="1" applyProtection="1">
      <protection hidden="1"/>
    </xf>
    <xf numFmtId="37" fontId="12" fillId="24" borderId="14" xfId="37" applyFont="1" applyFill="1" applyBorder="1" applyProtection="1">
      <protection hidden="1"/>
    </xf>
    <xf numFmtId="0" fontId="12" fillId="24" borderId="10" xfId="0" applyFont="1" applyFill="1" applyBorder="1" applyAlignment="1" applyProtection="1">
      <alignment horizontal="center" vertical="center" wrapText="1"/>
      <protection hidden="1"/>
    </xf>
    <xf numFmtId="9" fontId="12" fillId="24" borderId="10" xfId="0" applyNumberFormat="1" applyFont="1" applyFill="1" applyBorder="1" applyAlignment="1" applyProtection="1">
      <alignment horizontal="center" vertical="center" wrapText="1"/>
      <protection hidden="1"/>
    </xf>
    <xf numFmtId="0" fontId="42" fillId="24" borderId="10" xfId="0" applyFont="1" applyFill="1" applyBorder="1" applyAlignment="1" applyProtection="1">
      <alignment horizontal="center" vertical="center" wrapText="1"/>
      <protection hidden="1"/>
    </xf>
    <xf numFmtId="9" fontId="12" fillId="24" borderId="10" xfId="40" applyFont="1" applyFill="1" applyBorder="1" applyAlignment="1" applyProtection="1">
      <alignment horizontal="center" vertical="center" wrapText="1"/>
      <protection hidden="1"/>
    </xf>
    <xf numFmtId="173" fontId="12" fillId="24" borderId="10" xfId="40" applyNumberFormat="1" applyFont="1" applyFill="1" applyBorder="1" applyAlignment="1" applyProtection="1">
      <alignment horizontal="center" vertical="center" wrapText="1"/>
      <protection hidden="1"/>
    </xf>
    <xf numFmtId="0" fontId="12" fillId="24" borderId="27" xfId="0" applyFont="1" applyFill="1" applyBorder="1" applyAlignment="1" applyProtection="1">
      <alignment horizontal="center" vertical="center" wrapText="1"/>
      <protection hidden="1"/>
    </xf>
    <xf numFmtId="9" fontId="12" fillId="24" borderId="27" xfId="0" applyNumberFormat="1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9" fontId="12" fillId="24" borderId="27" xfId="40" applyFont="1" applyFill="1" applyBorder="1" applyAlignment="1" applyProtection="1">
      <alignment horizontal="center" vertical="center" wrapText="1"/>
      <protection hidden="1"/>
    </xf>
    <xf numFmtId="173" fontId="12" fillId="24" borderId="27" xfId="40" applyNumberFormat="1" applyFont="1" applyFill="1" applyBorder="1" applyAlignment="1" applyProtection="1">
      <alignment horizontal="center" vertical="center" wrapText="1"/>
      <protection hidden="1"/>
    </xf>
    <xf numFmtId="9" fontId="35" fillId="24" borderId="0" xfId="0" applyNumberFormat="1" applyFont="1" applyFill="1" applyBorder="1" applyAlignment="1" applyProtection="1">
      <alignment horizontal="center" vertical="center" wrapText="1"/>
      <protection hidden="1"/>
    </xf>
    <xf numFmtId="0" fontId="35" fillId="24" borderId="0" xfId="0" applyFont="1" applyFill="1" applyBorder="1" applyAlignment="1" applyProtection="1">
      <alignment horizontal="center" vertical="center" wrapText="1"/>
      <protection hidden="1"/>
    </xf>
    <xf numFmtId="169" fontId="35" fillId="24" borderId="0" xfId="39" applyFont="1" applyFill="1" applyBorder="1" applyAlignment="1" applyProtection="1">
      <alignment horizontal="center" vertical="center" wrapText="1"/>
      <protection hidden="1"/>
    </xf>
    <xf numFmtId="173" fontId="35" fillId="24" borderId="0" xfId="0" applyNumberFormat="1" applyFont="1" applyFill="1" applyBorder="1" applyAlignment="1" applyProtection="1">
      <alignment horizontal="center" vertical="center" wrapText="1"/>
      <protection hidden="1"/>
    </xf>
    <xf numFmtId="174" fontId="37" fillId="24" borderId="0" xfId="39" applyNumberFormat="1" applyFont="1" applyFill="1" applyBorder="1" applyAlignment="1" applyProtection="1">
      <alignment horizontal="center" vertical="center" wrapText="1"/>
      <protection hidden="1"/>
    </xf>
    <xf numFmtId="0" fontId="41" fillId="24" borderId="0" xfId="0" applyFont="1" applyFill="1" applyAlignment="1" applyProtection="1">
      <alignment horizontal="center" vertical="center" wrapText="1"/>
      <protection hidden="1"/>
    </xf>
    <xf numFmtId="173" fontId="40" fillId="24" borderId="0" xfId="37" applyNumberFormat="1" applyFont="1" applyFill="1" applyProtection="1">
      <protection hidden="1"/>
    </xf>
    <xf numFmtId="173" fontId="40" fillId="24" borderId="0" xfId="37" applyNumberFormat="1" applyFont="1" applyFill="1" applyBorder="1" applyAlignment="1" applyProtection="1">
      <alignment horizontal="center" vertical="center" wrapText="1"/>
      <protection hidden="1"/>
    </xf>
    <xf numFmtId="165" fontId="8" fillId="24" borderId="20" xfId="33" applyNumberFormat="1" applyFont="1" applyFill="1" applyBorder="1" applyProtection="1">
      <protection hidden="1"/>
    </xf>
    <xf numFmtId="171" fontId="8" fillId="24" borderId="20" xfId="33" applyNumberFormat="1" applyFont="1" applyFill="1" applyBorder="1" applyProtection="1">
      <protection hidden="1"/>
    </xf>
    <xf numFmtId="165" fontId="8" fillId="24" borderId="25" xfId="33" applyNumberFormat="1" applyFont="1" applyFill="1" applyBorder="1" applyProtection="1">
      <protection hidden="1"/>
    </xf>
    <xf numFmtId="173" fontId="8" fillId="24" borderId="20" xfId="40" applyNumberFormat="1" applyFont="1" applyFill="1" applyBorder="1" applyProtection="1">
      <protection hidden="1"/>
    </xf>
    <xf numFmtId="173" fontId="8" fillId="24" borderId="25" xfId="40" applyNumberFormat="1" applyFont="1" applyFill="1" applyBorder="1" applyProtection="1">
      <protection hidden="1"/>
    </xf>
    <xf numFmtId="37" fontId="8" fillId="24" borderId="11" xfId="37" applyFont="1" applyFill="1" applyBorder="1" applyAlignment="1" applyProtection="1">
      <protection hidden="1"/>
    </xf>
    <xf numFmtId="37" fontId="8" fillId="24" borderId="20" xfId="37" applyFont="1" applyFill="1" applyBorder="1" applyAlignment="1" applyProtection="1">
      <protection hidden="1"/>
    </xf>
    <xf numFmtId="173" fontId="34" fillId="24" borderId="20" xfId="40" applyNumberFormat="1" applyFont="1" applyFill="1" applyBorder="1" applyProtection="1">
      <protection hidden="1"/>
    </xf>
    <xf numFmtId="165" fontId="8" fillId="24" borderId="22" xfId="33" applyNumberFormat="1" applyFont="1" applyFill="1" applyBorder="1" applyProtection="1">
      <protection hidden="1"/>
    </xf>
    <xf numFmtId="171" fontId="8" fillId="24" borderId="22" xfId="33" applyNumberFormat="1" applyFont="1" applyFill="1" applyBorder="1" applyProtection="1">
      <protection hidden="1"/>
    </xf>
    <xf numFmtId="165" fontId="8" fillId="24" borderId="26" xfId="33" applyNumberFormat="1" applyFont="1" applyFill="1" applyBorder="1" applyProtection="1">
      <protection hidden="1"/>
    </xf>
    <xf numFmtId="173" fontId="8" fillId="24" borderId="22" xfId="40" applyNumberFormat="1" applyFont="1" applyFill="1" applyBorder="1" applyProtection="1">
      <protection hidden="1"/>
    </xf>
    <xf numFmtId="173" fontId="8" fillId="24" borderId="26" xfId="40" applyNumberFormat="1" applyFont="1" applyFill="1" applyBorder="1" applyProtection="1">
      <protection hidden="1"/>
    </xf>
    <xf numFmtId="37" fontId="8" fillId="24" borderId="12" xfId="37" applyFont="1" applyFill="1" applyBorder="1" applyAlignment="1" applyProtection="1">
      <protection hidden="1"/>
    </xf>
    <xf numFmtId="37" fontId="8" fillId="24" borderId="22" xfId="37" applyFont="1" applyFill="1" applyBorder="1" applyAlignment="1" applyProtection="1">
      <protection hidden="1"/>
    </xf>
    <xf numFmtId="173" fontId="34" fillId="24" borderId="22" xfId="40" applyNumberFormat="1" applyFont="1" applyFill="1" applyBorder="1" applyProtection="1">
      <protection hidden="1"/>
    </xf>
    <xf numFmtId="165" fontId="36" fillId="24" borderId="14" xfId="33" applyNumberFormat="1" applyFont="1" applyFill="1" applyBorder="1" applyProtection="1">
      <protection hidden="1"/>
    </xf>
    <xf numFmtId="171" fontId="12" fillId="24" borderId="14" xfId="33" applyNumberFormat="1" applyFont="1" applyFill="1" applyBorder="1" applyProtection="1">
      <protection hidden="1"/>
    </xf>
    <xf numFmtId="165" fontId="12" fillId="24" borderId="24" xfId="40" applyNumberFormat="1" applyFont="1" applyFill="1" applyBorder="1" applyProtection="1">
      <protection hidden="1"/>
    </xf>
    <xf numFmtId="173" fontId="12" fillId="24" borderId="14" xfId="40" applyNumberFormat="1" applyFont="1" applyFill="1" applyBorder="1" applyProtection="1">
      <protection hidden="1"/>
    </xf>
    <xf numFmtId="165" fontId="12" fillId="24" borderId="14" xfId="33" applyNumberFormat="1" applyFont="1" applyFill="1" applyBorder="1" applyProtection="1">
      <protection hidden="1"/>
    </xf>
    <xf numFmtId="173" fontId="12" fillId="24" borderId="24" xfId="40" applyNumberFormat="1" applyFont="1" applyFill="1" applyBorder="1" applyProtection="1">
      <protection hidden="1"/>
    </xf>
    <xf numFmtId="173" fontId="36" fillId="24" borderId="14" xfId="40" applyNumberFormat="1" applyFont="1" applyFill="1" applyBorder="1" applyProtection="1">
      <protection hidden="1"/>
    </xf>
    <xf numFmtId="173" fontId="12" fillId="24" borderId="14" xfId="33" applyNumberFormat="1" applyFont="1" applyFill="1" applyBorder="1" applyProtection="1">
      <protection hidden="1"/>
    </xf>
    <xf numFmtId="173" fontId="8" fillId="24" borderId="0" xfId="37" applyNumberFormat="1" applyFont="1" applyFill="1" applyProtection="1">
      <protection hidden="1"/>
    </xf>
    <xf numFmtId="39" fontId="8" fillId="24" borderId="0" xfId="37" applyNumberFormat="1" applyFont="1" applyFill="1" applyProtection="1">
      <protection hidden="1"/>
    </xf>
    <xf numFmtId="166" fontId="8" fillId="24" borderId="0" xfId="40" applyNumberFormat="1" applyFont="1" applyFill="1" applyProtection="1">
      <protection hidden="1"/>
    </xf>
    <xf numFmtId="0" fontId="8" fillId="24" borderId="0" xfId="106" applyFill="1" applyBorder="1"/>
    <xf numFmtId="0" fontId="12" fillId="24" borderId="0" xfId="106" applyFont="1" applyFill="1" applyBorder="1"/>
    <xf numFmtId="0" fontId="12" fillId="24" borderId="0" xfId="106" applyFont="1" applyFill="1" applyBorder="1" applyAlignment="1">
      <alignment horizontal="center" vertical="center" wrapText="1"/>
    </xf>
    <xf numFmtId="0" fontId="35" fillId="24" borderId="0" xfId="106" applyFont="1" applyFill="1" applyBorder="1" applyAlignment="1">
      <alignment horizontal="center" vertical="center" wrapText="1"/>
    </xf>
    <xf numFmtId="180" fontId="53" fillId="24" borderId="0" xfId="51" applyNumberFormat="1" applyFont="1" applyFill="1" applyBorder="1" applyAlignment="1">
      <alignment horizontal="center" vertical="center"/>
    </xf>
    <xf numFmtId="0" fontId="12" fillId="0" borderId="0" xfId="106" applyFont="1" applyBorder="1"/>
    <xf numFmtId="0" fontId="53" fillId="24" borderId="0" xfId="106" applyFont="1" applyFill="1" applyBorder="1"/>
    <xf numFmtId="181" fontId="8" fillId="24" borderId="0" xfId="106" applyNumberFormat="1" applyFill="1" applyBorder="1"/>
    <xf numFmtId="182" fontId="8" fillId="24" borderId="0" xfId="106" applyNumberFormat="1" applyFill="1" applyBorder="1"/>
    <xf numFmtId="38" fontId="8" fillId="24" borderId="0" xfId="106" applyNumberFormat="1" applyFill="1" applyBorder="1"/>
    <xf numFmtId="180" fontId="12" fillId="24" borderId="0" xfId="51" applyNumberFormat="1" applyFont="1" applyFill="1" applyBorder="1"/>
    <xf numFmtId="183" fontId="12" fillId="24" borderId="0" xfId="51" applyNumberFormat="1" applyFont="1" applyFill="1" applyBorder="1"/>
    <xf numFmtId="180" fontId="12" fillId="24" borderId="0" xfId="106" applyNumberFormat="1" applyFont="1" applyFill="1" applyBorder="1"/>
    <xf numFmtId="183" fontId="12" fillId="24" borderId="0" xfId="106" applyNumberFormat="1" applyFont="1" applyFill="1" applyBorder="1"/>
    <xf numFmtId="181" fontId="12" fillId="24" borderId="0" xfId="106" applyNumberFormat="1" applyFont="1" applyFill="1" applyBorder="1"/>
    <xf numFmtId="182" fontId="12" fillId="24" borderId="0" xfId="106" applyNumberFormat="1" applyFont="1" applyFill="1" applyBorder="1"/>
    <xf numFmtId="38" fontId="12" fillId="24" borderId="0" xfId="106" applyNumberFormat="1" applyFont="1" applyFill="1" applyBorder="1"/>
    <xf numFmtId="38" fontId="12" fillId="24" borderId="0" xfId="51" applyNumberFormat="1" applyFont="1" applyFill="1" applyBorder="1"/>
    <xf numFmtId="185" fontId="0" fillId="24" borderId="0" xfId="51" applyNumberFormat="1" applyFont="1" applyFill="1" applyBorder="1"/>
    <xf numFmtId="43" fontId="8" fillId="0" borderId="0" xfId="53" applyNumberFormat="1"/>
    <xf numFmtId="0" fontId="56" fillId="29" borderId="73" xfId="0" applyFont="1" applyFill="1" applyBorder="1" applyAlignment="1" applyProtection="1">
      <alignment horizontal="center" vertical="center" wrapText="1"/>
    </xf>
    <xf numFmtId="0" fontId="56" fillId="24" borderId="74" xfId="0" applyFont="1" applyFill="1" applyBorder="1" applyAlignment="1" applyProtection="1">
      <alignment horizontal="center" vertical="center" wrapText="1"/>
    </xf>
    <xf numFmtId="0" fontId="56" fillId="24" borderId="0" xfId="0" applyFont="1" applyFill="1" applyBorder="1" applyAlignment="1" applyProtection="1">
      <alignment horizontal="center" vertical="center" wrapText="1"/>
    </xf>
    <xf numFmtId="0" fontId="56" fillId="24" borderId="75" xfId="0" applyFont="1" applyFill="1" applyBorder="1" applyAlignment="1" applyProtection="1">
      <alignment horizontal="center" vertical="center" wrapText="1"/>
    </xf>
    <xf numFmtId="0" fontId="58" fillId="30" borderId="74" xfId="0" applyFont="1" applyFill="1" applyBorder="1" applyAlignment="1" applyProtection="1">
      <alignment horizontal="left" vertical="center" wrapText="1"/>
    </xf>
    <xf numFmtId="0" fontId="58" fillId="30" borderId="0" xfId="0" applyFont="1" applyFill="1" applyBorder="1" applyAlignment="1" applyProtection="1">
      <alignment horizontal="left" vertical="center" wrapText="1"/>
    </xf>
    <xf numFmtId="188" fontId="58" fillId="30" borderId="0" xfId="0" applyNumberFormat="1" applyFont="1" applyFill="1" applyBorder="1" applyAlignment="1" applyProtection="1">
      <alignment horizontal="right" vertical="center" wrapText="1"/>
    </xf>
    <xf numFmtId="0" fontId="59" fillId="31" borderId="74" xfId="0" applyFont="1" applyFill="1" applyBorder="1" applyAlignment="1" applyProtection="1">
      <alignment horizontal="left" vertical="center" wrapText="1"/>
    </xf>
    <xf numFmtId="0" fontId="59" fillId="31" borderId="0" xfId="0" applyFont="1" applyFill="1" applyBorder="1" applyAlignment="1" applyProtection="1">
      <alignment horizontal="left" vertical="center" wrapText="1"/>
    </xf>
    <xf numFmtId="188" fontId="59" fillId="31" borderId="0" xfId="0" applyNumberFormat="1" applyFont="1" applyFill="1" applyBorder="1" applyAlignment="1" applyProtection="1">
      <alignment horizontal="right" vertical="center" wrapText="1"/>
    </xf>
    <xf numFmtId="188" fontId="59" fillId="31" borderId="75" xfId="0" applyNumberFormat="1" applyFont="1" applyFill="1" applyBorder="1" applyAlignment="1" applyProtection="1">
      <alignment horizontal="right" vertical="center" wrapText="1"/>
    </xf>
    <xf numFmtId="0" fontId="59" fillId="30" borderId="74" xfId="0" applyFont="1" applyFill="1" applyBorder="1" applyAlignment="1" applyProtection="1">
      <alignment horizontal="left" vertical="center" wrapText="1"/>
    </xf>
    <xf numFmtId="0" fontId="59" fillId="30" borderId="0" xfId="0" applyFont="1" applyFill="1" applyBorder="1" applyAlignment="1" applyProtection="1">
      <alignment horizontal="left" vertical="center" wrapText="1"/>
    </xf>
    <xf numFmtId="188" fontId="59" fillId="30" borderId="0" xfId="0" applyNumberFormat="1" applyFont="1" applyFill="1" applyBorder="1" applyAlignment="1" applyProtection="1">
      <alignment horizontal="right" vertical="center" wrapText="1"/>
    </xf>
    <xf numFmtId="188" fontId="59" fillId="30" borderId="75" xfId="0" applyNumberFormat="1" applyFont="1" applyFill="1" applyBorder="1" applyAlignment="1" applyProtection="1">
      <alignment horizontal="right" vertical="center" wrapText="1"/>
    </xf>
    <xf numFmtId="0" fontId="59" fillId="31" borderId="76" xfId="0" applyFont="1" applyFill="1" applyBorder="1" applyAlignment="1" applyProtection="1">
      <alignment horizontal="left" vertical="center" wrapText="1"/>
    </xf>
    <xf numFmtId="0" fontId="59" fillId="31" borderId="77" xfId="0" applyFont="1" applyFill="1" applyBorder="1" applyAlignment="1" applyProtection="1">
      <alignment horizontal="left" vertical="center" wrapText="1"/>
    </xf>
    <xf numFmtId="188" fontId="59" fillId="31" borderId="77" xfId="0" applyNumberFormat="1" applyFont="1" applyFill="1" applyBorder="1" applyAlignment="1" applyProtection="1">
      <alignment horizontal="right" vertical="center" wrapText="1"/>
    </xf>
    <xf numFmtId="188" fontId="59" fillId="31" borderId="78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3" fontId="8" fillId="0" borderId="43" xfId="53" applyNumberFormat="1" applyFont="1" applyBorder="1" applyAlignment="1">
      <alignment horizontal="center" vertical="center" wrapText="1"/>
    </xf>
    <xf numFmtId="0" fontId="12" fillId="24" borderId="0" xfId="0" applyFont="1" applyFill="1"/>
    <xf numFmtId="180" fontId="0" fillId="24" borderId="0" xfId="102" applyNumberFormat="1" applyFont="1" applyFill="1"/>
    <xf numFmtId="180" fontId="0" fillId="0" borderId="0" xfId="102" applyNumberFormat="1" applyFont="1"/>
    <xf numFmtId="180" fontId="61" fillId="24" borderId="0" xfId="102" applyNumberFormat="1" applyFont="1" applyFill="1"/>
    <xf numFmtId="180" fontId="60" fillId="24" borderId="52" xfId="102" applyNumberFormat="1" applyFont="1" applyFill="1" applyBorder="1" applyAlignment="1">
      <alignment horizontal="center" vertical="center" wrapText="1"/>
    </xf>
    <xf numFmtId="180" fontId="60" fillId="24" borderId="51" xfId="102" applyNumberFormat="1" applyFont="1" applyFill="1" applyBorder="1" applyAlignment="1">
      <alignment horizontal="center" vertical="center" wrapText="1"/>
    </xf>
    <xf numFmtId="180" fontId="60" fillId="24" borderId="79" xfId="102" applyNumberFormat="1" applyFont="1" applyFill="1" applyBorder="1"/>
    <xf numFmtId="38" fontId="60" fillId="24" borderId="80" xfId="102" applyNumberFormat="1" applyFont="1" applyFill="1" applyBorder="1"/>
    <xf numFmtId="38" fontId="60" fillId="24" borderId="62" xfId="102" applyNumberFormat="1" applyFont="1" applyFill="1" applyBorder="1"/>
    <xf numFmtId="180" fontId="60" fillId="24" borderId="81" xfId="102" applyNumberFormat="1" applyFont="1" applyFill="1" applyBorder="1"/>
    <xf numFmtId="180" fontId="60" fillId="24" borderId="82" xfId="102" applyNumberFormat="1" applyFont="1" applyFill="1" applyBorder="1"/>
    <xf numFmtId="180" fontId="60" fillId="24" borderId="52" xfId="102" applyNumberFormat="1" applyFont="1" applyFill="1" applyBorder="1"/>
    <xf numFmtId="38" fontId="63" fillId="24" borderId="51" xfId="102" applyNumberFormat="1" applyFont="1" applyFill="1" applyBorder="1"/>
    <xf numFmtId="38" fontId="60" fillId="24" borderId="50" xfId="102" applyNumberFormat="1" applyFont="1" applyFill="1" applyBorder="1"/>
    <xf numFmtId="180" fontId="60" fillId="24" borderId="0" xfId="102" applyNumberFormat="1" applyFont="1" applyFill="1" applyBorder="1"/>
    <xf numFmtId="14" fontId="64" fillId="24" borderId="0" xfId="102" applyNumberFormat="1" applyFont="1" applyFill="1" applyAlignment="1">
      <alignment horizontal="left"/>
    </xf>
    <xf numFmtId="180" fontId="64" fillId="24" borderId="0" xfId="102" applyNumberFormat="1" applyFont="1" applyFill="1"/>
    <xf numFmtId="180" fontId="62" fillId="24" borderId="0" xfId="102" applyNumberFormat="1" applyFont="1" applyFill="1"/>
    <xf numFmtId="37" fontId="8" fillId="24" borderId="0" xfId="37" applyFont="1" applyFill="1" applyAlignment="1" applyProtection="1">
      <alignment wrapText="1"/>
      <protection hidden="1"/>
    </xf>
    <xf numFmtId="174" fontId="43" fillId="24" borderId="0" xfId="37" applyNumberFormat="1" applyFont="1" applyFill="1" applyAlignment="1" applyProtection="1">
      <alignment horizontal="center" vertical="center"/>
      <protection hidden="1"/>
    </xf>
    <xf numFmtId="39" fontId="12" fillId="24" borderId="10" xfId="37" applyNumberFormat="1" applyFont="1" applyFill="1" applyBorder="1" applyAlignment="1" applyProtection="1">
      <alignment horizontal="center" vertical="center" wrapText="1"/>
      <protection hidden="1"/>
    </xf>
    <xf numFmtId="39" fontId="12" fillId="24" borderId="0" xfId="37" applyNumberFormat="1" applyFont="1" applyFill="1" applyBorder="1" applyAlignment="1" applyProtection="1">
      <alignment horizontal="center" vertical="center" wrapText="1"/>
      <protection hidden="1"/>
    </xf>
    <xf numFmtId="37" fontId="37" fillId="24" borderId="0" xfId="37" applyFont="1" applyFill="1" applyBorder="1" applyAlignment="1" applyProtection="1">
      <alignment horizontal="center" vertical="center" wrapText="1"/>
      <protection hidden="1"/>
    </xf>
    <xf numFmtId="39" fontId="35" fillId="24" borderId="0" xfId="37" applyNumberFormat="1" applyFont="1" applyFill="1" applyBorder="1" applyAlignment="1" applyProtection="1">
      <alignment horizontal="center" vertical="center" wrapText="1"/>
      <protection hidden="1"/>
    </xf>
    <xf numFmtId="174" fontId="35" fillId="24" borderId="0" xfId="112" applyNumberFormat="1" applyFont="1" applyFill="1" applyBorder="1" applyAlignment="1" applyProtection="1">
      <alignment horizontal="center" vertical="center" wrapText="1"/>
      <protection hidden="1"/>
    </xf>
    <xf numFmtId="174" fontId="35" fillId="24" borderId="0" xfId="37" applyNumberFormat="1" applyFont="1" applyFill="1" applyProtection="1">
      <protection hidden="1"/>
    </xf>
    <xf numFmtId="174" fontId="40" fillId="24" borderId="0" xfId="37" applyNumberFormat="1" applyFont="1" applyFill="1" applyProtection="1">
      <protection hidden="1"/>
    </xf>
    <xf numFmtId="39" fontId="40" fillId="24" borderId="0" xfId="37" applyNumberFormat="1" applyFont="1" applyFill="1" applyBorder="1" applyAlignment="1" applyProtection="1">
      <alignment horizontal="center" vertical="center" wrapText="1"/>
      <protection hidden="1"/>
    </xf>
    <xf numFmtId="174" fontId="40" fillId="24" borderId="0" xfId="37" applyNumberFormat="1" applyFont="1" applyFill="1" applyBorder="1" applyAlignment="1" applyProtection="1">
      <alignment horizontal="center" vertical="center" wrapText="1"/>
      <protection hidden="1"/>
    </xf>
    <xf numFmtId="174" fontId="35" fillId="24" borderId="0" xfId="37" applyNumberFormat="1" applyFont="1" applyFill="1" applyAlignment="1" applyProtection="1">
      <alignment horizontal="center" vertical="center" wrapText="1"/>
      <protection hidden="1"/>
    </xf>
    <xf numFmtId="37" fontId="8" fillId="24" borderId="11" xfId="37" applyNumberFormat="1" applyFont="1" applyFill="1" applyBorder="1" applyProtection="1">
      <protection hidden="1"/>
    </xf>
    <xf numFmtId="37" fontId="8" fillId="24" borderId="80" xfId="37" applyFont="1" applyFill="1" applyBorder="1" applyProtection="1">
      <protection hidden="1"/>
    </xf>
    <xf numFmtId="37" fontId="8" fillId="24" borderId="12" xfId="37" applyNumberFormat="1" applyFont="1" applyFill="1" applyBorder="1" applyProtection="1">
      <protection hidden="1"/>
    </xf>
    <xf numFmtId="37" fontId="12" fillId="24" borderId="13" xfId="37" applyNumberFormat="1" applyFont="1" applyFill="1" applyBorder="1" applyProtection="1">
      <protection hidden="1"/>
    </xf>
    <xf numFmtId="37" fontId="12" fillId="24" borderId="27" xfId="37" applyFont="1" applyFill="1" applyBorder="1" applyAlignment="1" applyProtection="1">
      <alignment horizontal="center" vertical="center" wrapText="1"/>
      <protection hidden="1"/>
    </xf>
    <xf numFmtId="37" fontId="12" fillId="24" borderId="0" xfId="37" applyFont="1" applyFill="1" applyBorder="1" applyAlignment="1" applyProtection="1">
      <alignment horizontal="center" vertical="center" wrapText="1"/>
      <protection hidden="1"/>
    </xf>
    <xf numFmtId="174" fontId="42" fillId="24" borderId="10" xfId="106" applyNumberFormat="1" applyFont="1" applyFill="1" applyBorder="1" applyAlignment="1" applyProtection="1">
      <alignment horizontal="center" vertical="center" wrapText="1"/>
      <protection hidden="1"/>
    </xf>
    <xf numFmtId="0" fontId="12" fillId="24" borderId="54" xfId="106" applyFont="1" applyFill="1" applyBorder="1" applyAlignment="1" applyProtection="1">
      <alignment horizontal="center" vertical="center" wrapText="1"/>
      <protection hidden="1"/>
    </xf>
    <xf numFmtId="174" fontId="12" fillId="24" borderId="54" xfId="106" applyNumberFormat="1" applyFont="1" applyFill="1" applyBorder="1" applyAlignment="1" applyProtection="1">
      <alignment horizontal="center" vertical="center" wrapText="1"/>
      <protection hidden="1"/>
    </xf>
    <xf numFmtId="174" fontId="42" fillId="24" borderId="27" xfId="106" applyNumberFormat="1" applyFont="1" applyFill="1" applyBorder="1" applyAlignment="1" applyProtection="1">
      <alignment horizontal="center" vertical="center" wrapText="1"/>
      <protection hidden="1"/>
    </xf>
    <xf numFmtId="0" fontId="12" fillId="24" borderId="0" xfId="106" applyFont="1" applyFill="1" applyBorder="1" applyAlignment="1" applyProtection="1">
      <alignment horizontal="center" vertical="center" wrapText="1"/>
      <protection hidden="1"/>
    </xf>
    <xf numFmtId="174" fontId="12" fillId="24" borderId="0" xfId="106" applyNumberFormat="1" applyFont="1" applyFill="1" applyBorder="1" applyAlignment="1" applyProtection="1">
      <alignment horizontal="center" vertical="center" wrapText="1"/>
      <protection hidden="1"/>
    </xf>
    <xf numFmtId="174" fontId="35" fillId="24" borderId="0" xfId="106" applyNumberFormat="1" applyFont="1" applyFill="1" applyBorder="1" applyAlignment="1" applyProtection="1">
      <alignment horizontal="center" vertical="center" wrapText="1"/>
      <protection hidden="1"/>
    </xf>
    <xf numFmtId="174" fontId="41" fillId="24" borderId="0" xfId="106" applyNumberFormat="1" applyFont="1" applyFill="1" applyAlignment="1" applyProtection="1">
      <alignment horizontal="center" vertical="center" wrapText="1"/>
      <protection hidden="1"/>
    </xf>
    <xf numFmtId="3" fontId="34" fillId="24" borderId="80" xfId="106" applyNumberFormat="1" applyFont="1" applyFill="1" applyBorder="1" applyProtection="1">
      <protection hidden="1"/>
    </xf>
    <xf numFmtId="3" fontId="34" fillId="24" borderId="22" xfId="106" applyNumberFormat="1" applyFont="1" applyFill="1" applyBorder="1" applyProtection="1">
      <protection hidden="1"/>
    </xf>
    <xf numFmtId="3" fontId="65" fillId="24" borderId="0" xfId="106" applyNumberFormat="1" applyFont="1" applyFill="1"/>
    <xf numFmtId="3" fontId="36" fillId="24" borderId="14" xfId="106" applyNumberFormat="1" applyFont="1" applyFill="1" applyBorder="1" applyProtection="1">
      <protection hidden="1"/>
    </xf>
    <xf numFmtId="0" fontId="63" fillId="27" borderId="54" xfId="109" applyFont="1" applyFill="1" applyBorder="1"/>
    <xf numFmtId="43" fontId="63" fillId="27" borderId="54" xfId="110" applyFont="1" applyFill="1" applyBorder="1" applyAlignment="1">
      <alignment horizontal="center" vertical="center"/>
    </xf>
    <xf numFmtId="0" fontId="63" fillId="27" borderId="54" xfId="109" applyFont="1" applyFill="1" applyBorder="1" applyAlignment="1">
      <alignment horizontal="center"/>
    </xf>
    <xf numFmtId="0" fontId="64" fillId="0" borderId="70" xfId="109" applyFont="1" applyBorder="1"/>
    <xf numFmtId="43" fontId="64" fillId="0" borderId="66" xfId="110" applyFont="1" applyBorder="1" applyAlignment="1">
      <alignment horizontal="center"/>
    </xf>
    <xf numFmtId="184" fontId="64" fillId="0" borderId="56" xfId="109" applyNumberFormat="1" applyFont="1" applyBorder="1" applyAlignment="1">
      <alignment horizontal="center"/>
    </xf>
    <xf numFmtId="3" fontId="64" fillId="0" borderId="61" xfId="109" applyNumberFormat="1" applyFont="1" applyBorder="1" applyAlignment="1"/>
    <xf numFmtId="0" fontId="64" fillId="0" borderId="71" xfId="109" applyFont="1" applyBorder="1"/>
    <xf numFmtId="43" fontId="64" fillId="0" borderId="67" xfId="110" applyFont="1" applyBorder="1"/>
    <xf numFmtId="184" fontId="64" fillId="0" borderId="55" xfId="109" applyNumberFormat="1" applyFont="1" applyBorder="1" applyAlignment="1">
      <alignment horizontal="center"/>
    </xf>
    <xf numFmtId="3" fontId="64" fillId="0" borderId="62" xfId="109" applyNumberFormat="1" applyFont="1" applyBorder="1"/>
    <xf numFmtId="0" fontId="64" fillId="0" borderId="71" xfId="109" applyFont="1" applyFill="1" applyBorder="1"/>
    <xf numFmtId="43" fontId="64" fillId="0" borderId="67" xfId="110" applyFont="1" applyFill="1" applyBorder="1" applyAlignment="1" applyProtection="1"/>
    <xf numFmtId="43" fontId="67" fillId="0" borderId="67" xfId="110" applyFont="1" applyBorder="1" applyAlignment="1">
      <alignment vertical="center"/>
    </xf>
    <xf numFmtId="0" fontId="64" fillId="24" borderId="71" xfId="109" applyFont="1" applyFill="1" applyBorder="1"/>
    <xf numFmtId="43" fontId="64" fillId="24" borderId="67" xfId="110" applyFont="1" applyFill="1" applyBorder="1"/>
    <xf numFmtId="43" fontId="59" fillId="0" borderId="67" xfId="110" applyFont="1" applyBorder="1"/>
    <xf numFmtId="0" fontId="61" fillId="0" borderId="71" xfId="109" applyFont="1" applyFill="1" applyBorder="1"/>
    <xf numFmtId="0" fontId="64" fillId="0" borderId="72" xfId="109" applyFont="1" applyBorder="1"/>
    <xf numFmtId="43" fontId="64" fillId="0" borderId="68" xfId="110" applyFont="1" applyBorder="1"/>
    <xf numFmtId="3" fontId="64" fillId="0" borderId="63" xfId="109" applyNumberFormat="1" applyFont="1" applyBorder="1"/>
    <xf numFmtId="0" fontId="63" fillId="28" borderId="65" xfId="109" applyFont="1" applyFill="1" applyBorder="1"/>
    <xf numFmtId="43" fontId="63" fillId="28" borderId="69" xfId="110" applyFont="1" applyFill="1" applyBorder="1"/>
    <xf numFmtId="184" fontId="63" fillId="28" borderId="60" xfId="109" applyNumberFormat="1" applyFont="1" applyFill="1" applyBorder="1"/>
    <xf numFmtId="3" fontId="63" fillId="28" borderId="64" xfId="109" applyNumberFormat="1" applyFont="1" applyFill="1" applyBorder="1"/>
    <xf numFmtId="0" fontId="64" fillId="0" borderId="0" xfId="109" applyFont="1"/>
    <xf numFmtId="43" fontId="64" fillId="0" borderId="0" xfId="110" applyFont="1"/>
    <xf numFmtId="0" fontId="63" fillId="28" borderId="30" xfId="109" applyFont="1" applyFill="1" applyBorder="1"/>
    <xf numFmtId="43" fontId="63" fillId="0" borderId="33" xfId="110" applyFont="1" applyBorder="1"/>
    <xf numFmtId="0" fontId="63" fillId="28" borderId="59" xfId="109" applyFont="1" applyFill="1" applyBorder="1"/>
    <xf numFmtId="43" fontId="63" fillId="0" borderId="59" xfId="110" applyFont="1" applyBorder="1"/>
    <xf numFmtId="44" fontId="64" fillId="24" borderId="0" xfId="114" applyFont="1" applyFill="1" applyAlignment="1">
      <alignment horizontal="left"/>
    </xf>
    <xf numFmtId="38" fontId="60" fillId="24" borderId="22" xfId="102" applyNumberFormat="1" applyFont="1" applyFill="1" applyBorder="1"/>
    <xf numFmtId="180" fontId="8" fillId="0" borderId="0" xfId="51" applyNumberFormat="1" applyFont="1" applyBorder="1" applyAlignment="1">
      <alignment horizontal="center"/>
    </xf>
    <xf numFmtId="180" fontId="8" fillId="0" borderId="0" xfId="51" applyNumberFormat="1" applyFont="1" applyBorder="1" applyAlignment="1"/>
    <xf numFmtId="180" fontId="12" fillId="0" borderId="10" xfId="51" applyNumberFormat="1" applyFont="1" applyFill="1" applyBorder="1" applyAlignment="1">
      <alignment horizontal="center" vertical="center" wrapText="1"/>
    </xf>
    <xf numFmtId="43" fontId="12" fillId="0" borderId="10" xfId="51" applyNumberFormat="1" applyFont="1" applyFill="1" applyBorder="1" applyAlignment="1">
      <alignment horizontal="center" vertical="center" wrapText="1"/>
    </xf>
    <xf numFmtId="43" fontId="12" fillId="0" borderId="10" xfId="51" applyNumberFormat="1" applyFont="1" applyFill="1" applyBorder="1" applyAlignment="1">
      <alignment horizontal="center" vertical="center"/>
    </xf>
    <xf numFmtId="180" fontId="12" fillId="0" borderId="83" xfId="51" applyNumberFormat="1" applyFont="1" applyFill="1" applyBorder="1"/>
    <xf numFmtId="180" fontId="12" fillId="0" borderId="84" xfId="51" applyNumberFormat="1" applyFont="1" applyFill="1" applyBorder="1"/>
    <xf numFmtId="38" fontId="12" fillId="0" borderId="84" xfId="51" applyNumberFormat="1" applyFont="1" applyFill="1" applyBorder="1"/>
    <xf numFmtId="180" fontId="12" fillId="0" borderId="85" xfId="51" applyNumberFormat="1" applyFont="1" applyFill="1" applyBorder="1"/>
    <xf numFmtId="180" fontId="12" fillId="0" borderId="30" xfId="51" applyNumberFormat="1" applyFont="1" applyFill="1" applyBorder="1"/>
    <xf numFmtId="180" fontId="12" fillId="0" borderId="86" xfId="51" applyNumberFormat="1" applyFont="1" applyFill="1" applyBorder="1"/>
    <xf numFmtId="180" fontId="12" fillId="0" borderId="31" xfId="51" applyNumberFormat="1" applyFont="1" applyFill="1" applyBorder="1"/>
    <xf numFmtId="0" fontId="12" fillId="0" borderId="10" xfId="53" applyFont="1" applyBorder="1" applyAlignment="1">
      <alignment horizontal="center" vertical="center" wrapText="1"/>
    </xf>
    <xf numFmtId="0" fontId="8" fillId="0" borderId="10" xfId="53" applyFont="1" applyBorder="1" applyAlignment="1">
      <alignment vertical="center" wrapText="1"/>
    </xf>
    <xf numFmtId="165" fontId="8" fillId="0" borderId="10" xfId="33" applyNumberFormat="1" applyFont="1" applyFill="1" applyBorder="1" applyAlignment="1">
      <alignment vertical="center" wrapText="1"/>
    </xf>
    <xf numFmtId="38" fontId="8" fillId="0" borderId="10" xfId="33" applyNumberFormat="1" applyFont="1" applyFill="1" applyBorder="1" applyAlignment="1">
      <alignment vertical="center" wrapText="1"/>
    </xf>
    <xf numFmtId="0" fontId="8" fillId="0" borderId="10" xfId="53" applyFont="1" applyBorder="1" applyAlignment="1">
      <alignment horizontal="center" vertical="center" wrapText="1"/>
    </xf>
    <xf numFmtId="38" fontId="8" fillId="0" borderId="10" xfId="53" applyNumberFormat="1" applyFont="1" applyBorder="1" applyAlignment="1">
      <alignment horizontal="center" vertical="center" wrapText="1"/>
    </xf>
    <xf numFmtId="0" fontId="12" fillId="0" borderId="10" xfId="53" applyFont="1" applyBorder="1" applyAlignment="1">
      <alignment horizontal="center" vertical="center"/>
    </xf>
    <xf numFmtId="165" fontId="12" fillId="0" borderId="10" xfId="33" applyNumberFormat="1" applyFont="1" applyBorder="1" applyAlignment="1">
      <alignment horizontal="center" vertical="center"/>
    </xf>
    <xf numFmtId="3" fontId="12" fillId="0" borderId="10" xfId="53" applyNumberFormat="1" applyFont="1" applyBorder="1" applyAlignment="1">
      <alignment horizontal="center" vertical="center"/>
    </xf>
    <xf numFmtId="38" fontId="0" fillId="24" borderId="47" xfId="51" applyNumberFormat="1" applyFont="1" applyFill="1" applyBorder="1"/>
    <xf numFmtId="189" fontId="8" fillId="24" borderId="47" xfId="106" applyNumberFormat="1" applyFill="1" applyBorder="1"/>
    <xf numFmtId="189" fontId="8" fillId="24" borderId="0" xfId="106" applyNumberFormat="1" applyFill="1" applyBorder="1"/>
    <xf numFmtId="41" fontId="0" fillId="24" borderId="41" xfId="51" applyNumberFormat="1" applyFont="1" applyFill="1" applyBorder="1"/>
    <xf numFmtId="173" fontId="8" fillId="24" borderId="21" xfId="40" applyNumberFormat="1" applyFont="1" applyFill="1" applyBorder="1" applyProtection="1">
      <protection hidden="1"/>
    </xf>
    <xf numFmtId="173" fontId="8" fillId="24" borderId="19" xfId="40" applyNumberFormat="1" applyFont="1" applyFill="1" applyBorder="1" applyProtection="1">
      <protection hidden="1"/>
    </xf>
    <xf numFmtId="173" fontId="12" fillId="24" borderId="15" xfId="40" applyNumberFormat="1" applyFont="1" applyFill="1" applyBorder="1" applyProtection="1">
      <protection hidden="1"/>
    </xf>
    <xf numFmtId="173" fontId="8" fillId="24" borderId="16" xfId="33" applyNumberFormat="1" applyFont="1" applyFill="1" applyBorder="1" applyProtection="1">
      <protection hidden="1"/>
    </xf>
    <xf numFmtId="173" fontId="8" fillId="24" borderId="17" xfId="33" applyNumberFormat="1" applyFont="1" applyFill="1" applyBorder="1" applyProtection="1">
      <protection hidden="1"/>
    </xf>
    <xf numFmtId="173" fontId="12" fillId="24" borderId="18" xfId="40" applyNumberFormat="1" applyFont="1" applyFill="1" applyBorder="1" applyProtection="1">
      <protection hidden="1"/>
    </xf>
    <xf numFmtId="173" fontId="12" fillId="24" borderId="15" xfId="37" applyNumberFormat="1" applyFont="1" applyFill="1" applyBorder="1" applyProtection="1">
      <protection hidden="1"/>
    </xf>
    <xf numFmtId="180" fontId="60" fillId="24" borderId="50" xfId="102" applyNumberFormat="1" applyFont="1" applyFill="1" applyBorder="1" applyAlignment="1">
      <alignment horizontal="center" vertical="center" wrapText="1"/>
    </xf>
    <xf numFmtId="38" fontId="60" fillId="24" borderId="14" xfId="102" applyNumberFormat="1" applyFont="1" applyFill="1" applyBorder="1"/>
    <xf numFmtId="0" fontId="12" fillId="24" borderId="0" xfId="106" applyFont="1" applyFill="1" applyBorder="1" applyAlignment="1">
      <alignment horizontal="center" vertical="center"/>
    </xf>
    <xf numFmtId="9" fontId="53" fillId="24" borderId="0" xfId="115" applyFont="1" applyFill="1" applyAlignment="1">
      <alignment horizontal="center" vertical="center"/>
    </xf>
    <xf numFmtId="183" fontId="0" fillId="24" borderId="47" xfId="115" applyNumberFormat="1" applyFont="1" applyFill="1" applyBorder="1"/>
    <xf numFmtId="183" fontId="0" fillId="24" borderId="0" xfId="115" applyNumberFormat="1" applyFont="1" applyFill="1" applyBorder="1"/>
    <xf numFmtId="0" fontId="12" fillId="24" borderId="87" xfId="106" applyFont="1" applyFill="1" applyBorder="1"/>
    <xf numFmtId="180" fontId="12" fillId="24" borderId="88" xfId="51" applyNumberFormat="1" applyFont="1" applyFill="1" applyBorder="1"/>
    <xf numFmtId="180" fontId="12" fillId="24" borderId="89" xfId="51" applyNumberFormat="1" applyFont="1" applyFill="1" applyBorder="1"/>
    <xf numFmtId="183" fontId="12" fillId="24" borderId="89" xfId="115" applyNumberFormat="1" applyFont="1" applyFill="1" applyBorder="1"/>
    <xf numFmtId="183" fontId="12" fillId="24" borderId="90" xfId="51" applyNumberFormat="1" applyFont="1" applyFill="1" applyBorder="1"/>
    <xf numFmtId="180" fontId="12" fillId="24" borderId="89" xfId="106" applyNumberFormat="1" applyFont="1" applyFill="1" applyBorder="1"/>
    <xf numFmtId="183" fontId="12" fillId="24" borderId="89" xfId="106" applyNumberFormat="1" applyFont="1" applyFill="1" applyBorder="1"/>
    <xf numFmtId="183" fontId="12" fillId="24" borderId="89" xfId="51" applyNumberFormat="1" applyFont="1" applyFill="1" applyBorder="1"/>
    <xf numFmtId="181" fontId="12" fillId="24" borderId="91" xfId="106" applyNumberFormat="1" applyFont="1" applyFill="1" applyBorder="1"/>
    <xf numFmtId="182" fontId="12" fillId="24" borderId="92" xfId="106" applyNumberFormat="1" applyFont="1" applyFill="1" applyBorder="1"/>
    <xf numFmtId="180" fontId="12" fillId="24" borderId="88" xfId="106" applyNumberFormat="1" applyFont="1" applyFill="1" applyBorder="1"/>
    <xf numFmtId="180" fontId="12" fillId="24" borderId="90" xfId="106" applyNumberFormat="1" applyFont="1" applyFill="1" applyBorder="1"/>
    <xf numFmtId="180" fontId="12" fillId="24" borderId="92" xfId="51" applyNumberFormat="1" applyFont="1" applyFill="1" applyBorder="1"/>
    <xf numFmtId="9" fontId="53" fillId="24" borderId="0" xfId="115" applyFont="1" applyFill="1" applyBorder="1" applyAlignment="1">
      <alignment horizontal="center" vertical="center"/>
    </xf>
    <xf numFmtId="183" fontId="12" fillId="24" borderId="0" xfId="115" applyNumberFormat="1" applyFont="1" applyFill="1" applyBorder="1"/>
    <xf numFmtId="173" fontId="12" fillId="24" borderId="21" xfId="37" applyNumberFormat="1" applyFont="1" applyFill="1" applyBorder="1" applyProtection="1">
      <protection hidden="1"/>
    </xf>
    <xf numFmtId="173" fontId="12" fillId="24" borderId="19" xfId="37" applyNumberFormat="1" applyFont="1" applyFill="1" applyBorder="1" applyProtection="1">
      <protection hidden="1"/>
    </xf>
    <xf numFmtId="0" fontId="8" fillId="0" borderId="93" xfId="53" applyFont="1" applyBorder="1" applyAlignment="1">
      <alignment vertical="center" wrapText="1"/>
    </xf>
    <xf numFmtId="38" fontId="8" fillId="0" borderId="54" xfId="33" applyNumberFormat="1" applyFont="1" applyFill="1" applyBorder="1" applyAlignment="1">
      <alignment vertical="center" wrapText="1"/>
    </xf>
    <xf numFmtId="38" fontId="8" fillId="0" borderId="54" xfId="53" applyNumberFormat="1" applyFont="1" applyBorder="1" applyAlignment="1">
      <alignment horizontal="center" vertical="center" wrapText="1"/>
    </xf>
    <xf numFmtId="38" fontId="8" fillId="0" borderId="93" xfId="33" applyNumberFormat="1" applyFont="1" applyFill="1" applyBorder="1" applyAlignment="1">
      <alignment vertical="center" wrapText="1"/>
    </xf>
    <xf numFmtId="38" fontId="8" fillId="0" borderId="93" xfId="53" applyNumberFormat="1" applyFont="1" applyBorder="1" applyAlignment="1">
      <alignment horizontal="center" vertical="center" wrapText="1"/>
    </xf>
    <xf numFmtId="38" fontId="12" fillId="0" borderId="54" xfId="53" applyNumberFormat="1" applyFont="1" applyBorder="1" applyAlignment="1">
      <alignment horizontal="center" vertical="center"/>
    </xf>
    <xf numFmtId="173" fontId="12" fillId="24" borderId="21" xfId="40" applyNumberFormat="1" applyFont="1" applyFill="1" applyBorder="1" applyProtection="1">
      <protection hidden="1"/>
    </xf>
    <xf numFmtId="173" fontId="12" fillId="24" borderId="19" xfId="40" applyNumberFormat="1" applyFont="1" applyFill="1" applyBorder="1" applyProtection="1">
      <protection hidden="1"/>
    </xf>
    <xf numFmtId="186" fontId="12" fillId="24" borderId="21" xfId="33" applyNumberFormat="1" applyFont="1" applyFill="1" applyBorder="1" applyProtection="1">
      <protection hidden="1"/>
    </xf>
    <xf numFmtId="186" fontId="12" fillId="24" borderId="19" xfId="33" applyNumberFormat="1" applyFont="1" applyFill="1" applyBorder="1" applyProtection="1">
      <protection hidden="1"/>
    </xf>
    <xf numFmtId="38" fontId="34" fillId="24" borderId="20" xfId="40" applyNumberFormat="1" applyFont="1" applyFill="1" applyBorder="1" applyProtection="1">
      <protection hidden="1"/>
    </xf>
    <xf numFmtId="38" fontId="34" fillId="24" borderId="22" xfId="40" applyNumberFormat="1" applyFont="1" applyFill="1" applyBorder="1" applyProtection="1">
      <protection hidden="1"/>
    </xf>
    <xf numFmtId="37" fontId="12" fillId="24" borderId="13" xfId="37" applyFont="1" applyFill="1" applyBorder="1" applyAlignment="1" applyProtection="1">
      <protection hidden="1"/>
    </xf>
    <xf numFmtId="187" fontId="0" fillId="0" borderId="0" xfId="51" applyNumberFormat="1" applyFont="1"/>
    <xf numFmtId="187" fontId="12" fillId="0" borderId="34" xfId="51" applyNumberFormat="1" applyFont="1" applyFill="1" applyBorder="1" applyAlignment="1">
      <alignment horizontal="center" vertical="center" wrapText="1"/>
    </xf>
    <xf numFmtId="187" fontId="12" fillId="0" borderId="35" xfId="51" applyNumberFormat="1" applyFont="1" applyFill="1" applyBorder="1" applyAlignment="1">
      <alignment horizontal="center" vertical="center" wrapText="1"/>
    </xf>
    <xf numFmtId="187" fontId="12" fillId="0" borderId="36" xfId="51" applyNumberFormat="1" applyFont="1" applyFill="1" applyBorder="1" applyAlignment="1">
      <alignment horizontal="center" vertical="center"/>
    </xf>
    <xf numFmtId="187" fontId="12" fillId="0" borderId="37" xfId="51" applyNumberFormat="1" applyFont="1" applyFill="1" applyBorder="1"/>
    <xf numFmtId="187" fontId="0" fillId="0" borderId="0" xfId="51" applyNumberFormat="1" applyFont="1" applyFill="1" applyBorder="1"/>
    <xf numFmtId="187" fontId="12" fillId="0" borderId="38" xfId="51" applyNumberFormat="1" applyFont="1" applyFill="1" applyBorder="1"/>
    <xf numFmtId="187" fontId="12" fillId="0" borderId="34" xfId="51" applyNumberFormat="1" applyFont="1" applyFill="1" applyBorder="1"/>
    <xf numFmtId="187" fontId="12" fillId="0" borderId="35" xfId="51" applyNumberFormat="1" applyFont="1" applyFill="1" applyBorder="1"/>
    <xf numFmtId="187" fontId="12" fillId="0" borderId="36" xfId="51" applyNumberFormat="1" applyFont="1" applyFill="1" applyBorder="1"/>
    <xf numFmtId="187" fontId="12" fillId="0" borderId="0" xfId="51" applyNumberFormat="1" applyFont="1" applyFill="1" applyBorder="1"/>
    <xf numFmtId="187" fontId="8" fillId="0" borderId="0" xfId="53" applyNumberFormat="1" applyFont="1"/>
    <xf numFmtId="187" fontId="8" fillId="0" borderId="0" xfId="51" applyNumberFormat="1" applyFont="1"/>
    <xf numFmtId="190" fontId="12" fillId="24" borderId="44" xfId="106" applyNumberFormat="1" applyFont="1" applyFill="1" applyBorder="1"/>
    <xf numFmtId="190" fontId="12" fillId="24" borderId="38" xfId="106" applyNumberFormat="1" applyFont="1" applyFill="1" applyBorder="1"/>
    <xf numFmtId="190" fontId="12" fillId="24" borderId="91" xfId="106" applyNumberFormat="1" applyFont="1" applyFill="1" applyBorder="1"/>
    <xf numFmtId="38" fontId="12" fillId="0" borderId="10" xfId="33" applyNumberFormat="1" applyFont="1" applyBorder="1" applyAlignment="1">
      <alignment horizontal="center" vertical="center"/>
    </xf>
    <xf numFmtId="38" fontId="12" fillId="0" borderId="10" xfId="53" applyNumberFormat="1" applyFont="1" applyBorder="1" applyAlignment="1">
      <alignment horizontal="center" vertical="center"/>
    </xf>
    <xf numFmtId="38" fontId="12" fillId="0" borderId="40" xfId="51" applyNumberFormat="1" applyFont="1" applyFill="1" applyBorder="1"/>
    <xf numFmtId="180" fontId="8" fillId="0" borderId="0" xfId="51" applyNumberFormat="1" applyFont="1" applyBorder="1" applyAlignment="1">
      <alignment horizontal="center"/>
    </xf>
    <xf numFmtId="164" fontId="69" fillId="24" borderId="10" xfId="33" applyFont="1" applyFill="1" applyBorder="1" applyAlignment="1">
      <alignment horizontal="center" wrapText="1"/>
    </xf>
    <xf numFmtId="164" fontId="8" fillId="24" borderId="80" xfId="33" applyNumberFormat="1" applyFont="1" applyFill="1" applyBorder="1" applyProtection="1">
      <protection hidden="1"/>
    </xf>
    <xf numFmtId="164" fontId="8" fillId="24" borderId="22" xfId="33" applyNumberFormat="1" applyFont="1" applyFill="1" applyBorder="1" applyProtection="1">
      <protection hidden="1"/>
    </xf>
    <xf numFmtId="164" fontId="12" fillId="24" borderId="14" xfId="33" applyNumberFormat="1" applyFont="1" applyFill="1" applyBorder="1" applyProtection="1">
      <protection hidden="1"/>
    </xf>
    <xf numFmtId="164" fontId="0" fillId="24" borderId="0" xfId="33" applyFont="1" applyFill="1"/>
    <xf numFmtId="167" fontId="34" fillId="24" borderId="20" xfId="40" applyNumberFormat="1" applyFont="1" applyFill="1" applyBorder="1" applyProtection="1">
      <protection hidden="1"/>
    </xf>
    <xf numFmtId="167" fontId="34" fillId="24" borderId="22" xfId="40" applyNumberFormat="1" applyFont="1" applyFill="1" applyBorder="1" applyProtection="1">
      <protection hidden="1"/>
    </xf>
    <xf numFmtId="167" fontId="36" fillId="24" borderId="14" xfId="40" applyNumberFormat="1" applyFont="1" applyFill="1" applyBorder="1" applyProtection="1">
      <protection hidden="1"/>
    </xf>
    <xf numFmtId="167" fontId="8" fillId="24" borderId="20" xfId="40" applyNumberFormat="1" applyFont="1" applyFill="1" applyBorder="1" applyProtection="1">
      <protection hidden="1"/>
    </xf>
    <xf numFmtId="167" fontId="8" fillId="24" borderId="22" xfId="40" applyNumberFormat="1" applyFont="1" applyFill="1" applyBorder="1" applyProtection="1">
      <protection hidden="1"/>
    </xf>
    <xf numFmtId="167" fontId="12" fillId="24" borderId="14" xfId="40" applyNumberFormat="1" applyFont="1" applyFill="1" applyBorder="1" applyProtection="1">
      <protection hidden="1"/>
    </xf>
    <xf numFmtId="0" fontId="12" fillId="0" borderId="0" xfId="53" applyFont="1" applyAlignment="1">
      <alignment horizontal="center" vertical="center"/>
    </xf>
    <xf numFmtId="0" fontId="12" fillId="0" borderId="84" xfId="53" applyFont="1" applyBorder="1" applyAlignment="1">
      <alignment horizontal="center"/>
    </xf>
    <xf numFmtId="180" fontId="12" fillId="0" borderId="0" xfId="51" applyNumberFormat="1" applyFont="1" applyAlignment="1">
      <alignment horizontal="center"/>
    </xf>
    <xf numFmtId="180" fontId="8" fillId="0" borderId="0" xfId="51" applyNumberFormat="1" applyFont="1" applyBorder="1" applyAlignment="1">
      <alignment horizontal="center"/>
    </xf>
    <xf numFmtId="0" fontId="56" fillId="29" borderId="73" xfId="0" applyFont="1" applyFill="1" applyBorder="1" applyAlignment="1" applyProtection="1">
      <alignment horizontal="center" vertical="center" wrapText="1"/>
    </xf>
    <xf numFmtId="37" fontId="8" fillId="24" borderId="0" xfId="37" applyFont="1" applyFill="1" applyAlignment="1" applyProtection="1">
      <alignment horizontal="left" vertical="top" wrapText="1"/>
      <protection hidden="1"/>
    </xf>
    <xf numFmtId="0" fontId="43" fillId="0" borderId="28" xfId="0" applyFont="1" applyBorder="1" applyAlignment="1">
      <alignment horizontal="center"/>
    </xf>
    <xf numFmtId="37" fontId="43" fillId="0" borderId="28" xfId="37" applyFont="1" applyBorder="1" applyAlignment="1" applyProtection="1">
      <alignment horizontal="center"/>
      <protection hidden="1"/>
    </xf>
    <xf numFmtId="37" fontId="12" fillId="24" borderId="27" xfId="37" applyFont="1" applyFill="1" applyBorder="1" applyAlignment="1" applyProtection="1">
      <alignment horizontal="center" vertical="center" wrapText="1"/>
      <protection hidden="1"/>
    </xf>
    <xf numFmtId="37" fontId="12" fillId="24" borderId="0" xfId="37" applyFont="1" applyFill="1" applyBorder="1" applyAlignment="1" applyProtection="1">
      <alignment horizontal="center" vertical="center" wrapText="1"/>
      <protection hidden="1"/>
    </xf>
    <xf numFmtId="37" fontId="12" fillId="24" borderId="33" xfId="37" applyFont="1" applyFill="1" applyBorder="1" applyAlignment="1" applyProtection="1">
      <alignment horizontal="center" vertical="center" wrapText="1"/>
      <protection hidden="1"/>
    </xf>
    <xf numFmtId="37" fontId="12" fillId="24" borderId="40" xfId="37" applyFont="1" applyFill="1" applyBorder="1" applyAlignment="1" applyProtection="1">
      <alignment horizontal="center" vertical="center" wrapText="1"/>
      <protection hidden="1"/>
    </xf>
    <xf numFmtId="37" fontId="47" fillId="24" borderId="0" xfId="37" applyFont="1" applyFill="1" applyAlignment="1" applyProtection="1">
      <alignment horizontal="center" vertical="center" wrapText="1"/>
      <protection hidden="1"/>
    </xf>
    <xf numFmtId="37" fontId="8" fillId="24" borderId="0" xfId="37" applyFont="1" applyFill="1" applyAlignment="1" applyProtection="1">
      <alignment horizontal="center" vertical="center" wrapText="1"/>
      <protection hidden="1"/>
    </xf>
    <xf numFmtId="49" fontId="45" fillId="24" borderId="30" xfId="54" applyNumberFormat="1" applyFont="1" applyFill="1" applyBorder="1" applyAlignment="1" applyProtection="1">
      <alignment horizontal="center" vertical="center" wrapText="1"/>
      <protection hidden="1"/>
    </xf>
    <xf numFmtId="49" fontId="12" fillId="24" borderId="31" xfId="54" applyNumberFormat="1" applyFont="1" applyFill="1" applyBorder="1" applyAlignment="1" applyProtection="1">
      <alignment horizontal="center" vertical="center" wrapText="1"/>
      <protection hidden="1"/>
    </xf>
    <xf numFmtId="37" fontId="12" fillId="24" borderId="30" xfId="37" applyFont="1" applyFill="1" applyBorder="1" applyAlignment="1" applyProtection="1">
      <alignment horizontal="center" vertical="center" wrapText="1"/>
      <protection hidden="1"/>
    </xf>
    <xf numFmtId="37" fontId="12" fillId="24" borderId="31" xfId="37" applyFont="1" applyFill="1" applyBorder="1" applyAlignment="1" applyProtection="1">
      <alignment horizontal="center" vertical="center" wrapText="1"/>
      <protection hidden="1"/>
    </xf>
    <xf numFmtId="49" fontId="45" fillId="24" borderId="31" xfId="54" applyNumberFormat="1" applyFont="1" applyFill="1" applyBorder="1" applyAlignment="1" applyProtection="1">
      <alignment horizontal="center" vertical="center" wrapText="1"/>
      <protection hidden="1"/>
    </xf>
    <xf numFmtId="37" fontId="12" fillId="24" borderId="32" xfId="37" applyFont="1" applyFill="1" applyBorder="1" applyAlignment="1" applyProtection="1">
      <alignment horizontal="center" vertical="center" wrapText="1"/>
      <protection hidden="1"/>
    </xf>
    <xf numFmtId="37" fontId="12" fillId="24" borderId="39" xfId="37" applyFont="1" applyFill="1" applyBorder="1" applyAlignment="1" applyProtection="1">
      <alignment horizontal="center" vertical="center" wrapText="1"/>
      <protection hidden="1"/>
    </xf>
    <xf numFmtId="37" fontId="44" fillId="24" borderId="0" xfId="37" applyFont="1" applyFill="1" applyAlignment="1" applyProtection="1">
      <alignment horizontal="center" wrapText="1"/>
      <protection hidden="1"/>
    </xf>
    <xf numFmtId="37" fontId="46" fillId="24" borderId="0" xfId="37" applyFont="1" applyFill="1" applyAlignment="1" applyProtection="1">
      <alignment horizontal="center" wrapText="1"/>
      <protection hidden="1"/>
    </xf>
    <xf numFmtId="37" fontId="43" fillId="24" borderId="28" xfId="37" applyFont="1" applyFill="1" applyBorder="1" applyAlignment="1" applyProtection="1">
      <alignment horizontal="center" vertical="center"/>
      <protection hidden="1"/>
    </xf>
    <xf numFmtId="37" fontId="8" fillId="24" borderId="28" xfId="37" applyFont="1" applyFill="1" applyBorder="1" applyAlignment="1" applyProtection="1">
      <alignment horizontal="center" vertical="center"/>
      <protection hidden="1"/>
    </xf>
    <xf numFmtId="37" fontId="43" fillId="24" borderId="28" xfId="37" applyFont="1" applyFill="1" applyBorder="1" applyAlignment="1" applyProtection="1">
      <alignment horizontal="center" vertical="center" wrapText="1"/>
      <protection hidden="1"/>
    </xf>
    <xf numFmtId="0" fontId="8" fillId="24" borderId="0" xfId="106" applyFill="1" applyBorder="1" applyAlignment="1">
      <alignment horizontal="center" vertical="center"/>
    </xf>
    <xf numFmtId="0" fontId="12" fillId="24" borderId="53" xfId="106" applyFont="1" applyFill="1" applyBorder="1" applyAlignment="1">
      <alignment horizontal="center" vertical="center"/>
    </xf>
    <xf numFmtId="0" fontId="12" fillId="24" borderId="53" xfId="106" applyFont="1" applyFill="1" applyBorder="1" applyAlignment="1">
      <alignment horizontal="center"/>
    </xf>
    <xf numFmtId="0" fontId="8" fillId="24" borderId="0" xfId="106" applyFill="1" applyAlignment="1">
      <alignment horizontal="center" vertical="center"/>
    </xf>
    <xf numFmtId="0" fontId="12" fillId="24" borderId="0" xfId="106" applyFont="1" applyFill="1" applyBorder="1" applyAlignment="1">
      <alignment horizontal="center" vertical="center"/>
    </xf>
    <xf numFmtId="0" fontId="12" fillId="24" borderId="0" xfId="106" applyFont="1" applyFill="1" applyBorder="1" applyAlignment="1">
      <alignment horizontal="center"/>
    </xf>
    <xf numFmtId="0" fontId="63" fillId="27" borderId="54" xfId="109" applyNumberFormat="1" applyFont="1" applyFill="1" applyBorder="1" applyAlignment="1">
      <alignment horizontal="center"/>
    </xf>
    <xf numFmtId="0" fontId="66" fillId="27" borderId="57" xfId="108" applyNumberFormat="1" applyFont="1" applyFill="1" applyBorder="1" applyAlignment="1">
      <alignment horizontal="center"/>
    </xf>
    <xf numFmtId="0" fontId="66" fillId="27" borderId="58" xfId="108" applyNumberFormat="1" applyFont="1" applyFill="1" applyBorder="1" applyAlignment="1">
      <alignment horizontal="center"/>
    </xf>
    <xf numFmtId="180" fontId="68" fillId="24" borderId="0" xfId="102" applyNumberFormat="1" applyFont="1" applyFill="1" applyAlignment="1">
      <alignment horizontal="center"/>
    </xf>
    <xf numFmtId="187" fontId="8" fillId="0" borderId="53" xfId="51" applyNumberFormat="1" applyFont="1" applyBorder="1" applyAlignment="1">
      <alignment horizontal="center"/>
    </xf>
    <xf numFmtId="187" fontId="12" fillId="0" borderId="0" xfId="51" applyNumberFormat="1" applyFont="1" applyAlignment="1">
      <alignment horizontal="center"/>
    </xf>
  </cellXfs>
  <cellStyles count="116">
    <cellStyle name="=C:\WINNT\SYSTEM32\COMMAND.COM" xfId="57"/>
    <cellStyle name="20% - Énfasis1" xfId="1" builtinId="30" customBuiltin="1"/>
    <cellStyle name="20% - Énfasis1 2" xfId="58"/>
    <cellStyle name="20% - Énfasis2" xfId="2" builtinId="34" customBuiltin="1"/>
    <cellStyle name="20% - Énfasis2 2" xfId="59"/>
    <cellStyle name="20% - Énfasis3" xfId="3" builtinId="38" customBuiltin="1"/>
    <cellStyle name="20% - Énfasis3 2" xfId="60"/>
    <cellStyle name="20% - Énfasis4" xfId="4" builtinId="42" customBuiltin="1"/>
    <cellStyle name="20% - Énfasis4 2" xfId="61"/>
    <cellStyle name="20% - Énfasis5" xfId="5" builtinId="46" customBuiltin="1"/>
    <cellStyle name="20% - Énfasis5 2" xfId="62"/>
    <cellStyle name="20% - Énfasis6" xfId="6" builtinId="50" customBuiltin="1"/>
    <cellStyle name="20% - Énfasis6 2" xfId="63"/>
    <cellStyle name="40% - Énfasis1" xfId="7" builtinId="31" customBuiltin="1"/>
    <cellStyle name="40% - Énfasis1 2" xfId="64"/>
    <cellStyle name="40% - Énfasis2" xfId="8" builtinId="35" customBuiltin="1"/>
    <cellStyle name="40% - Énfasis2 2" xfId="65"/>
    <cellStyle name="40% - Énfasis3" xfId="9" builtinId="39" customBuiltin="1"/>
    <cellStyle name="40% - Énfasis3 2" xfId="66"/>
    <cellStyle name="40% - Énfasis4" xfId="10" builtinId="43" customBuiltin="1"/>
    <cellStyle name="40% - Énfasis4 2" xfId="67"/>
    <cellStyle name="40% - Énfasis5" xfId="11" builtinId="47" customBuiltin="1"/>
    <cellStyle name="40% - Énfasis5 2" xfId="68"/>
    <cellStyle name="40% - Énfasis6" xfId="12" builtinId="51" customBuiltin="1"/>
    <cellStyle name="40% - Énfasis6 2" xfId="69"/>
    <cellStyle name="60% - Énfasis1" xfId="13" builtinId="32" customBuiltin="1"/>
    <cellStyle name="60% - Énfasis1 2" xfId="70"/>
    <cellStyle name="60% - Énfasis2" xfId="14" builtinId="36" customBuiltin="1"/>
    <cellStyle name="60% - Énfasis2 2" xfId="71"/>
    <cellStyle name="60% - Énfasis3" xfId="15" builtinId="40" customBuiltin="1"/>
    <cellStyle name="60% - Énfasis3 2" xfId="72"/>
    <cellStyle name="60% - Énfasis4" xfId="16" builtinId="44" customBuiltin="1"/>
    <cellStyle name="60% - Énfasis4 2" xfId="73"/>
    <cellStyle name="60% - Énfasis5" xfId="17" builtinId="48" customBuiltin="1"/>
    <cellStyle name="60% - Énfasis5 2" xfId="74"/>
    <cellStyle name="60% - Énfasis6" xfId="18" builtinId="52" customBuiltin="1"/>
    <cellStyle name="60% - Énfasis6 2" xfId="75"/>
    <cellStyle name="Buena" xfId="19" builtinId="26" customBuiltin="1"/>
    <cellStyle name="Buena 2" xfId="76"/>
    <cellStyle name="Buena 3" xfId="108"/>
    <cellStyle name="Cálculo" xfId="20" builtinId="22" customBuiltin="1"/>
    <cellStyle name="Cálculo 2" xfId="77"/>
    <cellStyle name="Celda de comprobación" xfId="21" builtinId="23" customBuiltin="1"/>
    <cellStyle name="Celda de comprobación 2" xfId="78"/>
    <cellStyle name="Celda vinculada" xfId="22" builtinId="24" customBuiltin="1"/>
    <cellStyle name="Celda vinculada 2" xfId="79"/>
    <cellStyle name="Encabezado 1" xfId="46" builtinId="16" customBuiltin="1"/>
    <cellStyle name="Encabezado 4" xfId="23" builtinId="19" customBuiltin="1"/>
    <cellStyle name="Encabezado 4 2" xfId="80"/>
    <cellStyle name="Énfasis1" xfId="24" builtinId="29" customBuiltin="1"/>
    <cellStyle name="Énfasis1 2" xfId="81"/>
    <cellStyle name="Énfasis2" xfId="25" builtinId="33" customBuiltin="1"/>
    <cellStyle name="Énfasis2 2" xfId="82"/>
    <cellStyle name="Énfasis3" xfId="26" builtinId="37" customBuiltin="1"/>
    <cellStyle name="Énfasis3 2" xfId="83"/>
    <cellStyle name="Énfasis4" xfId="27" builtinId="41" customBuiltin="1"/>
    <cellStyle name="Énfasis4 2" xfId="84"/>
    <cellStyle name="Énfasis5" xfId="28" builtinId="45" customBuiltin="1"/>
    <cellStyle name="Énfasis5 2" xfId="85"/>
    <cellStyle name="Énfasis6" xfId="29" builtinId="49" customBuiltin="1"/>
    <cellStyle name="Énfasis6 2" xfId="86"/>
    <cellStyle name="Entrada" xfId="30" builtinId="20" customBuiltin="1"/>
    <cellStyle name="Entrada 2" xfId="87"/>
    <cellStyle name="Euro" xfId="31"/>
    <cellStyle name="Euro 2" xfId="88"/>
    <cellStyle name="Incorrecto" xfId="32" builtinId="27" customBuiltin="1"/>
    <cellStyle name="Incorrecto 2" xfId="89"/>
    <cellStyle name="Millares" xfId="33" builtinId="3"/>
    <cellStyle name="Millares [0] 2" xfId="90"/>
    <cellStyle name="Millares 12" xfId="105"/>
    <cellStyle name="Millares 2" xfId="51"/>
    <cellStyle name="Millares 2 2" xfId="54"/>
    <cellStyle name="Millares 2 2 2" xfId="102"/>
    <cellStyle name="Millares 3" xfId="52"/>
    <cellStyle name="Millares 4" xfId="110"/>
    <cellStyle name="Moneda 2" xfId="114"/>
    <cellStyle name="Neutral" xfId="34" builtinId="28" customBuiltin="1"/>
    <cellStyle name="Neutral 2" xfId="91"/>
    <cellStyle name="Normal" xfId="0" builtinId="0"/>
    <cellStyle name="Normal 2" xfId="35"/>
    <cellStyle name="Normal 2 2" xfId="103"/>
    <cellStyle name="Normal 2 3" xfId="106"/>
    <cellStyle name="Normal 3" xfId="36"/>
    <cellStyle name="Normal 4" xfId="53"/>
    <cellStyle name="Normal 5" xfId="101"/>
    <cellStyle name="Normal 6" xfId="104"/>
    <cellStyle name="Normal 7" xfId="109"/>
    <cellStyle name="Normal 8" xfId="111"/>
    <cellStyle name="Normal 9" xfId="113"/>
    <cellStyle name="Normal_FGPAGO95" xfId="37"/>
    <cellStyle name="Notas" xfId="38" builtinId="10" customBuiltin="1"/>
    <cellStyle name="Notas 2" xfId="92"/>
    <cellStyle name="PESOS" xfId="39"/>
    <cellStyle name="PESOS 2" xfId="112"/>
    <cellStyle name="Porcentaje" xfId="40" builtinId="5"/>
    <cellStyle name="Porcentaje 2" xfId="107"/>
    <cellStyle name="Porcentaje 2 2" xfId="115"/>
    <cellStyle name="Porcentual 2" xfId="41"/>
    <cellStyle name="Porcentual 3" xfId="55"/>
    <cellStyle name="Porcentual 4" xfId="56"/>
    <cellStyle name="Salida" xfId="42" builtinId="21" customBuiltin="1"/>
    <cellStyle name="Salida 2" xfId="93"/>
    <cellStyle name="Texto de advertencia" xfId="43" builtinId="11" customBuiltin="1"/>
    <cellStyle name="Texto de advertencia 2" xfId="94"/>
    <cellStyle name="Texto explicativo" xfId="44" builtinId="53" customBuiltin="1"/>
    <cellStyle name="Texto explicativo 2" xfId="95"/>
    <cellStyle name="Título" xfId="45" builtinId="15" customBuiltin="1"/>
    <cellStyle name="Título 1 2" xfId="96"/>
    <cellStyle name="Título 2" xfId="47" builtinId="17" customBuiltin="1"/>
    <cellStyle name="Título 2 2" xfId="97"/>
    <cellStyle name="Título 3" xfId="48" builtinId="18" customBuiltin="1"/>
    <cellStyle name="Título 3 2" xfId="98"/>
    <cellStyle name="Título 4" xfId="99"/>
    <cellStyle name="Total" xfId="49" builtinId="25" customBuiltin="1"/>
    <cellStyle name="Total 2" xfId="100"/>
    <cellStyle name="UDI´s" xfId="50"/>
  </cellStyles>
  <dxfs count="1">
    <dxf>
      <fill>
        <gradientFill degree="180">
          <stop position="0">
            <color theme="0"/>
          </stop>
          <stop position="1">
            <color theme="9" tint="-0.25098422193060094"/>
          </stop>
        </gradientFill>
      </fill>
    </dxf>
  </dxfs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PREDIAL2018INFORMACIONCOMPLETARORDEN%20NL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AJUSTE%20SEMESTRAL%202021/Ajuste%201er%20Semetre%20202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AJUSTE%20SEMESTRAL%202020/ajuste%20semes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Ajuste 1er Sem"/>
      <sheetName val="Calculo Coef Actualizado"/>
      <sheetName val="pagado 1er Sem"/>
      <sheetName val="COEF Art 14 F I"/>
      <sheetName val="PART PEF2021"/>
      <sheetName val="CALCULO GARANTIA"/>
      <sheetName val="COEF Art 14 F II"/>
      <sheetName val="Art.14 Frac.III"/>
      <sheetName val="acumulados ffm iepsgyd"/>
    </sheetNames>
    <sheetDataSet>
      <sheetData sheetId="0"/>
      <sheetData sheetId="1"/>
      <sheetData sheetId="2">
        <row r="6">
          <cell r="B6">
            <v>4451471.1953384746</v>
          </cell>
          <cell r="C6">
            <v>606894.30952539283</v>
          </cell>
          <cell r="D6">
            <v>6339308.6026345342</v>
          </cell>
          <cell r="E6">
            <v>129702.71291290576</v>
          </cell>
          <cell r="F6">
            <v>211355.40595936243</v>
          </cell>
          <cell r="G6">
            <v>-10371.315336745822</v>
          </cell>
          <cell r="H6">
            <v>115647.40532490116</v>
          </cell>
          <cell r="I6">
            <v>24551.789594551701</v>
          </cell>
          <cell r="J6">
            <v>83337.442033436586</v>
          </cell>
          <cell r="K6">
            <v>57678.589559935768</v>
          </cell>
        </row>
        <row r="7">
          <cell r="B7">
            <v>8817373.4588332195</v>
          </cell>
          <cell r="C7">
            <v>1202122.5213654838</v>
          </cell>
          <cell r="D7">
            <v>1666429.1194887112</v>
          </cell>
          <cell r="E7">
            <v>256912.20007770072</v>
          </cell>
          <cell r="F7">
            <v>418648.00761567114</v>
          </cell>
          <cell r="G7">
            <v>-20543.266837079722</v>
          </cell>
          <cell r="H7">
            <v>229071.76471512043</v>
          </cell>
          <cell r="I7">
            <v>48631.629508139995</v>
          </cell>
          <cell r="J7">
            <v>57074.181008165666</v>
          </cell>
          <cell r="K7">
            <v>114248.4456063165</v>
          </cell>
        </row>
        <row r="8">
          <cell r="B8">
            <v>9172670.2449023426</v>
          </cell>
          <cell r="C8">
            <v>1250562.1468726227</v>
          </cell>
          <cell r="D8">
            <v>1356619.9893406371</v>
          </cell>
          <cell r="E8">
            <v>267264.49823267007</v>
          </cell>
          <cell r="F8">
            <v>435517.46338892967</v>
          </cell>
          <cell r="G8">
            <v>-21371.059457711297</v>
          </cell>
          <cell r="H8">
            <v>238302.23024575191</v>
          </cell>
          <cell r="I8">
            <v>50591.245004321208</v>
          </cell>
          <cell r="J8">
            <v>87846.732002911391</v>
          </cell>
          <cell r="K8">
            <v>118852.09608418668</v>
          </cell>
        </row>
        <row r="9">
          <cell r="B9">
            <v>25371003.878712587</v>
          </cell>
          <cell r="C9">
            <v>3458972.8216283703</v>
          </cell>
          <cell r="D9">
            <v>7024052.7935973229</v>
          </cell>
          <cell r="E9">
            <v>739236.06106647267</v>
          </cell>
          <cell r="F9">
            <v>1204612.7199468773</v>
          </cell>
          <cell r="G9">
            <v>-59110.947839329332</v>
          </cell>
          <cell r="H9">
            <v>659128.32865989499</v>
          </cell>
          <cell r="I9">
            <v>139932.0632884255</v>
          </cell>
          <cell r="J9">
            <v>525418.81244304439</v>
          </cell>
          <cell r="K9">
            <v>328737.09729408514</v>
          </cell>
        </row>
        <row r="10">
          <cell r="B10">
            <v>32042973.059732214</v>
          </cell>
          <cell r="C10">
            <v>4368600.2125749541</v>
          </cell>
          <cell r="D10">
            <v>8384237.8115329808</v>
          </cell>
          <cell r="E10">
            <v>933637.52190390346</v>
          </cell>
          <cell r="F10">
            <v>1521397.1475939567</v>
          </cell>
          <cell r="G10">
            <v>-74655.717929241786</v>
          </cell>
          <cell r="H10">
            <v>832463.36562489474</v>
          </cell>
          <cell r="I10">
            <v>176730.8599840586</v>
          </cell>
          <cell r="J10">
            <v>334603.59995535691</v>
          </cell>
          <cell r="K10">
            <v>415187.11686324707</v>
          </cell>
        </row>
        <row r="11">
          <cell r="B11">
            <v>218611177.24677381</v>
          </cell>
          <cell r="C11">
            <v>29804501.399143837</v>
          </cell>
          <cell r="D11">
            <v>7182018.2309974143</v>
          </cell>
          <cell r="E11">
            <v>6369683.5310724014</v>
          </cell>
          <cell r="F11">
            <v>10379636.773260703</v>
          </cell>
          <cell r="G11">
            <v>-509333.96081228106</v>
          </cell>
          <cell r="H11">
            <v>5679429.1851391206</v>
          </cell>
          <cell r="I11">
            <v>1205735.2257834678</v>
          </cell>
          <cell r="J11">
            <v>7664184.6422162373</v>
          </cell>
          <cell r="K11">
            <v>2832588.1067893277</v>
          </cell>
        </row>
        <row r="12">
          <cell r="B12">
            <v>36577260.722134121</v>
          </cell>
          <cell r="C12">
            <v>4986785.3606546717</v>
          </cell>
          <cell r="D12">
            <v>0</v>
          </cell>
          <cell r="E12">
            <v>1065753.261876995</v>
          </cell>
          <cell r="F12">
            <v>1736684.6711046223</v>
          </cell>
          <cell r="G12">
            <v>-85219.984238216639</v>
          </cell>
          <cell r="H12">
            <v>950262.30897257139</v>
          </cell>
          <cell r="I12">
            <v>201739.41822544209</v>
          </cell>
          <cell r="J12">
            <v>364820.77005168999</v>
          </cell>
          <cell r="K12">
            <v>473938.77570813248</v>
          </cell>
        </row>
        <row r="13">
          <cell r="B13">
            <v>5815978.2960618269</v>
          </cell>
          <cell r="C13">
            <v>792925.2998198336</v>
          </cell>
          <cell r="D13">
            <v>2059072.2380976416</v>
          </cell>
          <cell r="E13">
            <v>169460.41659929013</v>
          </cell>
          <cell r="F13">
            <v>276142.06626839045</v>
          </cell>
          <cell r="G13">
            <v>-13550.429117297788</v>
          </cell>
          <cell r="H13">
            <v>151096.74304302619</v>
          </cell>
          <cell r="I13">
            <v>32077.636616164116</v>
          </cell>
          <cell r="J13">
            <v>57584.93279965844</v>
          </cell>
          <cell r="K13">
            <v>75358.776976773777</v>
          </cell>
        </row>
        <row r="14">
          <cell r="B14">
            <v>57811962.326231837</v>
          </cell>
          <cell r="C14">
            <v>7881832.6388426041</v>
          </cell>
          <cell r="D14">
            <v>1800456.146789067</v>
          </cell>
          <cell r="E14">
            <v>1684469.7007998545</v>
          </cell>
          <cell r="F14">
            <v>2744906.1738428287</v>
          </cell>
          <cell r="G14">
            <v>-134693.91695700493</v>
          </cell>
          <cell r="H14">
            <v>1501931.1922698589</v>
          </cell>
          <cell r="I14">
            <v>318857.98487658607</v>
          </cell>
          <cell r="J14">
            <v>1313628.4010983615</v>
          </cell>
          <cell r="K14">
            <v>749080.98926059669</v>
          </cell>
        </row>
        <row r="15">
          <cell r="B15">
            <v>9605389.0147261471</v>
          </cell>
          <cell r="C15">
            <v>1309557.1504359168</v>
          </cell>
          <cell r="D15">
            <v>916938.01731372997</v>
          </cell>
          <cell r="E15">
            <v>279872.64414929552</v>
          </cell>
          <cell r="F15">
            <v>456062.90718695289</v>
          </cell>
          <cell r="G15">
            <v>-22379.234646774868</v>
          </cell>
          <cell r="H15">
            <v>249544.08732390401</v>
          </cell>
          <cell r="I15">
            <v>52977.876237935074</v>
          </cell>
          <cell r="J15">
            <v>833018.62711116462</v>
          </cell>
          <cell r="K15">
            <v>124458.91846364716</v>
          </cell>
        </row>
        <row r="16">
          <cell r="B16">
            <v>13955204.407174697</v>
          </cell>
          <cell r="C16">
            <v>1902592.1479278551</v>
          </cell>
          <cell r="D16">
            <v>10023973.267388474</v>
          </cell>
          <cell r="E16">
            <v>406613.4074415972</v>
          </cell>
          <cell r="F16">
            <v>662591.70581918617</v>
          </cell>
          <cell r="G16">
            <v>-32513.705951218391</v>
          </cell>
          <cell r="H16">
            <v>362550.51636825543</v>
          </cell>
          <cell r="I16">
            <v>76968.990097634844</v>
          </cell>
          <cell r="J16">
            <v>119436.53715744597</v>
          </cell>
          <cell r="K16">
            <v>180820.33375153242</v>
          </cell>
        </row>
        <row r="17">
          <cell r="B17">
            <v>29349836.78239049</v>
          </cell>
          <cell r="C17">
            <v>4001429.672820217</v>
          </cell>
          <cell r="D17">
            <v>1687275.910354913</v>
          </cell>
          <cell r="E17">
            <v>855167.4911910966</v>
          </cell>
          <cell r="F17">
            <v>1393527.3072145523</v>
          </cell>
          <cell r="G17">
            <v>-68381.080994290896</v>
          </cell>
          <cell r="H17">
            <v>762496.78401765332</v>
          </cell>
          <cell r="I17">
            <v>161877.04821504396</v>
          </cell>
          <cell r="J17">
            <v>241659.43637618722</v>
          </cell>
          <cell r="K17">
            <v>380291.61936290766</v>
          </cell>
        </row>
        <row r="18">
          <cell r="B18">
            <v>14933477.311025139</v>
          </cell>
          <cell r="C18">
            <v>2035965.6400738764</v>
          </cell>
          <cell r="D18">
            <v>1649865.1856310091</v>
          </cell>
          <cell r="E18">
            <v>435117.38826741063</v>
          </cell>
          <cell r="F18">
            <v>709040.00519240799</v>
          </cell>
          <cell r="G18">
            <v>-34792.947201134084</v>
          </cell>
          <cell r="H18">
            <v>387965.64724643197</v>
          </cell>
          <cell r="I18">
            <v>82364.588417250809</v>
          </cell>
          <cell r="J18">
            <v>657331.91996307473</v>
          </cell>
          <cell r="K18">
            <v>193496.00856166807</v>
          </cell>
        </row>
        <row r="19">
          <cell r="B19">
            <v>81796223.034549937</v>
          </cell>
          <cell r="C19">
            <v>11151742.900711644</v>
          </cell>
          <cell r="D19">
            <v>587086.03596371051</v>
          </cell>
          <cell r="E19">
            <v>2383300.1648354041</v>
          </cell>
          <cell r="F19">
            <v>3883676.4671225348</v>
          </cell>
          <cell r="G19">
            <v>-190573.94403326139</v>
          </cell>
          <cell r="H19">
            <v>2125032.4991945373</v>
          </cell>
          <cell r="I19">
            <v>451141.5595986112</v>
          </cell>
          <cell r="J19">
            <v>960982.45587106375</v>
          </cell>
          <cell r="K19">
            <v>1059849.7820009002</v>
          </cell>
        </row>
        <row r="20">
          <cell r="B20">
            <v>10442172.106353447</v>
          </cell>
          <cell r="C20">
            <v>1423640.5341827276</v>
          </cell>
          <cell r="D20">
            <v>1227208.2405971696</v>
          </cell>
          <cell r="E20">
            <v>304254.03006444278</v>
          </cell>
          <cell r="F20">
            <v>495793.28446447465</v>
          </cell>
          <cell r="G20">
            <v>-24328.824104033818</v>
          </cell>
          <cell r="H20">
            <v>271283.37061249057</v>
          </cell>
          <cell r="I20">
            <v>57593.097026834243</v>
          </cell>
          <cell r="J20">
            <v>32239.147312039477</v>
          </cell>
          <cell r="K20">
            <v>135301.28189244057</v>
          </cell>
        </row>
        <row r="21">
          <cell r="B21">
            <v>7271648.7347020349</v>
          </cell>
          <cell r="C21">
            <v>991385.10490184778</v>
          </cell>
          <cell r="D21">
            <v>1622838.5698321511</v>
          </cell>
          <cell r="E21">
            <v>211874.35049073439</v>
          </cell>
          <cell r="F21">
            <v>345257.15271981491</v>
          </cell>
          <cell r="G21">
            <v>-16941.94093058916</v>
          </cell>
          <cell r="H21">
            <v>188914.46708293213</v>
          </cell>
          <cell r="I21">
            <v>40106.288888682226</v>
          </cell>
          <cell r="J21">
            <v>85365.611936346788</v>
          </cell>
          <cell r="K21">
            <v>94220.185729184246</v>
          </cell>
        </row>
        <row r="22">
          <cell r="B22">
            <v>63773335.293920271</v>
          </cell>
          <cell r="C22">
            <v>8694580.4186860994</v>
          </cell>
          <cell r="D22">
            <v>682353.47296188411</v>
          </cell>
          <cell r="E22">
            <v>1858166.4883707911</v>
          </cell>
          <cell r="F22">
            <v>3027951.5645398148</v>
          </cell>
          <cell r="G22">
            <v>-148583.09565203809</v>
          </cell>
          <cell r="H22">
            <v>1656805.2295564804</v>
          </cell>
          <cell r="I22">
            <v>351737.53601253493</v>
          </cell>
          <cell r="J22">
            <v>747226.57097325602</v>
          </cell>
          <cell r="K22">
            <v>826323.67365156079</v>
          </cell>
        </row>
        <row r="23">
          <cell r="B23">
            <v>78220185.614738703</v>
          </cell>
          <cell r="C23">
            <v>10664201.441832613</v>
          </cell>
          <cell r="D23">
            <v>2560133.5798801989</v>
          </cell>
          <cell r="E23">
            <v>2279105.0045222715</v>
          </cell>
          <cell r="F23">
            <v>3713886.5690363576</v>
          </cell>
          <cell r="G23">
            <v>-182242.26892870193</v>
          </cell>
          <cell r="H23">
            <v>2032128.5061553379</v>
          </cell>
          <cell r="I23">
            <v>431418.1660370871</v>
          </cell>
          <cell r="J23">
            <v>3805197.2329213652</v>
          </cell>
          <cell r="K23">
            <v>1013514.3603982046</v>
          </cell>
        </row>
        <row r="24">
          <cell r="B24">
            <v>12257257.150513802</v>
          </cell>
          <cell r="C24">
            <v>1671101.3704471767</v>
          </cell>
          <cell r="D24">
            <v>898992.28260238271</v>
          </cell>
          <cell r="E24">
            <v>357140.2431981524</v>
          </cell>
          <cell r="F24">
            <v>581973.34034375555</v>
          </cell>
          <cell r="G24">
            <v>-28557.722490641685</v>
          </cell>
          <cell r="H24">
            <v>318438.53945217526</v>
          </cell>
          <cell r="I24">
            <v>67604.076351402051</v>
          </cell>
          <cell r="J24">
            <v>127201.09369879562</v>
          </cell>
          <cell r="K24">
            <v>158819.69652087503</v>
          </cell>
        </row>
        <row r="25">
          <cell r="B25">
            <v>167549451.18713593</v>
          </cell>
          <cell r="C25">
            <v>22842966.746827077</v>
          </cell>
          <cell r="D25">
            <v>3533119.8862253758</v>
          </cell>
          <cell r="E25">
            <v>4881895.7626406942</v>
          </cell>
          <cell r="F25">
            <v>7955231.1404393679</v>
          </cell>
          <cell r="G25">
            <v>-390367.16548456938</v>
          </cell>
          <cell r="H25">
            <v>4352866.3767822301</v>
          </cell>
          <cell r="I25">
            <v>924107.71444212052</v>
          </cell>
          <cell r="J25">
            <v>5219651.0188741358</v>
          </cell>
          <cell r="K25">
            <v>2170971.2591503104</v>
          </cell>
        </row>
        <row r="26">
          <cell r="B26">
            <v>24738043.181812171</v>
          </cell>
          <cell r="C26">
            <v>3372677.7007019771</v>
          </cell>
          <cell r="D26">
            <v>1687187.3022679202</v>
          </cell>
          <cell r="E26">
            <v>720793.45727265324</v>
          </cell>
          <cell r="F26">
            <v>1174559.809531597</v>
          </cell>
          <cell r="G26">
            <v>-57636.236514634023</v>
          </cell>
          <cell r="H26">
            <v>642684.26802083512</v>
          </cell>
          <cell r="I26">
            <v>136441.01119126863</v>
          </cell>
          <cell r="J26">
            <v>284657.50708720123</v>
          </cell>
          <cell r="K26">
            <v>320535.70080244413</v>
          </cell>
        </row>
        <row r="27">
          <cell r="B27">
            <v>3967992.6180170742</v>
          </cell>
          <cell r="C27">
            <v>540978.93357933324</v>
          </cell>
          <cell r="D27">
            <v>1541674.2690976893</v>
          </cell>
          <cell r="E27">
            <v>115615.57624233149</v>
          </cell>
          <cell r="F27">
            <v>188399.89159156705</v>
          </cell>
          <cell r="G27">
            <v>-9244.8767810583413</v>
          </cell>
          <cell r="H27">
            <v>103086.82915944242</v>
          </cell>
          <cell r="I27">
            <v>21885.196061092782</v>
          </cell>
          <cell r="J27">
            <v>51430.297038796612</v>
          </cell>
          <cell r="K27">
            <v>51414.062351145789</v>
          </cell>
        </row>
        <row r="28">
          <cell r="B28">
            <v>18375740.127104588</v>
          </cell>
          <cell r="C28">
            <v>2505268.8486753698</v>
          </cell>
          <cell r="D28">
            <v>452016.18434636405</v>
          </cell>
          <cell r="E28">
            <v>535414.7520405968</v>
          </cell>
          <cell r="F28">
            <v>872478.29850837088</v>
          </cell>
          <cell r="G28">
            <v>-42812.945887164009</v>
          </cell>
          <cell r="H28">
            <v>477394.23066461715</v>
          </cell>
          <cell r="I28">
            <v>101350.15716091321</v>
          </cell>
          <cell r="J28">
            <v>178163.42924378449</v>
          </cell>
          <cell r="K28">
            <v>238098.08625993304</v>
          </cell>
        </row>
        <row r="29">
          <cell r="B29">
            <v>17904850.038790401</v>
          </cell>
          <cell r="C29">
            <v>2441069.7328169867</v>
          </cell>
          <cell r="D29">
            <v>5464951.0752025452</v>
          </cell>
          <cell r="E29">
            <v>521694.40673046536</v>
          </cell>
          <cell r="F29">
            <v>850120.48433625931</v>
          </cell>
          <cell r="G29">
            <v>-41715.836778613855</v>
          </cell>
          <cell r="H29">
            <v>465160.69830709544</v>
          </cell>
          <cell r="I29">
            <v>98752.994590804592</v>
          </cell>
          <cell r="J29">
            <v>1077443.4402357917</v>
          </cell>
          <cell r="K29">
            <v>231996.67058410935</v>
          </cell>
        </row>
        <row r="30">
          <cell r="B30">
            <v>286562276.3987177</v>
          </cell>
          <cell r="C30">
            <v>39068660.054038785</v>
          </cell>
          <cell r="D30">
            <v>5473107.0590311503</v>
          </cell>
          <cell r="E30">
            <v>8349577.709574623</v>
          </cell>
          <cell r="F30">
            <v>13605948.146831654</v>
          </cell>
          <cell r="G30">
            <v>-667650.6713688469</v>
          </cell>
          <cell r="H30">
            <v>7444771.0150776338</v>
          </cell>
          <cell r="I30">
            <v>1580514.9370043541</v>
          </cell>
          <cell r="J30">
            <v>7600993.1628643852</v>
          </cell>
          <cell r="K30">
            <v>3713043.8900898551</v>
          </cell>
        </row>
        <row r="31">
          <cell r="B31">
            <v>7378860.9326826446</v>
          </cell>
          <cell r="C31">
            <v>1006001.9517848016</v>
          </cell>
          <cell r="D31">
            <v>1622016.298360277</v>
          </cell>
          <cell r="E31">
            <v>214998.19704061269</v>
          </cell>
          <cell r="F31">
            <v>350347.57712865225</v>
          </cell>
          <cell r="G31">
            <v>-17191.730598860391</v>
          </cell>
          <cell r="H31">
            <v>191699.79624076674</v>
          </cell>
          <cell r="I31">
            <v>40697.610546462653</v>
          </cell>
          <cell r="J31">
            <v>33965.595836071785</v>
          </cell>
          <cell r="K31">
            <v>95609.355307461607</v>
          </cell>
        </row>
        <row r="32">
          <cell r="B32">
            <v>12701568.115879538</v>
          </cell>
          <cell r="C32">
            <v>1731676.8037606783</v>
          </cell>
          <cell r="D32">
            <v>1788586.2918915837</v>
          </cell>
          <cell r="E32">
            <v>370086.15142850007</v>
          </cell>
          <cell r="F32">
            <v>603069.18042363971</v>
          </cell>
          <cell r="G32">
            <v>-29592.905900164256</v>
          </cell>
          <cell r="H32">
            <v>329981.55704055313</v>
          </cell>
          <cell r="I32">
            <v>70054.643558853611</v>
          </cell>
          <cell r="J32">
            <v>180449.64562404997</v>
          </cell>
          <cell r="K32">
            <v>164576.72126252577</v>
          </cell>
        </row>
        <row r="33">
          <cell r="B33">
            <v>7289733.0888737142</v>
          </cell>
          <cell r="C33">
            <v>993850.64745095547</v>
          </cell>
          <cell r="D33">
            <v>3810371.0891075428</v>
          </cell>
          <cell r="E33">
            <v>212401.27511731649</v>
          </cell>
          <cell r="F33">
            <v>346115.79604237998</v>
          </cell>
          <cell r="G33">
            <v>-16984.07498729659</v>
          </cell>
          <cell r="H33">
            <v>189384.29122536877</v>
          </cell>
          <cell r="I33">
            <v>40206.03192622932</v>
          </cell>
          <cell r="J33">
            <v>29682.915631273878</v>
          </cell>
          <cell r="K33">
            <v>94454.508270194317</v>
          </cell>
        </row>
        <row r="34">
          <cell r="B34">
            <v>10168372.842209097</v>
          </cell>
          <cell r="C34">
            <v>1386311.9279602603</v>
          </cell>
          <cell r="D34">
            <v>2955430.8061251831</v>
          </cell>
          <cell r="E34">
            <v>296276.32880687481</v>
          </cell>
          <cell r="F34">
            <v>482793.32285960042</v>
          </cell>
          <cell r="G34">
            <v>-23690.909494952743</v>
          </cell>
          <cell r="H34">
            <v>264170.17744810041</v>
          </cell>
          <cell r="I34">
            <v>56082.975624396633</v>
          </cell>
          <cell r="J34">
            <v>105307.90682030002</v>
          </cell>
          <cell r="K34">
            <v>131753.61086742484</v>
          </cell>
        </row>
        <row r="35">
          <cell r="B35">
            <v>9570845.230387168</v>
          </cell>
          <cell r="C35">
            <v>1304847.6004411306</v>
          </cell>
          <cell r="D35">
            <v>1868440.6238487067</v>
          </cell>
          <cell r="E35">
            <v>278866.14037864649</v>
          </cell>
          <cell r="F35">
            <v>454422.77177060267</v>
          </cell>
          <cell r="G35">
            <v>-22298.752382691197</v>
          </cell>
          <cell r="H35">
            <v>248646.65390164818</v>
          </cell>
          <cell r="I35">
            <v>52787.352321756916</v>
          </cell>
          <cell r="J35">
            <v>118892.3320710462</v>
          </cell>
          <cell r="K35">
            <v>124011.32784218671</v>
          </cell>
        </row>
        <row r="36">
          <cell r="B36">
            <v>88907558.352945775</v>
          </cell>
          <cell r="C36">
            <v>12121271.56853294</v>
          </cell>
          <cell r="D36">
            <v>0</v>
          </cell>
          <cell r="E36">
            <v>2590503.4562315578</v>
          </cell>
          <cell r="F36">
            <v>4221321.954912425</v>
          </cell>
          <cell r="G36">
            <v>-207142.37676391797</v>
          </cell>
          <cell r="H36">
            <v>2309782.0891343807</v>
          </cell>
          <cell r="I36">
            <v>490363.65063592792</v>
          </cell>
          <cell r="J36">
            <v>4696704.1674626283</v>
          </cell>
          <cell r="K36">
            <v>1151992.7552009416</v>
          </cell>
        </row>
        <row r="37">
          <cell r="B37">
            <v>17326066.08058935</v>
          </cell>
          <cell r="C37">
            <v>2362160.8338793418</v>
          </cell>
          <cell r="D37">
            <v>1781647.1762436058</v>
          </cell>
          <cell r="E37">
            <v>504830.35296600242</v>
          </cell>
          <cell r="F37">
            <v>822639.88004155981</v>
          </cell>
          <cell r="G37">
            <v>-40367.349800052922</v>
          </cell>
          <cell r="H37">
            <v>450124.12723375665</v>
          </cell>
          <cell r="I37">
            <v>95560.750647423643</v>
          </cell>
          <cell r="J37">
            <v>119518.19139559798</v>
          </cell>
          <cell r="K37">
            <v>224497.25277277717</v>
          </cell>
        </row>
        <row r="38">
          <cell r="B38">
            <v>63524415.76927577</v>
          </cell>
          <cell r="C38">
            <v>8660643.8084268421</v>
          </cell>
          <cell r="D38">
            <v>1611097.8219689024</v>
          </cell>
          <cell r="E38">
            <v>1850913.7091823753</v>
          </cell>
          <cell r="F38">
            <v>3016132.8904714431</v>
          </cell>
          <cell r="G38">
            <v>-148003.14741239444</v>
          </cell>
          <cell r="H38">
            <v>1650338.4018726374</v>
          </cell>
          <cell r="I38">
            <v>350364.63713778817</v>
          </cell>
          <cell r="J38">
            <v>1152544.2666758425</v>
          </cell>
          <cell r="K38">
            <v>823098.37431446533</v>
          </cell>
        </row>
        <row r="39">
          <cell r="B39">
            <v>13553966.472479468</v>
          </cell>
          <cell r="C39">
            <v>1847889.1051254545</v>
          </cell>
          <cell r="D39">
            <v>2416790.711993407</v>
          </cell>
          <cell r="E39">
            <v>394922.5200091367</v>
          </cell>
          <cell r="F39">
            <v>643540.96891615703</v>
          </cell>
          <cell r="G39">
            <v>-31578.876776057929</v>
          </cell>
          <cell r="H39">
            <v>352126.51854164543</v>
          </cell>
          <cell r="I39">
            <v>74755.989290102792</v>
          </cell>
          <cell r="J39">
            <v>103483.21522533214</v>
          </cell>
          <cell r="K39">
            <v>175621.41475697682</v>
          </cell>
        </row>
        <row r="40">
          <cell r="B40">
            <v>13028117.568279443</v>
          </cell>
          <cell r="C40">
            <v>1776197.1422608283</v>
          </cell>
          <cell r="D40">
            <v>2287283.1541490485</v>
          </cell>
          <cell r="E40">
            <v>379600.83725210925</v>
          </cell>
          <cell r="F40">
            <v>618573.71567707777</v>
          </cell>
          <cell r="G40">
            <v>-30353.721189147291</v>
          </cell>
          <cell r="H40">
            <v>338465.17857220833</v>
          </cell>
          <cell r="I40">
            <v>71855.705072165045</v>
          </cell>
          <cell r="J40">
            <v>17932.734025452028</v>
          </cell>
          <cell r="K40">
            <v>168807.88687260982</v>
          </cell>
        </row>
        <row r="41">
          <cell r="B41">
            <v>13679365.325356152</v>
          </cell>
          <cell r="C41">
            <v>1864985.4417953552</v>
          </cell>
          <cell r="D41">
            <v>431694.73486300383</v>
          </cell>
          <cell r="E41">
            <v>398576.27192632406</v>
          </cell>
          <cell r="F41">
            <v>649494.89387569495</v>
          </cell>
          <cell r="G41">
            <v>-31871.038847647251</v>
          </cell>
          <cell r="H41">
            <v>355384.32957299479</v>
          </cell>
          <cell r="I41">
            <v>75447.618218186282</v>
          </cell>
          <cell r="J41">
            <v>229199.95900508645</v>
          </cell>
          <cell r="K41">
            <v>177246.23240691135</v>
          </cell>
        </row>
        <row r="42">
          <cell r="B42">
            <v>19267979.053849619</v>
          </cell>
          <cell r="C42">
            <v>2626912.8408785881</v>
          </cell>
          <cell r="D42">
            <v>5492520.7585342834</v>
          </cell>
          <cell r="E42">
            <v>561411.95707396127</v>
          </cell>
          <cell r="F42">
            <v>914841.71327614936</v>
          </cell>
          <cell r="G42">
            <v>-44891.739809201012</v>
          </cell>
          <cell r="H42">
            <v>500574.23392196541</v>
          </cell>
          <cell r="I42">
            <v>106271.24087374334</v>
          </cell>
          <cell r="J42">
            <v>153595.21126626947</v>
          </cell>
          <cell r="K42">
            <v>249659.00187340839</v>
          </cell>
        </row>
        <row r="43">
          <cell r="B43">
            <v>45204458.141799726</v>
          </cell>
          <cell r="C43">
            <v>6162980.1042329445</v>
          </cell>
          <cell r="D43">
            <v>3695458.1667691735</v>
          </cell>
          <cell r="E43">
            <v>1317124.2942982812</v>
          </cell>
          <cell r="F43">
            <v>2146303.1394515443</v>
          </cell>
          <cell r="G43">
            <v>-105320.1670733677</v>
          </cell>
          <cell r="H43">
            <v>1174393.3777874841</v>
          </cell>
          <cell r="I43">
            <v>249322.14459691616</v>
          </cell>
          <cell r="J43">
            <v>879785.09241748927</v>
          </cell>
          <cell r="K43">
            <v>585723.07289565878</v>
          </cell>
        </row>
        <row r="44">
          <cell r="B44">
            <v>935515783.68105149</v>
          </cell>
          <cell r="C44">
            <v>127544171.50486536</v>
          </cell>
          <cell r="D44">
            <v>0</v>
          </cell>
          <cell r="E44">
            <v>27258164.726156171</v>
          </cell>
          <cell r="F44">
            <v>44418195.595280111</v>
          </cell>
          <cell r="G44">
            <v>-2179623.0435500611</v>
          </cell>
          <cell r="H44">
            <v>24304318.342326984</v>
          </cell>
          <cell r="I44">
            <v>5159774.3027904434</v>
          </cell>
          <cell r="J44">
            <v>16093176.432151731</v>
          </cell>
          <cell r="K44">
            <v>12121662.37766212</v>
          </cell>
        </row>
        <row r="45">
          <cell r="B45">
            <v>4831566.9403561661</v>
          </cell>
          <cell r="C45">
            <v>658714.9177251301</v>
          </cell>
          <cell r="D45">
            <v>1883696.4934321058</v>
          </cell>
          <cell r="E45">
            <v>140777.57943053535</v>
          </cell>
          <cell r="F45">
            <v>229402.31381664937</v>
          </cell>
          <cell r="G45">
            <v>-11256.886119246205</v>
          </cell>
          <cell r="H45">
            <v>125522.13769031836</v>
          </cell>
          <cell r="I45">
            <v>26648.182078733364</v>
          </cell>
          <cell r="J45">
            <v>69381.68979429231</v>
          </cell>
          <cell r="K45">
            <v>62603.565036203319</v>
          </cell>
        </row>
        <row r="46">
          <cell r="B46">
            <v>20342004.441485699</v>
          </cell>
          <cell r="C46">
            <v>2773340.8120906041</v>
          </cell>
          <cell r="D46">
            <v>2571322.9349585981</v>
          </cell>
          <cell r="E46">
            <v>592705.88225079095</v>
          </cell>
          <cell r="F46">
            <v>965836.33097741578</v>
          </cell>
          <cell r="G46">
            <v>-47394.071170237141</v>
          </cell>
          <cell r="H46">
            <v>528476.97525908856</v>
          </cell>
          <cell r="I46">
            <v>112194.95556924927</v>
          </cell>
          <cell r="J46">
            <v>1390078.524397691</v>
          </cell>
          <cell r="K46">
            <v>263575.3604865527</v>
          </cell>
        </row>
        <row r="47">
          <cell r="B47">
            <v>10247606.604376556</v>
          </cell>
          <cell r="C47">
            <v>1397114.3160408742</v>
          </cell>
          <cell r="D47">
            <v>789996.78610774409</v>
          </cell>
          <cell r="E47">
            <v>298584.96643620002</v>
          </cell>
          <cell r="F47">
            <v>486555.33394171816</v>
          </cell>
          <cell r="G47">
            <v>-23875.513257775241</v>
          </cell>
          <cell r="H47">
            <v>266228.63825952669</v>
          </cell>
          <cell r="I47">
            <v>56519.984103651172</v>
          </cell>
          <cell r="J47">
            <v>106760.94373147277</v>
          </cell>
          <cell r="K47">
            <v>132780.25833896914</v>
          </cell>
        </row>
        <row r="48">
          <cell r="B48">
            <v>11483205.008738784</v>
          </cell>
          <cell r="C48">
            <v>1565570.4528010881</v>
          </cell>
          <cell r="D48">
            <v>1330139.7641830356</v>
          </cell>
          <cell r="E48">
            <v>334586.65174070367</v>
          </cell>
          <cell r="F48">
            <v>545221.42227453552</v>
          </cell>
          <cell r="G48">
            <v>-26754.287514394069</v>
          </cell>
          <cell r="H48">
            <v>298328.98064469505</v>
          </cell>
          <cell r="I48">
            <v>63334.843891811288</v>
          </cell>
          <cell r="J48">
            <v>61067.058584709026</v>
          </cell>
          <cell r="K48">
            <v>148790.15037213586</v>
          </cell>
        </row>
        <row r="49">
          <cell r="B49">
            <v>33038981.374004856</v>
          </cell>
          <cell r="C49">
            <v>4504391.6737900777</v>
          </cell>
          <cell r="D49">
            <v>2399766.1057866868</v>
          </cell>
          <cell r="E49">
            <v>962658.2601668518</v>
          </cell>
          <cell r="F49">
            <v>1568687.5224755104</v>
          </cell>
          <cell r="G49">
            <v>-76976.280244945316</v>
          </cell>
          <cell r="H49">
            <v>858339.25522927556</v>
          </cell>
          <cell r="I49">
            <v>182224.27676547095</v>
          </cell>
          <cell r="J49">
            <v>472403.20676565671</v>
          </cell>
          <cell r="K49">
            <v>428092.59288146201</v>
          </cell>
        </row>
        <row r="50">
          <cell r="B50">
            <v>28431775.587601416</v>
          </cell>
          <cell r="C50">
            <v>3876265.1843928788</v>
          </cell>
          <cell r="D50">
            <v>1127629.7066891484</v>
          </cell>
          <cell r="E50">
            <v>828417.90159274079</v>
          </cell>
          <cell r="F50">
            <v>1349937.8537495104</v>
          </cell>
          <cell r="G50">
            <v>-66242.12474100593</v>
          </cell>
          <cell r="H50">
            <v>738645.92877275893</v>
          </cell>
          <cell r="I50">
            <v>156813.54352181181</v>
          </cell>
          <cell r="J50">
            <v>887291.27799839084</v>
          </cell>
          <cell r="K50">
            <v>368396.11953341437</v>
          </cell>
        </row>
        <row r="51">
          <cell r="B51">
            <v>257266349.1684038</v>
          </cell>
          <cell r="C51">
            <v>35074580.176139988</v>
          </cell>
          <cell r="D51">
            <v>7885795.3041220615</v>
          </cell>
          <cell r="E51">
            <v>7495980.983384449</v>
          </cell>
          <cell r="F51">
            <v>12214980.459743625</v>
          </cell>
          <cell r="G51">
            <v>-599395.19221262576</v>
          </cell>
          <cell r="H51">
            <v>6683674.7792262612</v>
          </cell>
          <cell r="I51">
            <v>1418935.2232932616</v>
          </cell>
          <cell r="J51">
            <v>5545835.2480500247</v>
          </cell>
          <cell r="K51">
            <v>3333450.7874175282</v>
          </cell>
        </row>
        <row r="52">
          <cell r="B52">
            <v>497104151.42901373</v>
          </cell>
          <cell r="C52">
            <v>67773027.726124182</v>
          </cell>
          <cell r="D52">
            <v>13085721.206464767</v>
          </cell>
          <cell r="E52">
            <v>14484145.625412382</v>
          </cell>
          <cell r="F52">
            <v>23602455.26004684</v>
          </cell>
          <cell r="G52">
            <v>-1158184.2683997715</v>
          </cell>
          <cell r="H52">
            <v>12914563.021143157</v>
          </cell>
          <cell r="I52">
            <v>2741744.469838202</v>
          </cell>
          <cell r="J52">
            <v>4184744.2523686388</v>
          </cell>
          <cell r="K52">
            <v>6441076.457787592</v>
          </cell>
        </row>
        <row r="53">
          <cell r="B53">
            <v>133952081.5458426</v>
          </cell>
          <cell r="C53">
            <v>18262446.834292471</v>
          </cell>
          <cell r="D53">
            <v>3800746.2713808804</v>
          </cell>
          <cell r="E53">
            <v>3902967.7188567114</v>
          </cell>
          <cell r="F53">
            <v>6360031.3990284</v>
          </cell>
          <cell r="G53">
            <v>-312089.91741432348</v>
          </cell>
          <cell r="H53">
            <v>3480020.4222074887</v>
          </cell>
          <cell r="I53">
            <v>738803.68479295378</v>
          </cell>
          <cell r="J53">
            <v>3627842.5383160557</v>
          </cell>
          <cell r="K53">
            <v>1735643.519444189</v>
          </cell>
        </row>
        <row r="54">
          <cell r="B54">
            <v>42696803.434087068</v>
          </cell>
          <cell r="C54">
            <v>5821097.3186138738</v>
          </cell>
          <cell r="D54">
            <v>5205663.8722520899</v>
          </cell>
          <cell r="E54">
            <v>1244058.6482755127</v>
          </cell>
          <cell r="F54">
            <v>2027239.9453979626</v>
          </cell>
          <cell r="G54">
            <v>-99477.676672307032</v>
          </cell>
          <cell r="H54">
            <v>1109245.5316773194</v>
          </cell>
          <cell r="I54">
            <v>235491.34393397562</v>
          </cell>
          <cell r="J54">
            <v>830137.82577742415</v>
          </cell>
          <cell r="K54">
            <v>553230.89664712735</v>
          </cell>
        </row>
        <row r="55">
          <cell r="B55">
            <v>8578896.2209360879</v>
          </cell>
          <cell r="C55">
            <v>1169609.5672700687</v>
          </cell>
          <cell r="D55">
            <v>3410436.4209548444</v>
          </cell>
          <cell r="E55">
            <v>249963.6782596499</v>
          </cell>
          <cell r="F55">
            <v>407325.13227490807</v>
          </cell>
          <cell r="G55">
            <v>-19987.647688637895</v>
          </cell>
          <cell r="H55">
            <v>222876.2233802168</v>
          </cell>
          <cell r="I55">
            <v>47316.32436271492</v>
          </cell>
          <cell r="J55">
            <v>101729.36352308812</v>
          </cell>
          <cell r="K55">
            <v>111158.44903653978</v>
          </cell>
        </row>
        <row r="56">
          <cell r="B56">
            <v>11819240.387481418</v>
          </cell>
          <cell r="C56">
            <v>1611384.0614282035</v>
          </cell>
          <cell r="D56">
            <v>2875042.6570964395</v>
          </cell>
          <cell r="E56">
            <v>344377.72941930947</v>
          </cell>
          <cell r="F56">
            <v>561176.34835947375</v>
          </cell>
          <cell r="G56">
            <v>-27537.203706436881</v>
          </cell>
          <cell r="H56">
            <v>307059.0426721999</v>
          </cell>
          <cell r="I56">
            <v>65188.224393038428</v>
          </cell>
          <cell r="J56">
            <v>89142.802810697365</v>
          </cell>
          <cell r="K56">
            <v>153144.22699929914</v>
          </cell>
        </row>
      </sheetData>
      <sheetData sheetId="3">
        <row r="6">
          <cell r="B6">
            <v>4451471.1953385016</v>
          </cell>
          <cell r="C6">
            <v>606894.30952539644</v>
          </cell>
          <cell r="D6">
            <v>3956588.660770095</v>
          </cell>
          <cell r="E6">
            <v>129702.71291290654</v>
          </cell>
          <cell r="F6">
            <v>211355.40595936371</v>
          </cell>
          <cell r="G6">
            <v>-10371.315336745885</v>
          </cell>
          <cell r="H6">
            <v>115647.40532490186</v>
          </cell>
          <cell r="I6">
            <v>24551.78959455185</v>
          </cell>
          <cell r="J6">
            <v>36600.596036112263</v>
          </cell>
          <cell r="K6">
            <v>57678.589559936117</v>
          </cell>
        </row>
        <row r="7">
          <cell r="B7">
            <v>8817373.4588332176</v>
          </cell>
          <cell r="C7">
            <v>1202122.5213654835</v>
          </cell>
          <cell r="D7">
            <v>2138763.6422230825</v>
          </cell>
          <cell r="E7">
            <v>256912.20007770069</v>
          </cell>
          <cell r="F7">
            <v>418648.00761567109</v>
          </cell>
          <cell r="G7">
            <v>-20543.266837079718</v>
          </cell>
          <cell r="H7">
            <v>229071.76471512037</v>
          </cell>
          <cell r="I7">
            <v>48631.629508139988</v>
          </cell>
          <cell r="J7">
            <v>81213.823774807999</v>
          </cell>
          <cell r="K7">
            <v>114248.44560631648</v>
          </cell>
        </row>
        <row r="8">
          <cell r="B8">
            <v>9172670.2449023556</v>
          </cell>
          <cell r="C8">
            <v>1250562.1468726243</v>
          </cell>
          <cell r="D8">
            <v>1830881.8995668003</v>
          </cell>
          <cell r="E8">
            <v>267264.49823267042</v>
          </cell>
          <cell r="F8">
            <v>435517.46338893025</v>
          </cell>
          <cell r="G8">
            <v>-21371.059457711326</v>
          </cell>
          <cell r="H8">
            <v>238302.23024575223</v>
          </cell>
          <cell r="I8">
            <v>50591.245004321274</v>
          </cell>
          <cell r="J8">
            <v>72085.575006329454</v>
          </cell>
          <cell r="K8">
            <v>118852.09608418684</v>
          </cell>
        </row>
        <row r="9">
          <cell r="B9">
            <v>25371003.878712565</v>
          </cell>
          <cell r="C9">
            <v>3458972.8216283671</v>
          </cell>
          <cell r="D9">
            <v>5628058.5334915463</v>
          </cell>
          <cell r="E9">
            <v>739236.06106647209</v>
          </cell>
          <cell r="F9">
            <v>1204612.7199468764</v>
          </cell>
          <cell r="G9">
            <v>-59110.947839329281</v>
          </cell>
          <cell r="H9">
            <v>659128.32865989441</v>
          </cell>
          <cell r="I9">
            <v>139932.06328842539</v>
          </cell>
          <cell r="J9">
            <v>527745.49053073942</v>
          </cell>
          <cell r="K9">
            <v>328737.09729408484</v>
          </cell>
        </row>
        <row r="10">
          <cell r="B10">
            <v>32042973.059732206</v>
          </cell>
          <cell r="C10">
            <v>4368600.2125749532</v>
          </cell>
          <cell r="D10">
            <v>5035665.9065745482</v>
          </cell>
          <cell r="E10">
            <v>933637.52190390334</v>
          </cell>
          <cell r="F10">
            <v>1521397.1475939562</v>
          </cell>
          <cell r="G10">
            <v>-74655.717929241771</v>
          </cell>
          <cell r="H10">
            <v>832463.3656248945</v>
          </cell>
          <cell r="I10">
            <v>176730.85998405857</v>
          </cell>
          <cell r="J10">
            <v>333652.79005707364</v>
          </cell>
          <cell r="K10">
            <v>415187.11686324701</v>
          </cell>
        </row>
        <row r="11">
          <cell r="B11">
            <v>218611177.24677378</v>
          </cell>
          <cell r="C11">
            <v>29804501.399143834</v>
          </cell>
          <cell r="D11">
            <v>7094859.5258086789</v>
          </cell>
          <cell r="E11">
            <v>6369683.5310724005</v>
          </cell>
          <cell r="F11">
            <v>10379636.773260703</v>
          </cell>
          <cell r="G11">
            <v>-509333.960812281</v>
          </cell>
          <cell r="H11">
            <v>5679429.1851391206</v>
          </cell>
          <cell r="I11">
            <v>1205735.2257834678</v>
          </cell>
          <cell r="J11">
            <v>7634466.2251130287</v>
          </cell>
          <cell r="K11">
            <v>2832588.1067893272</v>
          </cell>
        </row>
        <row r="12">
          <cell r="B12">
            <v>36577260.722134121</v>
          </cell>
          <cell r="C12">
            <v>4986785.3606546717</v>
          </cell>
          <cell r="D12">
            <v>0</v>
          </cell>
          <cell r="E12">
            <v>1065753.261876995</v>
          </cell>
          <cell r="F12">
            <v>1736684.6711046223</v>
          </cell>
          <cell r="G12">
            <v>-85219.984238216639</v>
          </cell>
          <cell r="H12">
            <v>950262.30897257139</v>
          </cell>
          <cell r="I12">
            <v>201739.41822544209</v>
          </cell>
          <cell r="J12">
            <v>381911.60101093468</v>
          </cell>
          <cell r="K12">
            <v>473938.77570813248</v>
          </cell>
        </row>
        <row r="13">
          <cell r="B13">
            <v>5815978.2960618269</v>
          </cell>
          <cell r="C13">
            <v>792925.2998198336</v>
          </cell>
          <cell r="D13">
            <v>2767865.418834541</v>
          </cell>
          <cell r="E13">
            <v>169460.41659929013</v>
          </cell>
          <cell r="F13">
            <v>276142.06626839045</v>
          </cell>
          <cell r="G13">
            <v>-13550.429117297788</v>
          </cell>
          <cell r="H13">
            <v>151096.74304302619</v>
          </cell>
          <cell r="I13">
            <v>32077.636616164116</v>
          </cell>
          <cell r="J13">
            <v>67572.611395113985</v>
          </cell>
          <cell r="K13">
            <v>75358.776976773777</v>
          </cell>
        </row>
        <row r="14">
          <cell r="B14">
            <v>57811962.326231837</v>
          </cell>
          <cell r="C14">
            <v>7881832.6388426041</v>
          </cell>
          <cell r="D14">
            <v>1875171.4256160962</v>
          </cell>
          <cell r="E14">
            <v>1684469.7007998545</v>
          </cell>
          <cell r="F14">
            <v>2744906.1738428287</v>
          </cell>
          <cell r="G14">
            <v>-134693.91695700493</v>
          </cell>
          <cell r="H14">
            <v>1501931.1922698589</v>
          </cell>
          <cell r="I14">
            <v>318857.98487658607</v>
          </cell>
          <cell r="J14">
            <v>1303485.2654612577</v>
          </cell>
          <cell r="K14">
            <v>749080.98926059669</v>
          </cell>
        </row>
        <row r="15">
          <cell r="B15">
            <v>9605389.0147261824</v>
          </cell>
          <cell r="C15">
            <v>1309557.1504359217</v>
          </cell>
          <cell r="D15">
            <v>2272583.0550192515</v>
          </cell>
          <cell r="E15">
            <v>279872.64414929657</v>
          </cell>
          <cell r="F15">
            <v>456062.90718695457</v>
          </cell>
          <cell r="G15">
            <v>-22379.234646774948</v>
          </cell>
          <cell r="H15">
            <v>249544.08732390494</v>
          </cell>
          <cell r="I15">
            <v>52977.87623793527</v>
          </cell>
          <cell r="J15">
            <v>750723.7554574227</v>
          </cell>
          <cell r="K15">
            <v>124458.91846364763</v>
          </cell>
        </row>
        <row r="16">
          <cell r="B16">
            <v>13955204.407174697</v>
          </cell>
          <cell r="C16">
            <v>1902592.1479278551</v>
          </cell>
          <cell r="D16">
            <v>6460250.7680892935</v>
          </cell>
          <cell r="E16">
            <v>406613.4074415972</v>
          </cell>
          <cell r="F16">
            <v>662591.70581918617</v>
          </cell>
          <cell r="G16">
            <v>-32513.705951218391</v>
          </cell>
          <cell r="H16">
            <v>362550.51636825543</v>
          </cell>
          <cell r="I16">
            <v>76968.990097634844</v>
          </cell>
          <cell r="J16">
            <v>140909.51931658719</v>
          </cell>
          <cell r="K16">
            <v>180820.33375153242</v>
          </cell>
        </row>
        <row r="17">
          <cell r="B17">
            <v>29349836.78239049</v>
          </cell>
          <cell r="C17">
            <v>4001429.672820217</v>
          </cell>
          <cell r="D17">
            <v>2228898.6932610013</v>
          </cell>
          <cell r="E17">
            <v>855167.4911910966</v>
          </cell>
          <cell r="F17">
            <v>1393527.3072145523</v>
          </cell>
          <cell r="G17">
            <v>-68381.080994290896</v>
          </cell>
          <cell r="H17">
            <v>762496.78401765332</v>
          </cell>
          <cell r="I17">
            <v>161877.04821504396</v>
          </cell>
          <cell r="J17">
            <v>256405.617423627</v>
          </cell>
          <cell r="K17">
            <v>380291.61936290766</v>
          </cell>
        </row>
        <row r="18">
          <cell r="B18">
            <v>14933477.311025152</v>
          </cell>
          <cell r="C18">
            <v>2035965.6400738782</v>
          </cell>
          <cell r="D18">
            <v>1997552.8633960839</v>
          </cell>
          <cell r="E18">
            <v>435117.38826741098</v>
          </cell>
          <cell r="F18">
            <v>709040.00519240857</v>
          </cell>
          <cell r="G18">
            <v>-34792.947201134113</v>
          </cell>
          <cell r="H18">
            <v>387965.64724643226</v>
          </cell>
          <cell r="I18">
            <v>82364.588417250881</v>
          </cell>
          <cell r="J18">
            <v>626238.9963017588</v>
          </cell>
          <cell r="K18">
            <v>193496.00856166822</v>
          </cell>
        </row>
        <row r="19">
          <cell r="B19">
            <v>81796223.034550026</v>
          </cell>
          <cell r="C19">
            <v>11151742.900711657</v>
          </cell>
          <cell r="D19">
            <v>1313090.4295020949</v>
          </cell>
          <cell r="E19">
            <v>2383300.1648354065</v>
          </cell>
          <cell r="F19">
            <v>3883676.4671225389</v>
          </cell>
          <cell r="G19">
            <v>-190573.94403326159</v>
          </cell>
          <cell r="H19">
            <v>2125032.4991945396</v>
          </cell>
          <cell r="I19">
            <v>451141.55959861167</v>
          </cell>
          <cell r="J19">
            <v>857450.6018534936</v>
          </cell>
          <cell r="K19">
            <v>1059849.7820009014</v>
          </cell>
        </row>
        <row r="20">
          <cell r="B20">
            <v>10442172.106353445</v>
          </cell>
          <cell r="C20">
            <v>1423640.5341827273</v>
          </cell>
          <cell r="D20">
            <v>1184824.8740071733</v>
          </cell>
          <cell r="E20">
            <v>304254.03006444278</v>
          </cell>
          <cell r="F20">
            <v>495793.28446447453</v>
          </cell>
          <cell r="G20">
            <v>-24328.824104033814</v>
          </cell>
          <cell r="H20">
            <v>271283.37061249051</v>
          </cell>
          <cell r="I20">
            <v>57593.097026834235</v>
          </cell>
          <cell r="J20">
            <v>81409.31344399818</v>
          </cell>
          <cell r="K20">
            <v>135301.28189244054</v>
          </cell>
        </row>
        <row r="21">
          <cell r="B21">
            <v>7271648.7347020423</v>
          </cell>
          <cell r="C21">
            <v>991385.10490184883</v>
          </cell>
          <cell r="D21">
            <v>2443708.0839374913</v>
          </cell>
          <cell r="E21">
            <v>211874.35049073462</v>
          </cell>
          <cell r="F21">
            <v>345257.15271981526</v>
          </cell>
          <cell r="G21">
            <v>-16941.940930589179</v>
          </cell>
          <cell r="H21">
            <v>188914.46708293233</v>
          </cell>
          <cell r="I21">
            <v>40106.288888682269</v>
          </cell>
          <cell r="J21">
            <v>55133.678772750958</v>
          </cell>
          <cell r="K21">
            <v>94220.185729184348</v>
          </cell>
        </row>
        <row r="22">
          <cell r="B22">
            <v>63773335.293920271</v>
          </cell>
          <cell r="C22">
            <v>8694580.4186860994</v>
          </cell>
          <cell r="D22">
            <v>1157662.2312747599</v>
          </cell>
          <cell r="E22">
            <v>1858166.4883707911</v>
          </cell>
          <cell r="F22">
            <v>3027951.5645398148</v>
          </cell>
          <cell r="G22">
            <v>-148583.09565203809</v>
          </cell>
          <cell r="H22">
            <v>1656805.2295564804</v>
          </cell>
          <cell r="I22">
            <v>351737.53601253493</v>
          </cell>
          <cell r="J22">
            <v>778266.46783492644</v>
          </cell>
          <cell r="K22">
            <v>826323.67365156079</v>
          </cell>
        </row>
        <row r="23">
          <cell r="B23">
            <v>78220185.614738718</v>
          </cell>
          <cell r="C23">
            <v>10664201.441832615</v>
          </cell>
          <cell r="D23">
            <v>2676199.3545421083</v>
          </cell>
          <cell r="E23">
            <v>2279105.0045222719</v>
          </cell>
          <cell r="F23">
            <v>3713886.569036358</v>
          </cell>
          <cell r="G23">
            <v>-182242.26892870196</v>
          </cell>
          <cell r="H23">
            <v>2032128.5061553381</v>
          </cell>
          <cell r="I23">
            <v>431418.16603708715</v>
          </cell>
          <cell r="J23">
            <v>3691847.7764429511</v>
          </cell>
          <cell r="K23">
            <v>1013514.3603982049</v>
          </cell>
        </row>
        <row r="24">
          <cell r="B24">
            <v>12257257.1505138</v>
          </cell>
          <cell r="C24">
            <v>1671101.3704471765</v>
          </cell>
          <cell r="D24">
            <v>1014274.346876689</v>
          </cell>
          <cell r="E24">
            <v>357140.24319815228</v>
          </cell>
          <cell r="F24">
            <v>581973.34034375544</v>
          </cell>
          <cell r="G24">
            <v>-28557.722490641678</v>
          </cell>
          <cell r="H24">
            <v>318438.5394521752</v>
          </cell>
          <cell r="I24">
            <v>67604.076351402036</v>
          </cell>
          <cell r="J24">
            <v>111888.11820796075</v>
          </cell>
          <cell r="K24">
            <v>158819.696520875</v>
          </cell>
        </row>
        <row r="25">
          <cell r="B25">
            <v>167549451.18713591</v>
          </cell>
          <cell r="C25">
            <v>22842966.746827073</v>
          </cell>
          <cell r="D25">
            <v>3863775.4156519501</v>
          </cell>
          <cell r="E25">
            <v>4881895.7626406942</v>
          </cell>
          <cell r="F25">
            <v>7955231.1404393669</v>
          </cell>
          <cell r="G25">
            <v>-390367.16548456933</v>
          </cell>
          <cell r="H25">
            <v>4352866.3767822292</v>
          </cell>
          <cell r="I25">
            <v>924107.7144421204</v>
          </cell>
          <cell r="J25">
            <v>5330961.7900180509</v>
          </cell>
          <cell r="K25">
            <v>2170971.25915031</v>
          </cell>
        </row>
        <row r="26">
          <cell r="B26">
            <v>24738043.181812163</v>
          </cell>
          <cell r="C26">
            <v>3372677.7007019762</v>
          </cell>
          <cell r="D26">
            <v>2418953.473764509</v>
          </cell>
          <cell r="E26">
            <v>720793.45727265312</v>
          </cell>
          <cell r="F26">
            <v>1174559.8095315967</v>
          </cell>
          <cell r="G26">
            <v>-57636.236514634009</v>
          </cell>
          <cell r="H26">
            <v>642684.26802083501</v>
          </cell>
          <cell r="I26">
            <v>136441.0111912686</v>
          </cell>
          <cell r="J26">
            <v>281033.98608533927</v>
          </cell>
          <cell r="K26">
            <v>320535.70080244401</v>
          </cell>
        </row>
        <row r="27">
          <cell r="B27">
            <v>3967992.6180170868</v>
          </cell>
          <cell r="C27">
            <v>540978.93357933499</v>
          </cell>
          <cell r="D27">
            <v>2798931.7788193896</v>
          </cell>
          <cell r="E27">
            <v>115615.57624233184</v>
          </cell>
          <cell r="F27">
            <v>188399.89159156763</v>
          </cell>
          <cell r="G27">
            <v>-9244.8767810583704</v>
          </cell>
          <cell r="H27">
            <v>103086.82915944274</v>
          </cell>
          <cell r="I27">
            <v>21885.196061092851</v>
          </cell>
          <cell r="J27">
            <v>25580.203100691953</v>
          </cell>
          <cell r="K27">
            <v>51414.062351145949</v>
          </cell>
        </row>
        <row r="28">
          <cell r="B28">
            <v>18375740.127104592</v>
          </cell>
          <cell r="C28">
            <v>2505268.8486753707</v>
          </cell>
          <cell r="D28">
            <v>68449.961482072496</v>
          </cell>
          <cell r="E28">
            <v>535414.75204059703</v>
          </cell>
          <cell r="F28">
            <v>872478.29850837111</v>
          </cell>
          <cell r="G28">
            <v>-42812.945887164024</v>
          </cell>
          <cell r="H28">
            <v>477394.23066461732</v>
          </cell>
          <cell r="I28">
            <v>101350.15716091324</v>
          </cell>
          <cell r="J28">
            <v>173565.34305404359</v>
          </cell>
          <cell r="K28">
            <v>238098.0862599331</v>
          </cell>
        </row>
        <row r="29">
          <cell r="B29">
            <v>17904850.038790468</v>
          </cell>
          <cell r="C29">
            <v>2441069.7328169961</v>
          </cell>
          <cell r="D29">
            <v>3337927.5764911803</v>
          </cell>
          <cell r="E29">
            <v>521694.40673046734</v>
          </cell>
          <cell r="F29">
            <v>850120.48433626257</v>
          </cell>
          <cell r="G29">
            <v>-41715.836778614008</v>
          </cell>
          <cell r="H29">
            <v>465160.69830709719</v>
          </cell>
          <cell r="I29">
            <v>98752.994590804956</v>
          </cell>
          <cell r="J29">
            <v>981492.4268354727</v>
          </cell>
          <cell r="K29">
            <v>231996.67058411022</v>
          </cell>
        </row>
        <row r="30">
          <cell r="B30">
            <v>286562276.39871764</v>
          </cell>
          <cell r="C30">
            <v>39068660.054038778</v>
          </cell>
          <cell r="D30">
            <v>5834660.9230741374</v>
          </cell>
          <cell r="E30">
            <v>8349577.7095746221</v>
          </cell>
          <cell r="F30">
            <v>13605948.14683165</v>
          </cell>
          <cell r="G30">
            <v>-667650.67136884679</v>
          </cell>
          <cell r="H30">
            <v>7444771.0150776329</v>
          </cell>
          <cell r="I30">
            <v>1580514.9370043539</v>
          </cell>
          <cell r="J30">
            <v>7878941.2883046353</v>
          </cell>
          <cell r="K30">
            <v>3713043.8900898541</v>
          </cell>
        </row>
        <row r="31">
          <cell r="B31">
            <v>7378860.9326826427</v>
          </cell>
          <cell r="C31">
            <v>1006001.9517848014</v>
          </cell>
          <cell r="D31">
            <v>2321193.6320020752</v>
          </cell>
          <cell r="E31">
            <v>214998.19704061263</v>
          </cell>
          <cell r="F31">
            <v>350347.57712865213</v>
          </cell>
          <cell r="G31">
            <v>-17191.730598860388</v>
          </cell>
          <cell r="H31">
            <v>191699.79624076671</v>
          </cell>
          <cell r="I31">
            <v>40697.610546462645</v>
          </cell>
          <cell r="J31">
            <v>48648.558178123982</v>
          </cell>
          <cell r="K31">
            <v>95609.355307461592</v>
          </cell>
        </row>
        <row r="32">
          <cell r="B32">
            <v>12701568.115879536</v>
          </cell>
          <cell r="C32">
            <v>1731676.803760678</v>
          </cell>
          <cell r="D32">
            <v>1465295.0746126198</v>
          </cell>
          <cell r="E32">
            <v>370086.15142850002</v>
          </cell>
          <cell r="F32">
            <v>603069.1804236396</v>
          </cell>
          <cell r="G32">
            <v>-29592.905900164253</v>
          </cell>
          <cell r="H32">
            <v>329981.55704055307</v>
          </cell>
          <cell r="I32">
            <v>70054.643558853611</v>
          </cell>
          <cell r="J32">
            <v>216068.2488300367</v>
          </cell>
          <cell r="K32">
            <v>164576.72126252574</v>
          </cell>
        </row>
        <row r="33">
          <cell r="B33">
            <v>7289733.0888737123</v>
          </cell>
          <cell r="C33">
            <v>993850.64745095524</v>
          </cell>
          <cell r="D33">
            <v>3410794.3069982305</v>
          </cell>
          <cell r="E33">
            <v>212401.27511731646</v>
          </cell>
          <cell r="F33">
            <v>346115.79604237992</v>
          </cell>
          <cell r="G33">
            <v>-16984.074987296586</v>
          </cell>
          <cell r="H33">
            <v>189384.29122536874</v>
          </cell>
          <cell r="I33">
            <v>40206.031926229312</v>
          </cell>
          <cell r="J33">
            <v>60945.858223563329</v>
          </cell>
          <cell r="K33">
            <v>94454.508270194288</v>
          </cell>
        </row>
        <row r="34">
          <cell r="B34">
            <v>10168372.842209095</v>
          </cell>
          <cell r="C34">
            <v>1386311.9279602601</v>
          </cell>
          <cell r="D34">
            <v>2836729.820063171</v>
          </cell>
          <cell r="E34">
            <v>296276.32880687475</v>
          </cell>
          <cell r="F34">
            <v>482793.3228596003</v>
          </cell>
          <cell r="G34">
            <v>-23690.909494952739</v>
          </cell>
          <cell r="H34">
            <v>264170.17744810041</v>
          </cell>
          <cell r="I34">
            <v>56082.975624396626</v>
          </cell>
          <cell r="J34">
            <v>119083.12854462609</v>
          </cell>
          <cell r="K34">
            <v>131753.61086742484</v>
          </cell>
        </row>
        <row r="35">
          <cell r="B35">
            <v>9570845.2303871941</v>
          </cell>
          <cell r="C35">
            <v>1304847.6004411341</v>
          </cell>
          <cell r="D35">
            <v>1463123.9155649692</v>
          </cell>
          <cell r="E35">
            <v>278866.14037864725</v>
          </cell>
          <cell r="F35">
            <v>454422.77177060395</v>
          </cell>
          <cell r="G35">
            <v>-22298.752382691258</v>
          </cell>
          <cell r="H35">
            <v>248646.65390164888</v>
          </cell>
          <cell r="I35">
            <v>52787.352321757062</v>
          </cell>
          <cell r="J35">
            <v>93401.495822504512</v>
          </cell>
          <cell r="K35">
            <v>124011.32784218705</v>
          </cell>
        </row>
        <row r="36">
          <cell r="B36">
            <v>88907558.352945805</v>
          </cell>
          <cell r="C36">
            <v>12121271.568532946</v>
          </cell>
          <cell r="D36">
            <v>0</v>
          </cell>
          <cell r="E36">
            <v>2590503.4562315587</v>
          </cell>
          <cell r="F36">
            <v>4221321.9549124269</v>
          </cell>
          <cell r="G36">
            <v>-207142.37676391806</v>
          </cell>
          <cell r="H36">
            <v>2309782.0891343816</v>
          </cell>
          <cell r="I36">
            <v>490363.65063592815</v>
          </cell>
          <cell r="J36">
            <v>4583588.440497335</v>
          </cell>
          <cell r="K36">
            <v>1151992.755200942</v>
          </cell>
        </row>
        <row r="37">
          <cell r="B37">
            <v>17326066.080589347</v>
          </cell>
          <cell r="C37">
            <v>2362160.8338793414</v>
          </cell>
          <cell r="D37">
            <v>2375818.9119819338</v>
          </cell>
          <cell r="E37">
            <v>504830.35296600231</v>
          </cell>
          <cell r="F37">
            <v>822639.88004155969</v>
          </cell>
          <cell r="G37">
            <v>-40367.349800052914</v>
          </cell>
          <cell r="H37">
            <v>450124.12723375653</v>
          </cell>
          <cell r="I37">
            <v>95560.750647423614</v>
          </cell>
          <cell r="J37">
            <v>149116.12817370653</v>
          </cell>
          <cell r="K37">
            <v>224497.25277277714</v>
          </cell>
        </row>
        <row r="38">
          <cell r="B38">
            <v>63524415.76927577</v>
          </cell>
          <cell r="C38">
            <v>8660643.8084268421</v>
          </cell>
          <cell r="D38">
            <v>1817864.356718288</v>
          </cell>
          <cell r="E38">
            <v>1850913.7091823753</v>
          </cell>
          <cell r="F38">
            <v>3016132.8904714431</v>
          </cell>
          <cell r="G38">
            <v>-148003.14741239444</v>
          </cell>
          <cell r="H38">
            <v>1650338.4018726374</v>
          </cell>
          <cell r="I38">
            <v>350364.63713778817</v>
          </cell>
          <cell r="J38">
            <v>1164073.504837848</v>
          </cell>
          <cell r="K38">
            <v>823098.37431446533</v>
          </cell>
        </row>
        <row r="39">
          <cell r="B39">
            <v>13553966.472479464</v>
          </cell>
          <cell r="C39">
            <v>1847889.1051254538</v>
          </cell>
          <cell r="D39">
            <v>5934188.7402766626</v>
          </cell>
          <cell r="E39">
            <v>394922.52000913658</v>
          </cell>
          <cell r="F39">
            <v>643540.96891615679</v>
          </cell>
          <cell r="G39">
            <v>-31578.876776057918</v>
          </cell>
          <cell r="H39">
            <v>352126.51854164532</v>
          </cell>
          <cell r="I39">
            <v>74755.989290102763</v>
          </cell>
          <cell r="J39">
            <v>141816.18374423031</v>
          </cell>
          <cell r="K39">
            <v>175621.41475697677</v>
          </cell>
        </row>
        <row r="40">
          <cell r="B40">
            <v>13028117.56827944</v>
          </cell>
          <cell r="C40">
            <v>1776197.1422608278</v>
          </cell>
          <cell r="D40">
            <v>2433519.441032805</v>
          </cell>
          <cell r="E40">
            <v>379600.83725210914</v>
          </cell>
          <cell r="F40">
            <v>618573.71567707765</v>
          </cell>
          <cell r="G40">
            <v>-30353.721189147283</v>
          </cell>
          <cell r="H40">
            <v>338465.17857220821</v>
          </cell>
          <cell r="I40">
            <v>71855.70507216503</v>
          </cell>
          <cell r="J40">
            <v>95929.500001521083</v>
          </cell>
          <cell r="K40">
            <v>168807.88687260979</v>
          </cell>
        </row>
        <row r="41">
          <cell r="B41">
            <v>13679365.325356225</v>
          </cell>
          <cell r="C41">
            <v>1864985.4417953647</v>
          </cell>
          <cell r="D41">
            <v>453530.86858229403</v>
          </cell>
          <cell r="E41">
            <v>398576.27192632615</v>
          </cell>
          <cell r="F41">
            <v>649494.89387569833</v>
          </cell>
          <cell r="G41">
            <v>-31871.038847647415</v>
          </cell>
          <cell r="H41">
            <v>355384.32957299659</v>
          </cell>
          <cell r="I41">
            <v>75447.618218186675</v>
          </cell>
          <cell r="J41">
            <v>154196.30670661019</v>
          </cell>
          <cell r="K41">
            <v>177246.23240691226</v>
          </cell>
        </row>
        <row r="42">
          <cell r="B42">
            <v>19267979.053849619</v>
          </cell>
          <cell r="C42">
            <v>2626912.8408785881</v>
          </cell>
          <cell r="D42">
            <v>4679432.4541276302</v>
          </cell>
          <cell r="E42">
            <v>561411.95707396127</v>
          </cell>
          <cell r="F42">
            <v>914841.71327614936</v>
          </cell>
          <cell r="G42">
            <v>-44891.739809201012</v>
          </cell>
          <cell r="H42">
            <v>500574.23392196541</v>
          </cell>
          <cell r="I42">
            <v>106271.24087374334</v>
          </cell>
          <cell r="J42">
            <v>162409.77489593736</v>
          </cell>
          <cell r="K42">
            <v>249659.00187340839</v>
          </cell>
        </row>
        <row r="43">
          <cell r="B43">
            <v>45204458.141799718</v>
          </cell>
          <cell r="C43">
            <v>6162980.1042329436</v>
          </cell>
          <cell r="D43">
            <v>2752040.0967826825</v>
          </cell>
          <cell r="E43">
            <v>1317124.294298281</v>
          </cell>
          <cell r="F43">
            <v>2146303.1394515438</v>
          </cell>
          <cell r="G43">
            <v>-105320.16707336769</v>
          </cell>
          <cell r="H43">
            <v>1174393.3777874841</v>
          </cell>
          <cell r="I43">
            <v>249322.14459691613</v>
          </cell>
          <cell r="J43">
            <v>880820.49114304408</v>
          </cell>
          <cell r="K43">
            <v>585723.07289565878</v>
          </cell>
        </row>
        <row r="44">
          <cell r="B44">
            <v>935515783.68105149</v>
          </cell>
          <cell r="C44">
            <v>127544171.50486536</v>
          </cell>
          <cell r="D44">
            <v>0</v>
          </cell>
          <cell r="E44">
            <v>27258164.726156171</v>
          </cell>
          <cell r="F44">
            <v>44418195.595280111</v>
          </cell>
          <cell r="G44">
            <v>-2179623.0435500611</v>
          </cell>
          <cell r="H44">
            <v>24304318.342326984</v>
          </cell>
          <cell r="I44">
            <v>5159774.3027904434</v>
          </cell>
          <cell r="J44">
            <v>16155927.639278878</v>
          </cell>
          <cell r="K44">
            <v>12121662.37766212</v>
          </cell>
        </row>
        <row r="45">
          <cell r="B45">
            <v>4831566.940356194</v>
          </cell>
          <cell r="C45">
            <v>658714.91772513406</v>
          </cell>
          <cell r="D45">
            <v>1838516.4120863019</v>
          </cell>
          <cell r="E45">
            <v>140777.57943053616</v>
          </cell>
          <cell r="F45">
            <v>229402.31381665074</v>
          </cell>
          <cell r="G45">
            <v>-11256.886119246272</v>
          </cell>
          <cell r="H45">
            <v>125522.1376903191</v>
          </cell>
          <cell r="I45">
            <v>26648.18207873352</v>
          </cell>
          <cell r="J45">
            <v>31947.739148656397</v>
          </cell>
          <cell r="K45">
            <v>62603.56503620369</v>
          </cell>
        </row>
        <row r="46">
          <cell r="B46">
            <v>20342004.441485729</v>
          </cell>
          <cell r="C46">
            <v>2773340.8120906078</v>
          </cell>
          <cell r="D46">
            <v>1965923.0520503088</v>
          </cell>
          <cell r="E46">
            <v>592705.88225079176</v>
          </cell>
          <cell r="F46">
            <v>965836.33097741706</v>
          </cell>
          <cell r="G46">
            <v>-47394.071170237206</v>
          </cell>
          <cell r="H46">
            <v>528476.97525908926</v>
          </cell>
          <cell r="I46">
            <v>112194.95556924943</v>
          </cell>
          <cell r="J46">
            <v>1323300.765873713</v>
          </cell>
          <cell r="K46">
            <v>263575.36048655305</v>
          </cell>
        </row>
        <row r="47">
          <cell r="B47">
            <v>10247606.604376556</v>
          </cell>
          <cell r="C47">
            <v>1397114.316040874</v>
          </cell>
          <cell r="D47">
            <v>2434605.8450219934</v>
          </cell>
          <cell r="E47">
            <v>298584.96643619996</v>
          </cell>
          <cell r="F47">
            <v>486555.33394171804</v>
          </cell>
          <cell r="G47">
            <v>-23875.513257775237</v>
          </cell>
          <cell r="H47">
            <v>266228.63825952669</v>
          </cell>
          <cell r="I47">
            <v>56519.984103651157</v>
          </cell>
          <cell r="J47">
            <v>90600.694609845843</v>
          </cell>
          <cell r="K47">
            <v>132780.25833896914</v>
          </cell>
        </row>
        <row r="48">
          <cell r="B48">
            <v>11483205.008738784</v>
          </cell>
          <cell r="C48">
            <v>1565570.4528010879</v>
          </cell>
          <cell r="D48">
            <v>2255068.4045582078</v>
          </cell>
          <cell r="E48">
            <v>334586.65174070362</v>
          </cell>
          <cell r="F48">
            <v>545221.42227453541</v>
          </cell>
          <cell r="G48">
            <v>-26754.287514394066</v>
          </cell>
          <cell r="H48">
            <v>298328.98064469505</v>
          </cell>
          <cell r="I48">
            <v>63334.843891811281</v>
          </cell>
          <cell r="J48">
            <v>96389.607308665931</v>
          </cell>
          <cell r="K48">
            <v>148790.15037213583</v>
          </cell>
        </row>
        <row r="49">
          <cell r="B49">
            <v>33038981.374004848</v>
          </cell>
          <cell r="C49">
            <v>4504391.6737900767</v>
          </cell>
          <cell r="D49">
            <v>3792060.9025159464</v>
          </cell>
          <cell r="E49">
            <v>962658.26016685169</v>
          </cell>
          <cell r="F49">
            <v>1568687.5224755101</v>
          </cell>
          <cell r="G49">
            <v>-76976.280244945301</v>
          </cell>
          <cell r="H49">
            <v>858339.25522927544</v>
          </cell>
          <cell r="I49">
            <v>182224.27676547089</v>
          </cell>
          <cell r="J49">
            <v>471549.49395842268</v>
          </cell>
          <cell r="K49">
            <v>428092.59288146195</v>
          </cell>
        </row>
        <row r="50">
          <cell r="B50">
            <v>28431775.587601423</v>
          </cell>
          <cell r="C50">
            <v>3876265.1843928797</v>
          </cell>
          <cell r="D50">
            <v>1232240.895461505</v>
          </cell>
          <cell r="E50">
            <v>828417.90159274102</v>
          </cell>
          <cell r="F50">
            <v>1349937.8537495106</v>
          </cell>
          <cell r="G50">
            <v>-66242.124741005944</v>
          </cell>
          <cell r="H50">
            <v>738645.92877275904</v>
          </cell>
          <cell r="I50">
            <v>156813.54352181187</v>
          </cell>
          <cell r="J50">
            <v>853855.75714028417</v>
          </cell>
          <cell r="K50">
            <v>368396.11953341443</v>
          </cell>
        </row>
        <row r="51">
          <cell r="B51">
            <v>257266349.1684038</v>
          </cell>
          <cell r="C51">
            <v>35074580.176139988</v>
          </cell>
          <cell r="D51">
            <v>7258621.4520735554</v>
          </cell>
          <cell r="E51">
            <v>7495980.983384449</v>
          </cell>
          <cell r="F51">
            <v>12214980.459743625</v>
          </cell>
          <cell r="G51">
            <v>-599395.19221262576</v>
          </cell>
          <cell r="H51">
            <v>6683674.7792262612</v>
          </cell>
          <cell r="I51">
            <v>1418935.2232932616</v>
          </cell>
          <cell r="J51">
            <v>5534567.9878343083</v>
          </cell>
          <cell r="K51">
            <v>3333450.7874175282</v>
          </cell>
        </row>
        <row r="52">
          <cell r="B52">
            <v>497104151.42901349</v>
          </cell>
          <cell r="C52">
            <v>67773027.726124153</v>
          </cell>
          <cell r="D52">
            <v>13206231.710513216</v>
          </cell>
          <cell r="E52">
            <v>14484145.625412377</v>
          </cell>
          <cell r="F52">
            <v>23602455.260046829</v>
          </cell>
          <cell r="G52">
            <v>-1158184.2683997711</v>
          </cell>
          <cell r="H52">
            <v>12914563.021143151</v>
          </cell>
          <cell r="I52">
            <v>2741744.4698382006</v>
          </cell>
          <cell r="J52">
            <v>4335005.8061557328</v>
          </cell>
          <cell r="K52">
            <v>6441076.4577875892</v>
          </cell>
        </row>
        <row r="53">
          <cell r="B53">
            <v>133952081.5458426</v>
          </cell>
          <cell r="C53">
            <v>18262446.834292471</v>
          </cell>
          <cell r="D53">
            <v>3913433.8384314817</v>
          </cell>
          <cell r="E53">
            <v>3902967.7188567114</v>
          </cell>
          <cell r="F53">
            <v>6360031.3990284</v>
          </cell>
          <cell r="G53">
            <v>-312089.91741432348</v>
          </cell>
          <cell r="H53">
            <v>3480020.4222074887</v>
          </cell>
          <cell r="I53">
            <v>738803.68479295378</v>
          </cell>
          <cell r="J53">
            <v>3658768.5234262757</v>
          </cell>
          <cell r="K53">
            <v>1735643.519444189</v>
          </cell>
        </row>
        <row r="54">
          <cell r="B54">
            <v>42696803.434087083</v>
          </cell>
          <cell r="C54">
            <v>5821097.3186138757</v>
          </cell>
          <cell r="D54">
            <v>4888710.6477740565</v>
          </cell>
          <cell r="E54">
            <v>1244058.6482755132</v>
          </cell>
          <cell r="F54">
            <v>2027239.9453979633</v>
          </cell>
          <cell r="G54">
            <v>-99477.676672307061</v>
          </cell>
          <cell r="H54">
            <v>1109245.5316773199</v>
          </cell>
          <cell r="I54">
            <v>235491.3439339757</v>
          </cell>
          <cell r="J54">
            <v>788450.26934569248</v>
          </cell>
          <cell r="K54">
            <v>553230.89664712746</v>
          </cell>
        </row>
        <row r="55">
          <cell r="B55">
            <v>8578896.2209361177</v>
          </cell>
          <cell r="C55">
            <v>1169609.5672700726</v>
          </cell>
          <cell r="D55">
            <v>2772605.855605064</v>
          </cell>
          <cell r="E55">
            <v>249963.67825965074</v>
          </cell>
          <cell r="F55">
            <v>407325.13227490941</v>
          </cell>
          <cell r="G55">
            <v>-19987.647688637964</v>
          </cell>
          <cell r="H55">
            <v>222876.22338021759</v>
          </cell>
          <cell r="I55">
            <v>47316.32436271508</v>
          </cell>
          <cell r="J55">
            <v>55450.501551828995</v>
          </cell>
          <cell r="K55">
            <v>111158.44903654016</v>
          </cell>
        </row>
        <row r="56">
          <cell r="B56">
            <v>11819240.387481416</v>
          </cell>
          <cell r="C56">
            <v>1611384.0614282032</v>
          </cell>
          <cell r="D56">
            <v>3047060.9515484478</v>
          </cell>
          <cell r="E56">
            <v>344377.72941930941</v>
          </cell>
          <cell r="F56">
            <v>561176.34835947375</v>
          </cell>
          <cell r="G56">
            <v>-27537.203706436878</v>
          </cell>
          <cell r="H56">
            <v>307059.04267219984</v>
          </cell>
          <cell r="I56">
            <v>65188.224393038421</v>
          </cell>
          <cell r="J56">
            <v>64654.143929499958</v>
          </cell>
          <cell r="K56">
            <v>153144.22699929911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Semestral"/>
      <sheetName val="1er Sem coef act"/>
      <sheetName val="1er Sem distribuido"/>
      <sheetName val="Estado"/>
      <sheetName val="DIST ENE 1"/>
      <sheetName val="FOFIR 4 AJ"/>
      <sheetName val="DIST FEB"/>
      <sheetName val="FEIEF 2019"/>
      <sheetName val="3ER AJ"/>
      <sheetName val="DIST MAR"/>
      <sheetName val="DIST ABR"/>
      <sheetName val="FEIEF 1 TRIM"/>
      <sheetName val="FOFIR 1 AJ"/>
      <sheetName val="DIST MAY"/>
      <sheetName val="AJ DEF"/>
      <sheetName val="DIST JUN"/>
      <sheetName val="1er Aj Cuat"/>
      <sheetName val="II TRIM 20"/>
      <sheetName val="PART PEF 2020"/>
      <sheetName val="COEF Art 14 F I 2do Sem"/>
      <sheetName val="CALCULO GARANTIA 2do Sem"/>
      <sheetName val="COEF Art 14 F II 1er Sem"/>
      <sheetName val="Art.14 Frac.III 1er Sem"/>
      <sheetName val="Hoja1"/>
    </sheetNames>
    <sheetDataSet>
      <sheetData sheetId="0"/>
      <sheetData sheetId="1">
        <row r="2">
          <cell r="B2" t="e">
            <v>#REF!</v>
          </cell>
          <cell r="C2" t="e">
            <v>#REF!</v>
          </cell>
          <cell r="D2" t="e">
            <v>#REF!</v>
          </cell>
          <cell r="E2" t="e">
            <v>#REF!</v>
          </cell>
          <cell r="F2" t="e">
            <v>#REF!</v>
          </cell>
          <cell r="G2" t="e">
            <v>#REF!</v>
          </cell>
          <cell r="H2" t="e">
            <v>#REF!</v>
          </cell>
          <cell r="I2" t="e">
            <v>#REF!</v>
          </cell>
          <cell r="J2" t="e">
            <v>#REF!</v>
          </cell>
        </row>
        <row r="3">
          <cell r="B3" t="e">
            <v>#REF!</v>
          </cell>
          <cell r="C3" t="e">
            <v>#REF!</v>
          </cell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4">
          <cell r="B4" t="e">
            <v>#REF!</v>
          </cell>
          <cell r="C4" t="e">
            <v>#REF!</v>
          </cell>
          <cell r="D4" t="e">
            <v>#REF!</v>
          </cell>
          <cell r="E4" t="e">
            <v>#REF!</v>
          </cell>
          <cell r="F4" t="e">
            <v>#REF!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</row>
        <row r="5">
          <cell r="B5" t="e">
            <v>#REF!</v>
          </cell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</row>
        <row r="6">
          <cell r="B6" t="e">
            <v>#REF!</v>
          </cell>
          <cell r="C6" t="e">
            <v>#REF!</v>
          </cell>
          <cell r="D6" t="e">
            <v>#REF!</v>
          </cell>
          <cell r="E6" t="e">
            <v>#REF!</v>
          </cell>
          <cell r="F6" t="e">
            <v>#REF!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</row>
        <row r="17">
          <cell r="B17" t="e">
            <v>#REF!</v>
          </cell>
          <cell r="C17" t="e">
            <v>#REF!</v>
          </cell>
          <cell r="D17" t="e">
            <v>#REF!</v>
          </cell>
          <cell r="E17" t="e">
            <v>#REF!</v>
          </cell>
          <cell r="F17" t="e">
            <v>#REF!</v>
          </cell>
          <cell r="G17" t="e">
            <v>#REF!</v>
          </cell>
          <cell r="H17" t="e">
            <v>#REF!</v>
          </cell>
          <cell r="I17" t="e">
            <v>#REF!</v>
          </cell>
          <cell r="J17" t="e">
            <v>#REF!</v>
          </cell>
        </row>
        <row r="18">
          <cell r="B18" t="e">
            <v>#REF!</v>
          </cell>
          <cell r="C18" t="e">
            <v>#REF!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</row>
        <row r="19">
          <cell r="B19" t="e">
            <v>#REF!</v>
          </cell>
          <cell r="C19" t="e">
            <v>#REF!</v>
          </cell>
          <cell r="D19" t="e">
            <v>#REF!</v>
          </cell>
          <cell r="E19" t="e">
            <v>#REF!</v>
          </cell>
          <cell r="F19" t="e">
            <v>#REF!</v>
          </cell>
          <cell r="G19" t="e">
            <v>#REF!</v>
          </cell>
          <cell r="H19" t="e">
            <v>#REF!</v>
          </cell>
          <cell r="I19" t="e">
            <v>#REF!</v>
          </cell>
          <cell r="J19" t="e">
            <v>#REF!</v>
          </cell>
        </row>
        <row r="20">
          <cell r="B20" t="e">
            <v>#REF!</v>
          </cell>
          <cell r="C20" t="e">
            <v>#REF!</v>
          </cell>
          <cell r="D20" t="e">
            <v>#REF!</v>
          </cell>
          <cell r="E20" t="e">
            <v>#REF!</v>
          </cell>
          <cell r="F20" t="e">
            <v>#REF!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</row>
        <row r="21">
          <cell r="B21" t="e">
            <v>#REF!</v>
          </cell>
          <cell r="C21" t="e">
            <v>#REF!</v>
          </cell>
          <cell r="D21" t="e">
            <v>#REF!</v>
          </cell>
          <cell r="E21" t="e">
            <v>#REF!</v>
          </cell>
          <cell r="F21" t="e">
            <v>#REF!</v>
          </cell>
          <cell r="G21" t="e">
            <v>#REF!</v>
          </cell>
          <cell r="H21" t="e">
            <v>#REF!</v>
          </cell>
          <cell r="I21" t="e">
            <v>#REF!</v>
          </cell>
          <cell r="J21" t="e">
            <v>#REF!</v>
          </cell>
        </row>
        <row r="22">
          <cell r="B22" t="e">
            <v>#REF!</v>
          </cell>
          <cell r="C22" t="e">
            <v>#REF!</v>
          </cell>
          <cell r="D22" t="e">
            <v>#REF!</v>
          </cell>
          <cell r="E22" t="e">
            <v>#REF!</v>
          </cell>
          <cell r="F22" t="e">
            <v>#REF!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</row>
        <row r="23">
          <cell r="B23" t="e">
            <v>#REF!</v>
          </cell>
          <cell r="C23" t="e">
            <v>#REF!</v>
          </cell>
          <cell r="D23" t="e">
            <v>#REF!</v>
          </cell>
          <cell r="E23" t="e">
            <v>#REF!</v>
          </cell>
          <cell r="F23" t="e">
            <v>#REF!</v>
          </cell>
          <cell r="G23" t="e">
            <v>#REF!</v>
          </cell>
          <cell r="H23" t="e">
            <v>#REF!</v>
          </cell>
          <cell r="I23" t="e">
            <v>#REF!</v>
          </cell>
          <cell r="J23" t="e">
            <v>#REF!</v>
          </cell>
        </row>
        <row r="24">
          <cell r="B24" t="e">
            <v>#REF!</v>
          </cell>
          <cell r="C24" t="e">
            <v>#REF!</v>
          </cell>
          <cell r="D24" t="e">
            <v>#REF!</v>
          </cell>
          <cell r="E24" t="e">
            <v>#REF!</v>
          </cell>
          <cell r="F24" t="e">
            <v>#REF!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</row>
        <row r="25">
          <cell r="B25" t="e">
            <v>#REF!</v>
          </cell>
          <cell r="C25" t="e">
            <v>#REF!</v>
          </cell>
          <cell r="D25" t="e">
            <v>#REF!</v>
          </cell>
          <cell r="E25" t="e">
            <v>#REF!</v>
          </cell>
          <cell r="F25" t="e">
            <v>#REF!</v>
          </cell>
          <cell r="G25" t="e">
            <v>#REF!</v>
          </cell>
          <cell r="H25" t="e">
            <v>#REF!</v>
          </cell>
          <cell r="I25" t="e">
            <v>#REF!</v>
          </cell>
          <cell r="J25" t="e">
            <v>#REF!</v>
          </cell>
        </row>
        <row r="26">
          <cell r="B26" t="e">
            <v>#REF!</v>
          </cell>
          <cell r="C26" t="e">
            <v>#REF!</v>
          </cell>
          <cell r="D26" t="e">
            <v>#REF!</v>
          </cell>
          <cell r="E26" t="e">
            <v>#REF!</v>
          </cell>
          <cell r="F26" t="e">
            <v>#REF!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</row>
        <row r="27">
          <cell r="B27" t="e">
            <v>#REF!</v>
          </cell>
          <cell r="C27" t="e">
            <v>#REF!</v>
          </cell>
          <cell r="D27" t="e">
            <v>#REF!</v>
          </cell>
          <cell r="E27" t="e">
            <v>#REF!</v>
          </cell>
          <cell r="F27" t="e">
            <v>#REF!</v>
          </cell>
          <cell r="G27" t="e">
            <v>#REF!</v>
          </cell>
          <cell r="H27" t="e">
            <v>#REF!</v>
          </cell>
          <cell r="I27" t="e">
            <v>#REF!</v>
          </cell>
          <cell r="J27" t="e">
            <v>#REF!</v>
          </cell>
        </row>
        <row r="28">
          <cell r="B28" t="e">
            <v>#REF!</v>
          </cell>
          <cell r="C28" t="e">
            <v>#REF!</v>
          </cell>
          <cell r="D28" t="e">
            <v>#REF!</v>
          </cell>
          <cell r="E28" t="e">
            <v>#REF!</v>
          </cell>
          <cell r="F28" t="e">
            <v>#REF!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</row>
        <row r="29">
          <cell r="B29" t="e">
            <v>#REF!</v>
          </cell>
          <cell r="C29" t="e">
            <v>#REF!</v>
          </cell>
          <cell r="D29" t="e">
            <v>#REF!</v>
          </cell>
          <cell r="E29" t="e">
            <v>#REF!</v>
          </cell>
          <cell r="F29" t="e">
            <v>#REF!</v>
          </cell>
          <cell r="G29" t="e">
            <v>#REF!</v>
          </cell>
          <cell r="H29" t="e">
            <v>#REF!</v>
          </cell>
          <cell r="I29" t="e">
            <v>#REF!</v>
          </cell>
          <cell r="J29" t="e">
            <v>#REF!</v>
          </cell>
        </row>
        <row r="30">
          <cell r="B30" t="e">
            <v>#REF!</v>
          </cell>
          <cell r="C30" t="e">
            <v>#REF!</v>
          </cell>
          <cell r="D30" t="e">
            <v>#REF!</v>
          </cell>
          <cell r="E30" t="e">
            <v>#REF!</v>
          </cell>
          <cell r="F30" t="e">
            <v>#REF!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</row>
        <row r="31">
          <cell r="B31" t="e">
            <v>#REF!</v>
          </cell>
          <cell r="C31" t="e">
            <v>#REF!</v>
          </cell>
          <cell r="D31" t="e">
            <v>#REF!</v>
          </cell>
          <cell r="E31" t="e">
            <v>#REF!</v>
          </cell>
          <cell r="F31" t="e">
            <v>#REF!</v>
          </cell>
          <cell r="G31" t="e">
            <v>#REF!</v>
          </cell>
          <cell r="H31" t="e">
            <v>#REF!</v>
          </cell>
          <cell r="I31" t="e">
            <v>#REF!</v>
          </cell>
          <cell r="J31" t="e">
            <v>#REF!</v>
          </cell>
        </row>
        <row r="32">
          <cell r="B32" t="e">
            <v>#REF!</v>
          </cell>
          <cell r="C32" t="e">
            <v>#REF!</v>
          </cell>
          <cell r="D32" t="e">
            <v>#REF!</v>
          </cell>
          <cell r="E32" t="e">
            <v>#REF!</v>
          </cell>
          <cell r="F32" t="e">
            <v>#REF!</v>
          </cell>
          <cell r="G32" t="e">
            <v>#REF!</v>
          </cell>
          <cell r="H32" t="e">
            <v>#REF!</v>
          </cell>
          <cell r="I32" t="e">
            <v>#REF!</v>
          </cell>
          <cell r="J32" t="e">
            <v>#REF!</v>
          </cell>
        </row>
        <row r="33">
          <cell r="B33" t="e">
            <v>#REF!</v>
          </cell>
          <cell r="C33" t="e">
            <v>#REF!</v>
          </cell>
          <cell r="D33" t="e">
            <v>#REF!</v>
          </cell>
          <cell r="E33" t="e">
            <v>#REF!</v>
          </cell>
          <cell r="F33" t="e">
            <v>#REF!</v>
          </cell>
          <cell r="G33" t="e">
            <v>#REF!</v>
          </cell>
          <cell r="H33" t="e">
            <v>#REF!</v>
          </cell>
          <cell r="I33" t="e">
            <v>#REF!</v>
          </cell>
          <cell r="J33" t="e">
            <v>#REF!</v>
          </cell>
        </row>
        <row r="34">
          <cell r="B34" t="e">
            <v>#REF!</v>
          </cell>
          <cell r="C34" t="e">
            <v>#REF!</v>
          </cell>
          <cell r="D34" t="e">
            <v>#REF!</v>
          </cell>
          <cell r="E34" t="e">
            <v>#REF!</v>
          </cell>
          <cell r="F34" t="e">
            <v>#REF!</v>
          </cell>
          <cell r="G34" t="e">
            <v>#REF!</v>
          </cell>
          <cell r="H34" t="e">
            <v>#REF!</v>
          </cell>
          <cell r="I34" t="e">
            <v>#REF!</v>
          </cell>
          <cell r="J34" t="e">
            <v>#REF!</v>
          </cell>
        </row>
        <row r="35">
          <cell r="B35" t="e">
            <v>#REF!</v>
          </cell>
          <cell r="C35" t="e">
            <v>#REF!</v>
          </cell>
          <cell r="D35" t="e">
            <v>#REF!</v>
          </cell>
          <cell r="E35" t="e">
            <v>#REF!</v>
          </cell>
          <cell r="F35" t="e">
            <v>#REF!</v>
          </cell>
          <cell r="G35" t="e">
            <v>#REF!</v>
          </cell>
          <cell r="H35" t="e">
            <v>#REF!</v>
          </cell>
          <cell r="I35" t="e">
            <v>#REF!</v>
          </cell>
          <cell r="J35" t="e">
            <v>#REF!</v>
          </cell>
        </row>
        <row r="36">
          <cell r="B36" t="e">
            <v>#REF!</v>
          </cell>
          <cell r="C36" t="e">
            <v>#REF!</v>
          </cell>
          <cell r="D36" t="e">
            <v>#REF!</v>
          </cell>
          <cell r="E36" t="e">
            <v>#REF!</v>
          </cell>
          <cell r="F36" t="e">
            <v>#REF!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</row>
        <row r="37">
          <cell r="B37" t="e">
            <v>#REF!</v>
          </cell>
          <cell r="C37" t="e">
            <v>#REF!</v>
          </cell>
          <cell r="D37" t="e">
            <v>#REF!</v>
          </cell>
          <cell r="E37" t="e">
            <v>#REF!</v>
          </cell>
          <cell r="F37" t="e">
            <v>#REF!</v>
          </cell>
          <cell r="G37" t="e">
            <v>#REF!</v>
          </cell>
          <cell r="H37" t="e">
            <v>#REF!</v>
          </cell>
          <cell r="I37" t="e">
            <v>#REF!</v>
          </cell>
          <cell r="J37" t="e">
            <v>#REF!</v>
          </cell>
        </row>
        <row r="38">
          <cell r="B38" t="e">
            <v>#REF!</v>
          </cell>
          <cell r="C38" t="e">
            <v>#REF!</v>
          </cell>
          <cell r="D38" t="e">
            <v>#REF!</v>
          </cell>
          <cell r="E38" t="e">
            <v>#REF!</v>
          </cell>
          <cell r="F38" t="e">
            <v>#REF!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</row>
        <row r="39">
          <cell r="B39" t="e">
            <v>#REF!</v>
          </cell>
          <cell r="C39" t="e">
            <v>#REF!</v>
          </cell>
          <cell r="D39" t="e">
            <v>#REF!</v>
          </cell>
          <cell r="E39" t="e">
            <v>#REF!</v>
          </cell>
          <cell r="F39" t="e">
            <v>#REF!</v>
          </cell>
          <cell r="G39" t="e">
            <v>#REF!</v>
          </cell>
          <cell r="H39" t="e">
            <v>#REF!</v>
          </cell>
          <cell r="I39" t="e">
            <v>#REF!</v>
          </cell>
          <cell r="J39" t="e">
            <v>#REF!</v>
          </cell>
        </row>
        <row r="40">
          <cell r="B40" t="e">
            <v>#REF!</v>
          </cell>
          <cell r="C40" t="e">
            <v>#REF!</v>
          </cell>
          <cell r="D40" t="e">
            <v>#REF!</v>
          </cell>
          <cell r="E40" t="e">
            <v>#REF!</v>
          </cell>
          <cell r="F40" t="e">
            <v>#REF!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</row>
        <row r="41">
          <cell r="B41" t="e">
            <v>#REF!</v>
          </cell>
          <cell r="C41" t="e">
            <v>#REF!</v>
          </cell>
          <cell r="D41" t="e">
            <v>#REF!</v>
          </cell>
          <cell r="E41" t="e">
            <v>#REF!</v>
          </cell>
          <cell r="F41" t="e">
            <v>#REF!</v>
          </cell>
          <cell r="G41" t="e">
            <v>#REF!</v>
          </cell>
          <cell r="H41" t="e">
            <v>#REF!</v>
          </cell>
          <cell r="I41" t="e">
            <v>#REF!</v>
          </cell>
          <cell r="J41" t="e">
            <v>#REF!</v>
          </cell>
        </row>
        <row r="42">
          <cell r="B42" t="e">
            <v>#REF!</v>
          </cell>
          <cell r="C42" t="e">
            <v>#REF!</v>
          </cell>
          <cell r="D42" t="e">
            <v>#REF!</v>
          </cell>
          <cell r="E42" t="e">
            <v>#REF!</v>
          </cell>
          <cell r="F42" t="e">
            <v>#REF!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</row>
        <row r="43">
          <cell r="B43" t="e">
            <v>#REF!</v>
          </cell>
          <cell r="C43" t="e">
            <v>#REF!</v>
          </cell>
          <cell r="D43" t="e">
            <v>#REF!</v>
          </cell>
          <cell r="E43" t="e">
            <v>#REF!</v>
          </cell>
          <cell r="F43" t="e">
            <v>#REF!</v>
          </cell>
          <cell r="G43" t="e">
            <v>#REF!</v>
          </cell>
          <cell r="H43" t="e">
            <v>#REF!</v>
          </cell>
          <cell r="I43" t="e">
            <v>#REF!</v>
          </cell>
          <cell r="J43" t="e">
            <v>#REF!</v>
          </cell>
        </row>
        <row r="44">
          <cell r="B44" t="e">
            <v>#REF!</v>
          </cell>
          <cell r="C44" t="e">
            <v>#REF!</v>
          </cell>
          <cell r="D44" t="e">
            <v>#REF!</v>
          </cell>
          <cell r="E44" t="e">
            <v>#REF!</v>
          </cell>
          <cell r="F44" t="e">
            <v>#REF!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</row>
        <row r="45">
          <cell r="B45" t="e">
            <v>#REF!</v>
          </cell>
          <cell r="C45" t="e">
            <v>#REF!</v>
          </cell>
          <cell r="D45" t="e">
            <v>#REF!</v>
          </cell>
          <cell r="E45" t="e">
            <v>#REF!</v>
          </cell>
          <cell r="F45" t="e">
            <v>#REF!</v>
          </cell>
          <cell r="G45" t="e">
            <v>#REF!</v>
          </cell>
          <cell r="H45" t="e">
            <v>#REF!</v>
          </cell>
          <cell r="I45" t="e">
            <v>#REF!</v>
          </cell>
          <cell r="J45" t="e">
            <v>#REF!</v>
          </cell>
        </row>
        <row r="46">
          <cell r="B46" t="e">
            <v>#REF!</v>
          </cell>
          <cell r="C46" t="e">
            <v>#REF!</v>
          </cell>
          <cell r="D46" t="e">
            <v>#REF!</v>
          </cell>
          <cell r="E46" t="e">
            <v>#REF!</v>
          </cell>
          <cell r="F46" t="e">
            <v>#REF!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</row>
        <row r="47">
          <cell r="B47" t="e">
            <v>#REF!</v>
          </cell>
          <cell r="C47" t="e">
            <v>#REF!</v>
          </cell>
          <cell r="D47" t="e">
            <v>#REF!</v>
          </cell>
          <cell r="E47" t="e">
            <v>#REF!</v>
          </cell>
          <cell r="F47" t="e">
            <v>#REF!</v>
          </cell>
          <cell r="G47" t="e">
            <v>#REF!</v>
          </cell>
          <cell r="H47" t="e">
            <v>#REF!</v>
          </cell>
          <cell r="I47" t="e">
            <v>#REF!</v>
          </cell>
          <cell r="J47" t="e">
            <v>#REF!</v>
          </cell>
        </row>
        <row r="48">
          <cell r="B48" t="e">
            <v>#REF!</v>
          </cell>
          <cell r="C48" t="e">
            <v>#REF!</v>
          </cell>
          <cell r="D48" t="e">
            <v>#REF!</v>
          </cell>
          <cell r="E48" t="e">
            <v>#REF!</v>
          </cell>
          <cell r="F48" t="e">
            <v>#REF!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</row>
        <row r="49">
          <cell r="B49" t="e">
            <v>#REF!</v>
          </cell>
          <cell r="C49" t="e">
            <v>#REF!</v>
          </cell>
          <cell r="D49" t="e">
            <v>#REF!</v>
          </cell>
          <cell r="E49" t="e">
            <v>#REF!</v>
          </cell>
          <cell r="F49" t="e">
            <v>#REF!</v>
          </cell>
          <cell r="G49" t="e">
            <v>#REF!</v>
          </cell>
          <cell r="H49" t="e">
            <v>#REF!</v>
          </cell>
          <cell r="I49" t="e">
            <v>#REF!</v>
          </cell>
          <cell r="J49" t="e">
            <v>#REF!</v>
          </cell>
        </row>
        <row r="50">
          <cell r="B50" t="e">
            <v>#REF!</v>
          </cell>
          <cell r="C50" t="e">
            <v>#REF!</v>
          </cell>
          <cell r="D50" t="e">
            <v>#REF!</v>
          </cell>
          <cell r="E50" t="e">
            <v>#REF!</v>
          </cell>
          <cell r="F50" t="e">
            <v>#REF!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</row>
        <row r="51">
          <cell r="B51" t="e">
            <v>#REF!</v>
          </cell>
          <cell r="C51" t="e">
            <v>#REF!</v>
          </cell>
          <cell r="D51" t="e">
            <v>#REF!</v>
          </cell>
          <cell r="E51" t="e">
            <v>#REF!</v>
          </cell>
          <cell r="F51" t="e">
            <v>#REF!</v>
          </cell>
          <cell r="G51" t="e">
            <v>#REF!</v>
          </cell>
          <cell r="H51" t="e">
            <v>#REF!</v>
          </cell>
          <cell r="I51" t="e">
            <v>#REF!</v>
          </cell>
          <cell r="J51" t="e">
            <v>#REF!</v>
          </cell>
        </row>
        <row r="52">
          <cell r="B52" t="e">
            <v>#REF!</v>
          </cell>
          <cell r="C52" t="e">
            <v>#REF!</v>
          </cell>
          <cell r="D52" t="e">
            <v>#REF!</v>
          </cell>
          <cell r="E52" t="e">
            <v>#REF!</v>
          </cell>
          <cell r="F52" t="e">
            <v>#REF!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</row>
      </sheetData>
      <sheetData sheetId="2">
        <row r="2">
          <cell r="B2">
            <v>3927817.5198464976</v>
          </cell>
          <cell r="C2">
            <v>534858.19811553764</v>
          </cell>
          <cell r="D2">
            <v>1447429.2042262175</v>
          </cell>
          <cell r="E2">
            <v>113762.86914220151</v>
          </cell>
          <cell r="F2">
            <v>201941.85333767594</v>
          </cell>
          <cell r="G2">
            <v>10300.939818711136</v>
          </cell>
          <cell r="H2">
            <v>97334.805107226843</v>
          </cell>
          <cell r="I2">
            <v>23760.562785618138</v>
          </cell>
          <cell r="J2">
            <v>43961.390939837816</v>
          </cell>
        </row>
        <row r="3">
          <cell r="B3">
            <v>7780132.0688939113</v>
          </cell>
          <cell r="C3">
            <v>1059435.016632884</v>
          </cell>
          <cell r="D3">
            <v>1435268.999109854</v>
          </cell>
          <cell r="E3">
            <v>225338.9170933821</v>
          </cell>
          <cell r="F3">
            <v>400001.85376883933</v>
          </cell>
          <cell r="G3">
            <v>20403.868514348094</v>
          </cell>
          <cell r="H3">
            <v>192798.57956941688</v>
          </cell>
          <cell r="I3">
            <v>47064.385137367448</v>
          </cell>
          <cell r="J3">
            <v>93812.716186512014</v>
          </cell>
        </row>
        <row r="4">
          <cell r="B4">
            <v>8093633.1145895608</v>
          </cell>
          <cell r="C4">
            <v>1102125.0355965616</v>
          </cell>
          <cell r="D4">
            <v>63100.633002878742</v>
          </cell>
          <cell r="E4">
            <v>234418.96683021696</v>
          </cell>
          <cell r="F4">
            <v>416119.96054727049</v>
          </cell>
          <cell r="G4">
            <v>21226.044032558035</v>
          </cell>
          <cell r="H4">
            <v>200567.41379593418</v>
          </cell>
          <cell r="I4">
            <v>48960.848311119858</v>
          </cell>
          <cell r="J4">
            <v>86296.691488275232</v>
          </cell>
        </row>
        <row r="5">
          <cell r="B5">
            <v>22386457.951926947</v>
          </cell>
          <cell r="C5">
            <v>3048405.5081114946</v>
          </cell>
          <cell r="D5">
            <v>2695175.1936243954</v>
          </cell>
          <cell r="E5">
            <v>648387.47565899906</v>
          </cell>
          <cell r="F5">
            <v>1150960.4979446081</v>
          </cell>
          <cell r="G5">
            <v>58709.84457697488</v>
          </cell>
          <cell r="H5">
            <v>554756.30188570824</v>
          </cell>
          <cell r="I5">
            <v>135422.49277790997</v>
          </cell>
          <cell r="J5">
            <v>611516.81830575038</v>
          </cell>
        </row>
        <row r="6">
          <cell r="B6">
            <v>28273562.715367682</v>
          </cell>
          <cell r="C6">
            <v>3850063.4848329723</v>
          </cell>
          <cell r="D6">
            <v>894011.86531774979</v>
          </cell>
          <cell r="E6">
            <v>818897.9246413426</v>
          </cell>
          <cell r="F6">
            <v>1453635.6707893857</v>
          </cell>
          <cell r="G6">
            <v>74149.134097996415</v>
          </cell>
          <cell r="H6">
            <v>700643.98426911118</v>
          </cell>
          <cell r="I6">
            <v>171035.37999847313</v>
          </cell>
          <cell r="J6">
            <v>413037.38453904208</v>
          </cell>
        </row>
        <row r="7">
          <cell r="B7">
            <v>192894611.37429264</v>
          </cell>
          <cell r="C7">
            <v>26266817.066868994</v>
          </cell>
          <cell r="D7">
            <v>5221117.3654384464</v>
          </cell>
          <cell r="E7">
            <v>5586879.8184053767</v>
          </cell>
          <cell r="F7">
            <v>9917338.3495926075</v>
          </cell>
          <cell r="G7">
            <v>505877.82479210349</v>
          </cell>
          <cell r="H7">
            <v>4780099.714277152</v>
          </cell>
          <cell r="I7">
            <v>1166878.1712510434</v>
          </cell>
          <cell r="J7">
            <v>8915218.7684686668</v>
          </cell>
        </row>
        <row r="8">
          <cell r="B8">
            <v>32274454.451264828</v>
          </cell>
          <cell r="C8">
            <v>4394872.3345070584</v>
          </cell>
          <cell r="D8">
            <v>0</v>
          </cell>
          <cell r="E8">
            <v>934777.27002925402</v>
          </cell>
          <cell r="F8">
            <v>1659334.5068651605</v>
          </cell>
          <cell r="G8">
            <v>84641.71548305676</v>
          </cell>
          <cell r="H8">
            <v>799789.63332255371</v>
          </cell>
          <cell r="I8">
            <v>195237.99094180434</v>
          </cell>
          <cell r="J8">
            <v>471100.39338677446</v>
          </cell>
        </row>
        <row r="9">
          <cell r="B9">
            <v>5131809.3015379841</v>
          </cell>
          <cell r="C9">
            <v>698807.9925363824</v>
          </cell>
          <cell r="D9">
            <v>1340844.5294942742</v>
          </cell>
          <cell r="E9">
            <v>148634.53994074912</v>
          </cell>
          <cell r="F9">
            <v>263842.98050806735</v>
          </cell>
          <cell r="G9">
            <v>13458.481334517481</v>
          </cell>
          <cell r="H9">
            <v>127170.79031517095</v>
          </cell>
          <cell r="I9">
            <v>31043.875255635041</v>
          </cell>
          <cell r="J9">
            <v>84045.574381136714</v>
          </cell>
        </row>
        <row r="10">
          <cell r="B10">
            <v>51011188.633551836</v>
          </cell>
          <cell r="C10">
            <v>6946288.1863563769</v>
          </cell>
          <cell r="D10">
            <v>2024278.0852009193</v>
          </cell>
          <cell r="E10">
            <v>1477456.4113491983</v>
          </cell>
          <cell r="F10">
            <v>2622650.8542127553</v>
          </cell>
          <cell r="G10">
            <v>133779.93797829861</v>
          </cell>
          <cell r="H10">
            <v>1264102.5401120968</v>
          </cell>
          <cell r="I10">
            <v>308582.1946086454</v>
          </cell>
          <cell r="J10">
            <v>1486688.5552352129</v>
          </cell>
        </row>
        <row r="11">
          <cell r="B11">
            <v>8475448.573979605</v>
          </cell>
          <cell r="C11">
            <v>1154117.5550020956</v>
          </cell>
          <cell r="D11">
            <v>1371570.5103516467</v>
          </cell>
          <cell r="E11">
            <v>245477.63285112637</v>
          </cell>
          <cell r="F11">
            <v>435750.33316835272</v>
          </cell>
          <cell r="G11">
            <v>22227.378246573178</v>
          </cell>
          <cell r="H11">
            <v>210029.13984070945</v>
          </cell>
          <cell r="I11">
            <v>51270.566150484068</v>
          </cell>
          <cell r="J11">
            <v>563373.7569699419</v>
          </cell>
        </row>
        <row r="12">
          <cell r="B12">
            <v>12313568.638764504</v>
          </cell>
          <cell r="C12">
            <v>1676761.4842654304</v>
          </cell>
          <cell r="D12">
            <v>4891506.057704594</v>
          </cell>
          <cell r="E12">
            <v>356642.56056885951</v>
          </cell>
          <cell r="F12">
            <v>633080.54907040752</v>
          </cell>
          <cell r="G12">
            <v>32293.08104579131</v>
          </cell>
          <cell r="H12">
            <v>305141.1623815567</v>
          </cell>
          <cell r="I12">
            <v>74488.521749813008</v>
          </cell>
          <cell r="J12">
            <v>204731.55147685186</v>
          </cell>
        </row>
        <row r="13">
          <cell r="B13">
            <v>25897236.518100638</v>
          </cell>
          <cell r="C13">
            <v>3526474.7382624159</v>
          </cell>
          <cell r="D13">
            <v>1303802.9642958471</v>
          </cell>
          <cell r="E13">
            <v>750071.4873506811</v>
          </cell>
          <cell r="F13">
            <v>1331461.0244403025</v>
          </cell>
          <cell r="G13">
            <v>67917.074430257271</v>
          </cell>
          <cell r="H13">
            <v>641756.51148976875</v>
          </cell>
          <cell r="I13">
            <v>156660.2600943592</v>
          </cell>
          <cell r="J13">
            <v>318306.03954924521</v>
          </cell>
        </row>
        <row r="14">
          <cell r="B14">
            <v>13176761.314206276</v>
          </cell>
          <cell r="C14">
            <v>1794304.0321767097</v>
          </cell>
          <cell r="D14">
            <v>1602259.0660879791</v>
          </cell>
          <cell r="E14">
            <v>381643.53754515946</v>
          </cell>
          <cell r="F14">
            <v>677460.08752539952</v>
          </cell>
          <cell r="G14">
            <v>34556.856222909388</v>
          </cell>
          <cell r="H14">
            <v>326531.84318828484</v>
          </cell>
          <cell r="I14">
            <v>79710.23677534239</v>
          </cell>
          <cell r="J14">
            <v>633597.19326051173</v>
          </cell>
        </row>
        <row r="15">
          <cell r="B15">
            <v>72174034.558933616</v>
          </cell>
          <cell r="C15">
            <v>9828072.1749080662</v>
          </cell>
          <cell r="D15">
            <v>425882.10254613054</v>
          </cell>
          <cell r="E15">
            <v>2090403.9476135275</v>
          </cell>
          <cell r="F15">
            <v>3710701.4844870209</v>
          </cell>
          <cell r="G15">
            <v>189280.78575661738</v>
          </cell>
          <cell r="H15">
            <v>1788536.6497042878</v>
          </cell>
          <cell r="I15">
            <v>436602.68608810916</v>
          </cell>
          <cell r="J15">
            <v>1038312.2139325847</v>
          </cell>
        </row>
        <row r="16">
          <cell r="B16">
            <v>9213795.7202674188</v>
          </cell>
          <cell r="C16">
            <v>1254659.6556093262</v>
          </cell>
          <cell r="D16">
            <v>3762592.6679118001</v>
          </cell>
          <cell r="E16">
            <v>266862.66139693861</v>
          </cell>
          <cell r="F16">
            <v>473711.15756372141</v>
          </cell>
          <cell r="G16">
            <v>24163.738446811076</v>
          </cell>
          <cell r="H16">
            <v>228326.03760194001</v>
          </cell>
          <cell r="I16">
            <v>55737.052599589588</v>
          </cell>
          <cell r="J16">
            <v>100029.78886889147</v>
          </cell>
        </row>
        <row r="17">
          <cell r="B17">
            <v>6416240.394779155</v>
          </cell>
          <cell r="C17">
            <v>873711.35723276215</v>
          </cell>
          <cell r="D17">
            <v>2480383.8443762218</v>
          </cell>
          <cell r="E17">
            <v>185836.00504045177</v>
          </cell>
          <cell r="F17">
            <v>329879.75389253866</v>
          </cell>
          <cell r="G17">
            <v>16826.979826595012</v>
          </cell>
          <cell r="H17">
            <v>159000.13307424533</v>
          </cell>
          <cell r="I17">
            <v>38813.789586061896</v>
          </cell>
          <cell r="J17">
            <v>65388.885865779281</v>
          </cell>
        </row>
        <row r="18">
          <cell r="B18">
            <v>56271288.960216083</v>
          </cell>
          <cell r="C18">
            <v>7662565.8057750463</v>
          </cell>
          <cell r="D18">
            <v>2566552.0350718969</v>
          </cell>
          <cell r="E18">
            <v>1629806.6929275901</v>
          </cell>
          <cell r="F18">
            <v>2893089.6929168021</v>
          </cell>
          <cell r="G18">
            <v>147574.8703119852</v>
          </cell>
          <cell r="H18">
            <v>1394452.4959217377</v>
          </cell>
          <cell r="I18">
            <v>340402.14129375538</v>
          </cell>
          <cell r="J18">
            <v>960107.19995759591</v>
          </cell>
        </row>
        <row r="19">
          <cell r="B19">
            <v>69018668.201164618</v>
          </cell>
          <cell r="C19">
            <v>9398400.0844957139</v>
          </cell>
          <cell r="D19">
            <v>3415202.8011871483</v>
          </cell>
          <cell r="E19">
            <v>1999013.8745663946</v>
          </cell>
          <cell r="F19">
            <v>3548473.853741047</v>
          </cell>
          <cell r="G19">
            <v>181005.6459892703</v>
          </cell>
          <cell r="H19">
            <v>1710343.8701457942</v>
          </cell>
          <cell r="I19">
            <v>417514.91531551786</v>
          </cell>
          <cell r="J19">
            <v>3735426.4564223443</v>
          </cell>
        </row>
        <row r="20">
          <cell r="B20">
            <v>10815361.274795752</v>
          </cell>
          <cell r="C20">
            <v>1472747.8082107776</v>
          </cell>
          <cell r="D20">
            <v>1751340.4831700823</v>
          </cell>
          <cell r="E20">
            <v>313249.41222786432</v>
          </cell>
          <cell r="F20">
            <v>556052.8434208266</v>
          </cell>
          <cell r="G20">
            <v>28363.941309993435</v>
          </cell>
          <cell r="H20">
            <v>268014.25385149621</v>
          </cell>
          <cell r="I20">
            <v>65425.409739750467</v>
          </cell>
          <cell r="J20">
            <v>138854.65820942464</v>
          </cell>
        </row>
        <row r="21">
          <cell r="B21">
            <v>147839587.50940788</v>
          </cell>
          <cell r="C21">
            <v>20131590.886257995</v>
          </cell>
          <cell r="D21">
            <v>3739062.6153755668</v>
          </cell>
          <cell r="E21">
            <v>4281934.0671730349</v>
          </cell>
          <cell r="F21">
            <v>7600913.2673490671</v>
          </cell>
          <cell r="G21">
            <v>387718.29038967297</v>
          </cell>
          <cell r="H21">
            <v>3663596.2247867859</v>
          </cell>
          <cell r="I21">
            <v>894326.62883851468</v>
          </cell>
          <cell r="J21">
            <v>6332277.4294343395</v>
          </cell>
        </row>
        <row r="22">
          <cell r="B22">
            <v>21827956.340249706</v>
          </cell>
          <cell r="C22">
            <v>2972353.3075810629</v>
          </cell>
          <cell r="D22">
            <v>1206429.9083991791</v>
          </cell>
          <cell r="E22">
            <v>632211.38157012977</v>
          </cell>
          <cell r="F22">
            <v>1122246.1164886723</v>
          </cell>
          <cell r="G22">
            <v>57245.140205788826</v>
          </cell>
          <cell r="H22">
            <v>540916.13613208127</v>
          </cell>
          <cell r="I22">
            <v>132043.94666596016</v>
          </cell>
          <cell r="J22">
            <v>346712.42935125704</v>
          </cell>
        </row>
        <row r="23">
          <cell r="B23">
            <v>3501213.4871678986</v>
          </cell>
          <cell r="C23">
            <v>476766.73559866007</v>
          </cell>
          <cell r="D23">
            <v>1552659.4418051925</v>
          </cell>
          <cell r="E23">
            <v>101406.97467920018</v>
          </cell>
          <cell r="F23">
            <v>180008.75472371347</v>
          </cell>
          <cell r="G23">
            <v>9182.1448531004462</v>
          </cell>
          <cell r="H23">
            <v>86763.178454787223</v>
          </cell>
          <cell r="I23">
            <v>21179.905244416001</v>
          </cell>
          <cell r="J23">
            <v>26935.136781647016</v>
          </cell>
        </row>
        <row r="24">
          <cell r="B24">
            <v>16214089.732939178</v>
          </cell>
          <cell r="C24">
            <v>2207902.6774600288</v>
          </cell>
          <cell r="D24">
            <v>0</v>
          </cell>
          <cell r="E24">
            <v>469614.83297736302</v>
          </cell>
          <cell r="F24">
            <v>833619.00452572037</v>
          </cell>
          <cell r="G24">
            <v>42522.434331602031</v>
          </cell>
          <cell r="H24">
            <v>401799.53782791836</v>
          </cell>
          <cell r="I24">
            <v>98083.960154595974</v>
          </cell>
          <cell r="J24">
            <v>210333.87230489787</v>
          </cell>
        </row>
        <row r="25">
          <cell r="B25">
            <v>15798593.30763546</v>
          </cell>
          <cell r="C25">
            <v>2151323.7584449518</v>
          </cell>
          <cell r="D25">
            <v>18628.620486811571</v>
          </cell>
          <cell r="E25">
            <v>457580.6523612719</v>
          </cell>
          <cell r="F25">
            <v>812256.98407618306</v>
          </cell>
          <cell r="G25">
            <v>41432.769740434756</v>
          </cell>
          <cell r="H25">
            <v>391503.16754713521</v>
          </cell>
          <cell r="I25">
            <v>95570.495908676865</v>
          </cell>
          <cell r="J25">
            <v>1036807.1485529329</v>
          </cell>
        </row>
        <row r="26">
          <cell r="B26">
            <v>252852208.35666531</v>
          </cell>
          <cell r="C26">
            <v>34431354.274438344</v>
          </cell>
          <cell r="D26">
            <v>5585800.5581319546</v>
          </cell>
          <cell r="E26">
            <v>7323454.4492586702</v>
          </cell>
          <cell r="F26">
            <v>12999953.10832686</v>
          </cell>
          <cell r="G26">
            <v>663120.26160828595</v>
          </cell>
          <cell r="H26">
            <v>6265902.1955505116</v>
          </cell>
          <cell r="I26">
            <v>1529579.910926091</v>
          </cell>
          <cell r="J26">
            <v>10205823.5043869</v>
          </cell>
        </row>
        <row r="27">
          <cell r="B27">
            <v>6510840.5531982584</v>
          </cell>
          <cell r="C27">
            <v>886593.236296091</v>
          </cell>
          <cell r="D27">
            <v>2291723.3554156045</v>
          </cell>
          <cell r="E27">
            <v>188575.94532247499</v>
          </cell>
          <cell r="F27">
            <v>334743.45522811852</v>
          </cell>
          <cell r="G27">
            <v>17075.074483180233</v>
          </cell>
          <cell r="H27">
            <v>161344.40898225547</v>
          </cell>
          <cell r="I27">
            <v>39386.054716070874</v>
          </cell>
          <cell r="J27">
            <v>58147.770108937875</v>
          </cell>
        </row>
        <row r="28">
          <cell r="B28">
            <v>11207405.200372936</v>
          </cell>
          <cell r="C28">
            <v>1526133.1568316952</v>
          </cell>
          <cell r="D28">
            <v>978131.26940221305</v>
          </cell>
          <cell r="E28">
            <v>324604.32919589465</v>
          </cell>
          <cell r="F28">
            <v>576209.09470307245</v>
          </cell>
          <cell r="G28">
            <v>29392.100297333462</v>
          </cell>
          <cell r="H28">
            <v>277729.45036882785</v>
          </cell>
          <cell r="I28">
            <v>67797.002681970669</v>
          </cell>
          <cell r="J28">
            <v>257086.47905853955</v>
          </cell>
        </row>
        <row r="29">
          <cell r="B29">
            <v>6432197.3478406202</v>
          </cell>
          <cell r="C29">
            <v>875884.24513265677</v>
          </cell>
          <cell r="D29">
            <v>1614100.8712708279</v>
          </cell>
          <cell r="E29">
            <v>186298.17232644893</v>
          </cell>
          <cell r="F29">
            <v>330700.15266579436</v>
          </cell>
          <cell r="G29">
            <v>16868.827904400459</v>
          </cell>
          <cell r="H29">
            <v>159395.56053707804</v>
          </cell>
          <cell r="I29">
            <v>38910.31804828508</v>
          </cell>
          <cell r="J29">
            <v>74274.905982813274</v>
          </cell>
        </row>
        <row r="30">
          <cell r="B30">
            <v>8972205.1528674122</v>
          </cell>
          <cell r="C30">
            <v>1221761.8198752648</v>
          </cell>
          <cell r="D30">
            <v>1994474.1242609848</v>
          </cell>
          <cell r="E30">
            <v>259865.38212766341</v>
          </cell>
          <cell r="F30">
            <v>461290.2019864457</v>
          </cell>
          <cell r="G30">
            <v>23530.152522062457</v>
          </cell>
          <cell r="H30">
            <v>222339.20886694748</v>
          </cell>
          <cell r="I30">
            <v>54275.597779930526</v>
          </cell>
          <cell r="J30">
            <v>146179.85451393813</v>
          </cell>
        </row>
        <row r="31">
          <cell r="B31">
            <v>8444968.357938081</v>
          </cell>
          <cell r="C31">
            <v>1149967.007440309</v>
          </cell>
          <cell r="D31">
            <v>7041837.4780092556</v>
          </cell>
          <cell r="E31">
            <v>244594.82278893859</v>
          </cell>
          <cell r="F31">
            <v>434183.24628448993</v>
          </cell>
          <cell r="G31">
            <v>22147.442030209106</v>
          </cell>
          <cell r="H31">
            <v>209273.81302803621</v>
          </cell>
          <cell r="I31">
            <v>51086.182053383222</v>
          </cell>
          <cell r="J31">
            <v>115594.12906556389</v>
          </cell>
        </row>
        <row r="32">
          <cell r="B32">
            <v>78448820.116284013</v>
          </cell>
          <cell r="C32">
            <v>10682521.364517314</v>
          </cell>
          <cell r="D32">
            <v>0</v>
          </cell>
          <cell r="E32">
            <v>2272142.9425259307</v>
          </cell>
          <cell r="F32">
            <v>4033308.5858467976</v>
          </cell>
          <cell r="G32">
            <v>205736.79168738943</v>
          </cell>
          <cell r="H32">
            <v>1944031.4063288809</v>
          </cell>
          <cell r="I32">
            <v>474560.77234043099</v>
          </cell>
          <cell r="J32">
            <v>4811493.3589947587</v>
          </cell>
        </row>
        <row r="33">
          <cell r="B33">
            <v>15287895.269626115</v>
          </cell>
          <cell r="C33">
            <v>2081781.0592206013</v>
          </cell>
          <cell r="D33">
            <v>1238643.3600070628</v>
          </cell>
          <cell r="E33">
            <v>442789.11131444992</v>
          </cell>
          <cell r="F33">
            <v>786000.33957311744</v>
          </cell>
          <cell r="G33">
            <v>40093.433142314556</v>
          </cell>
          <cell r="H33">
            <v>378847.61678717379</v>
          </cell>
          <cell r="I33">
            <v>92481.128152842997</v>
          </cell>
          <cell r="J33">
            <v>180422.29632475256</v>
          </cell>
        </row>
        <row r="34">
          <cell r="B34">
            <v>56051651.358995952</v>
          </cell>
          <cell r="C34">
            <v>7632657.3461703323</v>
          </cell>
          <cell r="D34">
            <v>1123469.5087661173</v>
          </cell>
          <cell r="E34">
            <v>1623445.2457473029</v>
          </cell>
          <cell r="F34">
            <v>2881797.4106178107</v>
          </cell>
          <cell r="G34">
            <v>146998.85737333348</v>
          </cell>
          <cell r="H34">
            <v>1389009.681177682</v>
          </cell>
          <cell r="I34">
            <v>339073.48664330272</v>
          </cell>
          <cell r="J34">
            <v>1419756.267374184</v>
          </cell>
        </row>
        <row r="35">
          <cell r="B35">
            <v>11959530.725034978</v>
          </cell>
          <cell r="C35">
            <v>1628551.4847822173</v>
          </cell>
          <cell r="D35">
            <v>268768.31370974256</v>
          </cell>
          <cell r="E35">
            <v>346388.42614243046</v>
          </cell>
          <cell r="F35">
            <v>614878.31027262902</v>
          </cell>
          <cell r="G35">
            <v>31364.595131045364</v>
          </cell>
          <cell r="H35">
            <v>296367.78857808665</v>
          </cell>
          <cell r="I35">
            <v>72346.838732423683</v>
          </cell>
          <cell r="J35">
            <v>172096.21240872963</v>
          </cell>
        </row>
        <row r="36">
          <cell r="B36">
            <v>11495540.675940575</v>
          </cell>
          <cell r="C36">
            <v>1565369.0990557354</v>
          </cell>
          <cell r="D36">
            <v>2990938.5755694434</v>
          </cell>
          <cell r="E36">
            <v>332949.70630076289</v>
          </cell>
          <cell r="F36">
            <v>591023.07515263662</v>
          </cell>
          <cell r="G36">
            <v>30147.753068487145</v>
          </cell>
          <cell r="H36">
            <v>284869.70324899483</v>
          </cell>
          <cell r="I36">
            <v>69540.021807323617</v>
          </cell>
          <cell r="J36">
            <v>112421.05207906541</v>
          </cell>
        </row>
        <row r="37">
          <cell r="B37">
            <v>12070178.177360734</v>
          </cell>
          <cell r="C37">
            <v>1643618.5536259201</v>
          </cell>
          <cell r="D37">
            <v>1596932.9645806688</v>
          </cell>
          <cell r="E37">
            <v>349593.1502866277</v>
          </cell>
          <cell r="F37">
            <v>620567.055097676</v>
          </cell>
          <cell r="G37">
            <v>31654.774789785177</v>
          </cell>
          <cell r="H37">
            <v>299109.73067527433</v>
          </cell>
          <cell r="I37">
            <v>73016.178823904702</v>
          </cell>
          <cell r="J37">
            <v>185953.53518131684</v>
          </cell>
        </row>
        <row r="38">
          <cell r="B38">
            <v>17001369.166516367</v>
          </cell>
          <cell r="C38">
            <v>2315107.9784010388</v>
          </cell>
          <cell r="D38">
            <v>609657.47423477494</v>
          </cell>
          <cell r="E38">
            <v>492417.1059261043</v>
          </cell>
          <cell r="F38">
            <v>874095.59670646582</v>
          </cell>
          <cell r="G38">
            <v>44587.122424877947</v>
          </cell>
          <cell r="H38">
            <v>421309.02110838355</v>
          </cell>
          <cell r="I38">
            <v>102846.45289180128</v>
          </cell>
          <cell r="J38">
            <v>193164.96068740217</v>
          </cell>
        </row>
        <row r="39">
          <cell r="B39">
            <v>39886782.0533114</v>
          </cell>
          <cell r="C39">
            <v>5431457.1055976776</v>
          </cell>
          <cell r="D39">
            <v>1700204.1967246344</v>
          </cell>
          <cell r="E39">
            <v>1155256.0026800106</v>
          </cell>
          <cell r="F39">
            <v>2050708.9880887456</v>
          </cell>
          <cell r="G39">
            <v>104605.50659931509</v>
          </cell>
          <cell r="H39">
            <v>988429.86923313746</v>
          </cell>
          <cell r="I39">
            <v>241287.27582309139</v>
          </cell>
          <cell r="J39">
            <v>1056600.1041625477</v>
          </cell>
        </row>
        <row r="40">
          <cell r="B40">
            <v>825465357.40625024</v>
          </cell>
          <cell r="C40">
            <v>112405149.0269741</v>
          </cell>
          <cell r="D40">
            <v>0</v>
          </cell>
          <cell r="E40">
            <v>23908266.349323131</v>
          </cell>
          <cell r="F40">
            <v>42439854.52439753</v>
          </cell>
          <cell r="G40">
            <v>2164832.9959597951</v>
          </cell>
          <cell r="H40">
            <v>20455764.372944891</v>
          </cell>
          <cell r="I40">
            <v>4993491.0043301713</v>
          </cell>
          <cell r="J40">
            <v>20228838.788856879</v>
          </cell>
        </row>
        <row r="41">
          <cell r="B41">
            <v>4263200.2536111744</v>
          </cell>
          <cell r="C41">
            <v>580527.887135981</v>
          </cell>
          <cell r="D41">
            <v>1419791.229791702</v>
          </cell>
          <cell r="E41">
            <v>123476.6865130543</v>
          </cell>
          <cell r="F41">
            <v>219184.96875525321</v>
          </cell>
          <cell r="G41">
            <v>11180.501391846485</v>
          </cell>
          <cell r="H41">
            <v>105645.88698981632</v>
          </cell>
          <cell r="I41">
            <v>25789.394945605884</v>
          </cell>
          <cell r="J41">
            <v>39307.184838375819</v>
          </cell>
        </row>
        <row r="42">
          <cell r="B42">
            <v>17949050.420696057</v>
          </cell>
          <cell r="C42">
            <v>2444155.4928126112</v>
          </cell>
          <cell r="D42">
            <v>31821.793798102466</v>
          </cell>
          <cell r="E42">
            <v>519865.15766552795</v>
          </cell>
          <cell r="F42">
            <v>922818.96735070518</v>
          </cell>
          <cell r="G42">
            <v>47072.474027211836</v>
          </cell>
          <cell r="H42">
            <v>444793.40390194987</v>
          </cell>
          <cell r="I42">
            <v>108579.265026508</v>
          </cell>
          <cell r="J42">
            <v>1312778.1886425877</v>
          </cell>
        </row>
        <row r="43">
          <cell r="B43">
            <v>9042118.1570718233</v>
          </cell>
          <cell r="C43">
            <v>1231282.0033523925</v>
          </cell>
          <cell r="D43">
            <v>556857.96092559386</v>
          </cell>
          <cell r="E43">
            <v>261890.29899522601</v>
          </cell>
          <cell r="F43">
            <v>464884.65655825473</v>
          </cell>
          <cell r="G43">
            <v>23713.503618496055</v>
          </cell>
          <cell r="H43">
            <v>224071.71517721089</v>
          </cell>
          <cell r="I43">
            <v>54698.52280573341</v>
          </cell>
          <cell r="J43">
            <v>106104.01641160598</v>
          </cell>
        </row>
        <row r="44">
          <cell r="B44">
            <v>10132365.544054925</v>
          </cell>
          <cell r="C44">
            <v>1379743.0125401989</v>
          </cell>
          <cell r="D44">
            <v>4231981.3035503644</v>
          </cell>
          <cell r="E44">
            <v>293467.54773228877</v>
          </cell>
          <cell r="F44">
            <v>520937.81503913307</v>
          </cell>
          <cell r="G44">
            <v>26572.743556215701</v>
          </cell>
          <cell r="H44">
            <v>251089.01330637932</v>
          </cell>
          <cell r="I44">
            <v>61293.760837891416</v>
          </cell>
          <cell r="J44">
            <v>119399.69543599804</v>
          </cell>
        </row>
        <row r="45">
          <cell r="B45">
            <v>29152404.523080256</v>
          </cell>
          <cell r="C45">
            <v>3969737.0041160462</v>
          </cell>
          <cell r="D45">
            <v>1457150.5701858625</v>
          </cell>
          <cell r="E45">
            <v>844352.15337328427</v>
          </cell>
          <cell r="F45">
            <v>1498819.7819512112</v>
          </cell>
          <cell r="G45">
            <v>76453.950074215245</v>
          </cell>
          <cell r="H45">
            <v>722422.46446620789</v>
          </cell>
          <cell r="I45">
            <v>176351.76138464219</v>
          </cell>
          <cell r="J45">
            <v>576875.26345190546</v>
          </cell>
        </row>
        <row r="46">
          <cell r="B46">
            <v>25087172.453008395</v>
          </cell>
          <cell r="C46">
            <v>3416166.8117805566</v>
          </cell>
          <cell r="D46">
            <v>441197.57924215542</v>
          </cell>
          <cell r="E46">
            <v>726609.29447429441</v>
          </cell>
          <cell r="F46">
            <v>1289813.000365759</v>
          </cell>
          <cell r="G46">
            <v>65792.632258070546</v>
          </cell>
          <cell r="H46">
            <v>621682.40481304028</v>
          </cell>
          <cell r="I46">
            <v>151759.93619139193</v>
          </cell>
          <cell r="J46">
            <v>874267.78060306201</v>
          </cell>
        </row>
        <row r="47">
          <cell r="B47">
            <v>227002539.70222384</v>
          </cell>
          <cell r="C47">
            <v>30911356.940412857</v>
          </cell>
          <cell r="D47">
            <v>5416905.3420475209</v>
          </cell>
          <cell r="E47">
            <v>6574760.6879916182</v>
          </cell>
          <cell r="F47">
            <v>11670937.702222468</v>
          </cell>
          <cell r="G47">
            <v>595327.9367872919</v>
          </cell>
          <cell r="H47">
            <v>5625324.4579511378</v>
          </cell>
          <cell r="I47">
            <v>1373207.4033063161</v>
          </cell>
          <cell r="J47">
            <v>7052476.4702315545</v>
          </cell>
        </row>
        <row r="48">
          <cell r="B48">
            <v>438626758.76234585</v>
          </cell>
          <cell r="C48">
            <v>59728619.430888288</v>
          </cell>
          <cell r="D48">
            <v>10346430.654805433</v>
          </cell>
          <cell r="E48">
            <v>12704113.240296066</v>
          </cell>
          <cell r="F48">
            <v>22551226.002838209</v>
          </cell>
          <cell r="G48">
            <v>1150325.2944051819</v>
          </cell>
          <cell r="H48">
            <v>10869560.478108987</v>
          </cell>
          <cell r="I48">
            <v>2653386.6678796737</v>
          </cell>
          <cell r="J48">
            <v>5447250.0405576834</v>
          </cell>
        </row>
        <row r="49">
          <cell r="B49">
            <v>118194481.33510803</v>
          </cell>
          <cell r="C49">
            <v>16094761.784291599</v>
          </cell>
          <cell r="D49">
            <v>2715276.5969098071</v>
          </cell>
          <cell r="E49">
            <v>3423311.608931812</v>
          </cell>
          <cell r="F49">
            <v>6076762.0935785882</v>
          </cell>
          <cell r="G49">
            <v>309972.20033386536</v>
          </cell>
          <cell r="H49">
            <v>2928964.1760017672</v>
          </cell>
          <cell r="I49">
            <v>714994.36531515827</v>
          </cell>
          <cell r="J49">
            <v>4498678.9158758903</v>
          </cell>
        </row>
        <row r="50">
          <cell r="B50">
            <v>37674118.091050237</v>
          </cell>
          <cell r="C50">
            <v>5130154.5491753407</v>
          </cell>
          <cell r="D50">
            <v>2924616.8962597083</v>
          </cell>
          <cell r="E50">
            <v>1091169.7767994814</v>
          </cell>
          <cell r="F50">
            <v>1936948.7486950459</v>
          </cell>
          <cell r="G50">
            <v>98802.661075276104</v>
          </cell>
          <cell r="H50">
            <v>933598.09193028242</v>
          </cell>
          <cell r="I50">
            <v>227902.1985548287</v>
          </cell>
          <cell r="J50">
            <v>861372.33287796925</v>
          </cell>
        </row>
        <row r="51">
          <cell r="B51">
            <v>7569708.3308103792</v>
          </cell>
          <cell r="C51">
            <v>1030781.2258639863</v>
          </cell>
          <cell r="D51">
            <v>51786.538394713039</v>
          </cell>
          <cell r="E51">
            <v>219244.3345270959</v>
          </cell>
          <cell r="F51">
            <v>389183.28609350312</v>
          </cell>
          <cell r="G51">
            <v>19852.019490946564</v>
          </cell>
          <cell r="H51">
            <v>187584.09253359982</v>
          </cell>
          <cell r="I51">
            <v>45791.46794733627</v>
          </cell>
          <cell r="J51">
            <v>67152.646343271481</v>
          </cell>
        </row>
        <row r="52">
          <cell r="B52">
            <v>10428871.043167474</v>
          </cell>
          <cell r="C52">
            <v>1420118.7163974601</v>
          </cell>
          <cell r="D52">
            <v>654686.42056883266</v>
          </cell>
          <cell r="E52">
            <v>302055.34900489013</v>
          </cell>
          <cell r="F52">
            <v>536182.12557877868</v>
          </cell>
          <cell r="G52">
            <v>27350.347222079126</v>
          </cell>
          <cell r="H52">
            <v>258436.68280057429</v>
          </cell>
          <cell r="I52">
            <v>63087.412781329971</v>
          </cell>
          <cell r="J52">
            <v>82319.609856129988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zoomScale="120" zoomScaleNormal="120" zoomScaleSheetLayoutView="100" workbookViewId="0">
      <selection activeCell="F4" sqref="F4"/>
    </sheetView>
  </sheetViews>
  <sheetFormatPr baseColWidth="10" defaultColWidth="11.42578125" defaultRowHeight="12.75"/>
  <cols>
    <col min="1" max="1" width="50.5703125" style="11" customWidth="1"/>
    <col min="2" max="2" width="14.28515625" style="11" customWidth="1"/>
    <col min="3" max="3" width="14.85546875" style="11" customWidth="1"/>
    <col min="4" max="5" width="17.28515625" style="11" customWidth="1"/>
    <col min="6" max="6" width="13.5703125" style="11" customWidth="1"/>
    <col min="7" max="7" width="13.42578125" style="11" customWidth="1"/>
    <col min="8" max="8" width="12.7109375" style="11" customWidth="1"/>
    <col min="9" max="16384" width="11.42578125" style="11"/>
  </cols>
  <sheetData>
    <row r="1" spans="1:9" ht="27.75" customHeight="1" thickBot="1">
      <c r="A1" s="401" t="s">
        <v>352</v>
      </c>
      <c r="B1" s="401"/>
      <c r="C1" s="401"/>
      <c r="D1" s="401"/>
      <c r="E1" s="401"/>
    </row>
    <row r="2" spans="1:9" ht="13.5" thickBot="1">
      <c r="F2" s="402"/>
      <c r="G2" s="402"/>
      <c r="H2" s="402"/>
    </row>
    <row r="3" spans="1:9" ht="49.5" customHeight="1" thickBot="1">
      <c r="A3" s="314" t="s">
        <v>119</v>
      </c>
      <c r="B3" s="314" t="s">
        <v>179</v>
      </c>
      <c r="C3" s="314" t="s">
        <v>120</v>
      </c>
      <c r="D3" s="314" t="s">
        <v>121</v>
      </c>
      <c r="E3" s="314" t="s">
        <v>138</v>
      </c>
      <c r="F3" s="314" t="s">
        <v>347</v>
      </c>
      <c r="G3" s="314" t="s">
        <v>121</v>
      </c>
      <c r="H3" s="314" t="s">
        <v>345</v>
      </c>
    </row>
    <row r="4" spans="1:9" ht="25.5" customHeight="1" thickBot="1">
      <c r="A4" s="315" t="s">
        <v>122</v>
      </c>
      <c r="B4" s="316">
        <v>2498604338.7725172</v>
      </c>
      <c r="C4" s="317">
        <f t="shared" ref="C4:C12" si="0">SUM(B4:B4)</f>
        <v>2498604338.7725172</v>
      </c>
      <c r="D4" s="318">
        <v>20</v>
      </c>
      <c r="E4" s="319">
        <f t="shared" ref="E4:E12" si="1">+D4/100*C4</f>
        <v>499720867.75450349</v>
      </c>
      <c r="F4" s="317">
        <v>-14731911.300000001</v>
      </c>
      <c r="G4" s="318">
        <v>20</v>
      </c>
      <c r="H4" s="319">
        <f>+G4/100*F4</f>
        <v>-2946382.2600000002</v>
      </c>
      <c r="I4" s="69" t="s">
        <v>184</v>
      </c>
    </row>
    <row r="5" spans="1:9" ht="25.5" customHeight="1" thickBot="1">
      <c r="A5" s="315" t="s">
        <v>151</v>
      </c>
      <c r="B5" s="316">
        <v>66025355.314287424</v>
      </c>
      <c r="C5" s="317">
        <f t="shared" si="0"/>
        <v>66025355.314287424</v>
      </c>
      <c r="D5" s="318">
        <v>100</v>
      </c>
      <c r="E5" s="319">
        <f t="shared" si="1"/>
        <v>66025355.314287424</v>
      </c>
      <c r="F5" s="317"/>
      <c r="G5" s="318">
        <v>100</v>
      </c>
      <c r="H5" s="319">
        <v>0</v>
      </c>
    </row>
    <row r="6" spans="1:9" ht="25.5" customHeight="1" thickBot="1">
      <c r="A6" s="315" t="s">
        <v>150</v>
      </c>
      <c r="B6" s="316">
        <v>16398561.293919863</v>
      </c>
      <c r="C6" s="317">
        <f t="shared" si="0"/>
        <v>16398561.293919863</v>
      </c>
      <c r="D6" s="318">
        <v>100</v>
      </c>
      <c r="E6" s="319">
        <f t="shared" si="1"/>
        <v>16398561.293919863</v>
      </c>
      <c r="F6" s="317">
        <v>0</v>
      </c>
      <c r="G6" s="318">
        <v>100</v>
      </c>
      <c r="H6" s="319">
        <f t="shared" ref="H6:H12" si="2">+G6/100*F6</f>
        <v>0</v>
      </c>
    </row>
    <row r="7" spans="1:9" ht="25.5" customHeight="1" thickBot="1">
      <c r="A7" s="315" t="s">
        <v>123</v>
      </c>
      <c r="B7" s="316">
        <v>95278067.805517882</v>
      </c>
      <c r="C7" s="317">
        <f t="shared" si="0"/>
        <v>95278067.805517882</v>
      </c>
      <c r="D7" s="318">
        <v>20</v>
      </c>
      <c r="E7" s="319">
        <f t="shared" si="1"/>
        <v>19055613.561103579</v>
      </c>
      <c r="F7" s="317">
        <v>0</v>
      </c>
      <c r="G7" s="318">
        <v>20</v>
      </c>
      <c r="H7" s="319">
        <f t="shared" si="2"/>
        <v>0</v>
      </c>
    </row>
    <row r="8" spans="1:9" ht="25.5" customHeight="1" thickBot="1">
      <c r="A8" s="315" t="s">
        <v>137</v>
      </c>
      <c r="B8" s="316">
        <v>75298111</v>
      </c>
      <c r="C8" s="317">
        <f t="shared" si="0"/>
        <v>75298111</v>
      </c>
      <c r="D8" s="318">
        <v>20</v>
      </c>
      <c r="E8" s="319">
        <f t="shared" si="1"/>
        <v>15059622.200000001</v>
      </c>
      <c r="F8" s="317">
        <v>0</v>
      </c>
      <c r="G8" s="318">
        <v>20</v>
      </c>
      <c r="H8" s="319">
        <f t="shared" si="2"/>
        <v>0</v>
      </c>
    </row>
    <row r="9" spans="1:9" ht="25.5" customHeight="1" thickBot="1">
      <c r="A9" s="315" t="s">
        <v>143</v>
      </c>
      <c r="B9" s="316">
        <v>76516020</v>
      </c>
      <c r="C9" s="317">
        <f t="shared" si="0"/>
        <v>76516020</v>
      </c>
      <c r="D9" s="318">
        <v>20</v>
      </c>
      <c r="E9" s="319">
        <f t="shared" si="1"/>
        <v>15303204</v>
      </c>
      <c r="F9" s="317">
        <v>0</v>
      </c>
      <c r="G9" s="318">
        <v>20</v>
      </c>
      <c r="H9" s="319">
        <f t="shared" si="2"/>
        <v>0</v>
      </c>
    </row>
    <row r="10" spans="1:9" ht="25.5" customHeight="1" thickBot="1">
      <c r="A10" s="315" t="s">
        <v>142</v>
      </c>
      <c r="B10" s="316">
        <v>16345374</v>
      </c>
      <c r="C10" s="317">
        <f t="shared" si="0"/>
        <v>16345374</v>
      </c>
      <c r="D10" s="318">
        <v>20</v>
      </c>
      <c r="E10" s="319">
        <f t="shared" si="1"/>
        <v>3269074.8000000003</v>
      </c>
      <c r="F10" s="317">
        <v>0</v>
      </c>
      <c r="G10" s="318">
        <v>20</v>
      </c>
      <c r="H10" s="319">
        <f t="shared" si="2"/>
        <v>0</v>
      </c>
    </row>
    <row r="11" spans="1:9" ht="25.5" customHeight="1" thickBot="1">
      <c r="A11" s="315" t="s">
        <v>136</v>
      </c>
      <c r="B11" s="316">
        <v>63111145</v>
      </c>
      <c r="C11" s="317">
        <f t="shared" si="0"/>
        <v>63111145</v>
      </c>
      <c r="D11" s="318">
        <v>20</v>
      </c>
      <c r="E11" s="319">
        <f t="shared" si="1"/>
        <v>12622229</v>
      </c>
      <c r="F11" s="317">
        <v>0</v>
      </c>
      <c r="G11" s="318">
        <v>20</v>
      </c>
      <c r="H11" s="319">
        <f t="shared" si="2"/>
        <v>0</v>
      </c>
    </row>
    <row r="12" spans="1:9" ht="25.5" customHeight="1" thickBot="1">
      <c r="A12" s="315" t="s">
        <v>248</v>
      </c>
      <c r="B12" s="316">
        <v>121702008</v>
      </c>
      <c r="C12" s="317">
        <f t="shared" si="0"/>
        <v>121702008</v>
      </c>
      <c r="D12" s="318">
        <v>20</v>
      </c>
      <c r="E12" s="319">
        <f t="shared" si="1"/>
        <v>24340401.600000001</v>
      </c>
      <c r="F12" s="317">
        <v>0</v>
      </c>
      <c r="G12" s="318">
        <v>20</v>
      </c>
      <c r="H12" s="319">
        <f t="shared" si="2"/>
        <v>0</v>
      </c>
    </row>
    <row r="13" spans="1:9" ht="25.5" customHeight="1" thickBot="1">
      <c r="A13" s="320" t="s">
        <v>53</v>
      </c>
      <c r="B13" s="321">
        <f>SUM(B4:B12)</f>
        <v>3029278981.1862421</v>
      </c>
      <c r="C13" s="321">
        <f>SUM(C4:C12)</f>
        <v>3029278981.1862421</v>
      </c>
      <c r="D13" s="320"/>
      <c r="E13" s="322">
        <f>SUM(E4:E12)</f>
        <v>671794929.52381444</v>
      </c>
      <c r="F13" s="386">
        <f>SUM(F4:F12)</f>
        <v>-14731911.300000001</v>
      </c>
      <c r="G13" s="387"/>
      <c r="H13" s="387">
        <f>SUM(H4:H12)</f>
        <v>-2946382.2600000002</v>
      </c>
    </row>
    <row r="14" spans="1:9">
      <c r="A14" s="12"/>
      <c r="B14" s="12"/>
      <c r="C14" s="13"/>
      <c r="D14" s="14"/>
      <c r="E14" s="13"/>
    </row>
    <row r="15" spans="1:9">
      <c r="A15" s="15" t="s">
        <v>124</v>
      </c>
      <c r="B15" s="15"/>
    </row>
  </sheetData>
  <mergeCells count="2">
    <mergeCell ref="A1:E1"/>
    <mergeCell ref="F2:H2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showGridLines="0" tabSelected="1" zoomScale="112" zoomScaleNormal="112" zoomScaleSheetLayoutView="100" workbookViewId="0">
      <selection activeCell="M6" sqref="M6"/>
    </sheetView>
  </sheetViews>
  <sheetFormatPr baseColWidth="10" defaultColWidth="11.42578125" defaultRowHeight="12.75"/>
  <cols>
    <col min="1" max="1" width="31" style="16" customWidth="1"/>
    <col min="2" max="2" width="17.85546875" style="63" customWidth="1"/>
    <col min="3" max="4" width="14.140625" style="63" bestFit="1" customWidth="1"/>
    <col min="5" max="5" width="15.42578125" style="63" customWidth="1"/>
    <col min="6" max="7" width="14.140625" style="63" bestFit="1" customWidth="1"/>
    <col min="8" max="8" width="13.140625" style="63" bestFit="1" customWidth="1"/>
    <col min="9" max="10" width="14.140625" style="63" bestFit="1" customWidth="1"/>
    <col min="11" max="11" width="14.140625" style="63" customWidth="1"/>
    <col min="12" max="12" width="18.7109375" style="63" customWidth="1"/>
    <col min="13" max="13" width="15" style="63" bestFit="1" customWidth="1"/>
    <col min="14" max="14" width="12.5703125" style="16" bestFit="1" customWidth="1"/>
    <col min="15" max="16384" width="11.42578125" style="16"/>
  </cols>
  <sheetData>
    <row r="1" spans="1:13">
      <c r="A1" s="403" t="s">
        <v>125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</row>
    <row r="2" spans="1:13">
      <c r="A2" s="403" t="s">
        <v>147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</row>
    <row r="3" spans="1:13">
      <c r="A3" s="403" t="s">
        <v>353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</row>
    <row r="4" spans="1:13" ht="13.5" customHeight="1" thickBot="1">
      <c r="A4" s="404"/>
      <c r="B4" s="404"/>
      <c r="C4" s="404"/>
      <c r="D4" s="404"/>
      <c r="E4" s="404"/>
      <c r="F4" s="404"/>
      <c r="G4" s="404"/>
      <c r="H4" s="404"/>
      <c r="I4" s="404"/>
      <c r="J4" s="404"/>
      <c r="K4" s="302"/>
      <c r="L4" s="389"/>
      <c r="M4" s="303"/>
    </row>
    <row r="5" spans="1:13" ht="26.25" thickBot="1">
      <c r="A5" s="304" t="s">
        <v>0</v>
      </c>
      <c r="B5" s="305" t="s">
        <v>111</v>
      </c>
      <c r="C5" s="305" t="s">
        <v>149</v>
      </c>
      <c r="D5" s="305" t="s">
        <v>148</v>
      </c>
      <c r="E5" s="305" t="s">
        <v>113</v>
      </c>
      <c r="F5" s="305" t="s">
        <v>132</v>
      </c>
      <c r="G5" s="305" t="s">
        <v>145</v>
      </c>
      <c r="H5" s="305" t="s">
        <v>146</v>
      </c>
      <c r="I5" s="305" t="s">
        <v>175</v>
      </c>
      <c r="J5" s="305" t="s">
        <v>245</v>
      </c>
      <c r="K5" s="305" t="s">
        <v>246</v>
      </c>
      <c r="L5" s="305" t="s">
        <v>346</v>
      </c>
      <c r="M5" s="306" t="s">
        <v>53</v>
      </c>
    </row>
    <row r="6" spans="1:13">
      <c r="A6" s="311" t="s">
        <v>1</v>
      </c>
      <c r="B6" s="70">
        <f>ROUND('PART MES'!E$4*'CALCULO GARANTIA'!$Q7+'Ajuste 1er Sem'!O6,2)</f>
        <v>625510.39</v>
      </c>
      <c r="C6" s="70">
        <f>ROUND('PART MES'!E$5*'CALCULO GARANTIA'!$Q7+'Ajuste 1er Sem'!P6,2)</f>
        <v>82645.23</v>
      </c>
      <c r="D6" s="70">
        <f>+'Art.14 Frac.III'!P5+'Ajuste 1er Sem'!Q6</f>
        <v>1081271.1256761765</v>
      </c>
      <c r="E6" s="70">
        <f>ROUND('PART MES'!E$7*'CALCULO GARANTIA'!$Q7+'Ajuste 1er Sem'!R6,2)</f>
        <v>23852.28</v>
      </c>
      <c r="F6" s="70">
        <f>ROUND('PART MES'!E$8*'CALCULO GARANTIA'!$Q7+'Ajuste 1er Sem'!S6,2)</f>
        <v>18850.419999999998</v>
      </c>
      <c r="G6" s="70">
        <f>ROUND('PART MES'!E$9*'CALCULO GARANTIA'!$Q7+'Ajuste 1er Sem'!U6,2)</f>
        <v>19155.32</v>
      </c>
      <c r="H6" s="70">
        <f>ROUND('PART MES'!E$10*'CALCULO GARANTIA'!$Q7+'Ajuste 1er Sem'!V6,2)</f>
        <v>4091.96</v>
      </c>
      <c r="I6" s="70">
        <f>ROUND(+'PART MES'!E$11*'COEF Art 14 F II'!L8+'Ajuste 1er Sem'!W6,2)</f>
        <v>22043.52</v>
      </c>
      <c r="J6" s="70">
        <f>+'ISR NOVIEMBRE '!D7</f>
        <v>0</v>
      </c>
      <c r="K6" s="70">
        <f>+ISAI!D4+'Ajuste 1er Sem'!X6</f>
        <v>3419.7751026457813</v>
      </c>
      <c r="L6" s="70">
        <f>ROUND('PART MES'!$H$4*'CALCULO GARANTIA'!Q7,2)</f>
        <v>-3688.04</v>
      </c>
      <c r="M6" s="388">
        <f t="shared" ref="M6:M37" si="0">SUM(B6:L6)</f>
        <v>1877151.9807788224</v>
      </c>
    </row>
    <row r="7" spans="1:13">
      <c r="A7" s="312" t="s">
        <v>2</v>
      </c>
      <c r="B7" s="70">
        <f>ROUND('PART MES'!E$4*'CALCULO GARANTIA'!$Q8+'Ajuste 1er Sem'!O7,2)</f>
        <v>1238996.8400000001</v>
      </c>
      <c r="C7" s="70">
        <f>ROUND('PART MES'!E$5*'CALCULO GARANTIA'!$Q8+'Ajuste 1er Sem'!P7,2)</f>
        <v>163701.79999999999</v>
      </c>
      <c r="D7" s="70">
        <f>+'Art.14 Frac.III'!P6+'Ajuste 1er Sem'!Q7</f>
        <v>101122.01457152667</v>
      </c>
      <c r="E7" s="70">
        <f>ROUND('PART MES'!E$7*'CALCULO GARANTIA'!$Q8+'Ajuste 1er Sem'!R7,2)</f>
        <v>47246.07</v>
      </c>
      <c r="F7" s="70">
        <f>ROUND('PART MES'!E$8*'CALCULO GARANTIA'!$Q8+'Ajuste 1er Sem'!S7,2)</f>
        <v>37338.49</v>
      </c>
      <c r="G7" s="70">
        <f>ROUND('PART MES'!E$9*'CALCULO GARANTIA'!$Q8+'Ajuste 1er Sem'!U7,2)</f>
        <v>37942.42</v>
      </c>
      <c r="H7" s="70">
        <f>ROUND('PART MES'!E$10*'CALCULO GARANTIA'!$Q8+'Ajuste 1er Sem'!V7,2)</f>
        <v>8105.27</v>
      </c>
      <c r="I7" s="70">
        <f>ROUND(+'PART MES'!E$11*'COEF Art 14 F II'!L9+'Ajuste 1er Sem'!W7,2)</f>
        <v>5745.84</v>
      </c>
      <c r="J7" s="70">
        <f>+'ISR NOVIEMBRE '!D8</f>
        <v>228635</v>
      </c>
      <c r="K7" s="70">
        <f>+ISAI!D5+'Ajuste 1er Sem'!X7</f>
        <v>1162.4542684418288</v>
      </c>
      <c r="L7" s="70">
        <f>ROUND('PART MES'!$H$4*'CALCULO GARANTIA'!Q8,2)</f>
        <v>-7305.19</v>
      </c>
      <c r="M7" s="388">
        <f t="shared" si="0"/>
        <v>1862691.0088399686</v>
      </c>
    </row>
    <row r="8" spans="1:13">
      <c r="A8" s="312" t="s">
        <v>3</v>
      </c>
      <c r="B8" s="70">
        <f>ROUND('PART MES'!E$4*'CALCULO GARANTIA'!$Q9+'Ajuste 1er Sem'!O8,2)</f>
        <v>1288922.32</v>
      </c>
      <c r="C8" s="70">
        <f>ROUND('PART MES'!E$5*'CALCULO GARANTIA'!$Q9+'Ajuste 1er Sem'!P8,2)</f>
        <v>170298.18</v>
      </c>
      <c r="D8" s="70">
        <f>+'Art.14 Frac.III'!P7+'Ajuste 1er Sem'!Q8</f>
        <v>67365.549068910434</v>
      </c>
      <c r="E8" s="70">
        <f>ROUND('PART MES'!E$7*'CALCULO GARANTIA'!$Q9+'Ajuste 1er Sem'!R8,2)</f>
        <v>49149.85</v>
      </c>
      <c r="F8" s="70">
        <f>ROUND('PART MES'!E$8*'CALCULO GARANTIA'!$Q9+'Ajuste 1er Sem'!S8,2)</f>
        <v>38843.050000000003</v>
      </c>
      <c r="G8" s="70">
        <f>ROUND('PART MES'!E$9*'CALCULO GARANTIA'!$Q9+'Ajuste 1er Sem'!U8,2)</f>
        <v>39471.32</v>
      </c>
      <c r="H8" s="70">
        <f>ROUND('PART MES'!E$10*'CALCULO GARANTIA'!$Q9+'Ajuste 1er Sem'!V8,2)</f>
        <v>8431.8700000000008</v>
      </c>
      <c r="I8" s="70">
        <f>ROUND(+'PART MES'!E$11*'COEF Art 14 F II'!L10+'Ajuste 1er Sem'!W8,2)</f>
        <v>17649.89</v>
      </c>
      <c r="J8" s="70">
        <f>+'ISR NOVIEMBRE '!D9</f>
        <v>0</v>
      </c>
      <c r="K8" s="70">
        <f>+ISAI!D6+'Ajuste 1er Sem'!X8</f>
        <v>448.3660030687879</v>
      </c>
      <c r="L8" s="70">
        <f>ROUND('PART MES'!$H$4*'CALCULO GARANTIA'!Q9,2)</f>
        <v>-7599.56</v>
      </c>
      <c r="M8" s="388">
        <f t="shared" si="0"/>
        <v>1672980.8350719796</v>
      </c>
    </row>
    <row r="9" spans="1:13">
      <c r="A9" s="312" t="s">
        <v>4</v>
      </c>
      <c r="B9" s="70">
        <f>ROUND('PART MES'!E$4*'CALCULO GARANTIA'!$Q10+'Ajuste 1er Sem'!O9,2)</f>
        <v>3565074.54</v>
      </c>
      <c r="C9" s="70">
        <f>ROUND('PART MES'!E$5*'CALCULO GARANTIA'!$Q10+'Ajuste 1er Sem'!P9,2)</f>
        <v>471033.59</v>
      </c>
      <c r="D9" s="70">
        <f>+'Art.14 Frac.III'!P8+'Ajuste 1er Sem'!Q9</f>
        <v>990715.83737840608</v>
      </c>
      <c r="E9" s="70">
        <f>ROUND('PART MES'!E$7*'CALCULO GARANTIA'!$Q10+'Ajuste 1er Sem'!R9,2)</f>
        <v>135945.26</v>
      </c>
      <c r="F9" s="70">
        <f>ROUND('PART MES'!E$8*'CALCULO GARANTIA'!$Q10+'Ajuste 1er Sem'!S9,2)</f>
        <v>107437.33</v>
      </c>
      <c r="G9" s="70">
        <f>ROUND('PART MES'!E$9*'CALCULO GARANTIA'!$Q10+'Ajuste 1er Sem'!U9,2)</f>
        <v>109175.07</v>
      </c>
      <c r="H9" s="70">
        <f>ROUND('PART MES'!E$10*'CALCULO GARANTIA'!$Q10+'Ajuste 1er Sem'!V9,2)</f>
        <v>23322.01</v>
      </c>
      <c r="I9" s="70">
        <f>ROUND(+'PART MES'!E$11*'COEF Art 14 F II'!L11+'Ajuste 1er Sem'!W9,2)</f>
        <v>89487.28</v>
      </c>
      <c r="J9" s="70">
        <f>+'ISR NOVIEMBRE '!D10</f>
        <v>0</v>
      </c>
      <c r="K9" s="70">
        <f>+ISAI!D7+'Ajuste 1er Sem'!X9</f>
        <v>321986.54129856476</v>
      </c>
      <c r="L9" s="70">
        <f>ROUND('PART MES'!$H$4*'CALCULO GARANTIA'!Q10,2)</f>
        <v>-21019.88</v>
      </c>
      <c r="M9" s="388">
        <f t="shared" si="0"/>
        <v>5793157.5786769707</v>
      </c>
    </row>
    <row r="10" spans="1:13">
      <c r="A10" s="312" t="s">
        <v>5</v>
      </c>
      <c r="B10" s="70">
        <f>ROUND('PART MES'!E$4*'CALCULO GARANTIA'!$Q11+'Ajuste 1er Sem'!O10,2)</f>
        <v>4502604.16</v>
      </c>
      <c r="C10" s="70">
        <f>ROUND('PART MES'!E$5*'CALCULO GARANTIA'!$Q11+'Ajuste 1er Sem'!P10,2)</f>
        <v>594904.18999999994</v>
      </c>
      <c r="D10" s="70">
        <f>+'Art.14 Frac.III'!P9+'Ajuste 1er Sem'!Q10</f>
        <v>1462939.3907963138</v>
      </c>
      <c r="E10" s="70">
        <f>ROUND('PART MES'!E$7*'CALCULO GARANTIA'!$Q11+'Ajuste 1er Sem'!R10,2)</f>
        <v>171695.62</v>
      </c>
      <c r="F10" s="70">
        <f>ROUND('PART MES'!E$8*'CALCULO GARANTIA'!$Q11+'Ajuste 1er Sem'!S10,2)</f>
        <v>135690.79</v>
      </c>
      <c r="G10" s="70">
        <f>ROUND('PART MES'!E$9*'CALCULO GARANTIA'!$Q11+'Ajuste 1er Sem'!U10,2)</f>
        <v>137885.51999999999</v>
      </c>
      <c r="H10" s="70">
        <f>ROUND('PART MES'!E$10*'CALCULO GARANTIA'!$Q11+'Ajuste 1er Sem'!V10,2)</f>
        <v>29455.14</v>
      </c>
      <c r="I10" s="70">
        <f>ROUND(+'PART MES'!E$11*'COEF Art 14 F II'!L12+'Ajuste 1er Sem'!W10,2)</f>
        <v>57329.08</v>
      </c>
      <c r="J10" s="70">
        <f>+'ISR NOVIEMBRE '!D11</f>
        <v>197385</v>
      </c>
      <c r="K10" s="70">
        <f>+ISAI!D8+'Ajuste 1er Sem'!X10</f>
        <v>11560.588740910483</v>
      </c>
      <c r="L10" s="70">
        <f>ROUND('PART MES'!$H$4*'CALCULO GARANTIA'!Q11,2)</f>
        <v>-26547.61</v>
      </c>
      <c r="M10" s="388">
        <f t="shared" si="0"/>
        <v>7274901.8695372231</v>
      </c>
    </row>
    <row r="11" spans="1:13">
      <c r="A11" s="312" t="s">
        <v>6</v>
      </c>
      <c r="B11" s="70">
        <f>ROUND('PART MES'!E$4*'CALCULO GARANTIA'!$Q12+'Ajuste 1er Sem'!O11,2)</f>
        <v>30718734.920000002</v>
      </c>
      <c r="C11" s="70">
        <f>ROUND('PART MES'!E$5*'CALCULO GARANTIA'!$Q12+'Ajuste 1er Sem'!P11,2)</f>
        <v>4058696.6</v>
      </c>
      <c r="D11" s="70">
        <f>+'Art.14 Frac.III'!P10+'Ajuste 1er Sem'!Q11</f>
        <v>789624.53094723285</v>
      </c>
      <c r="E11" s="70">
        <f>ROUND('PART MES'!E$7*'CALCULO GARANTIA'!$Q12+'Ajuste 1er Sem'!R11,2)</f>
        <v>1171382.6200000001</v>
      </c>
      <c r="F11" s="70">
        <f>ROUND('PART MES'!E$8*'CALCULO GARANTIA'!$Q12+'Ajuste 1er Sem'!S11,2)</f>
        <v>925741.89</v>
      </c>
      <c r="G11" s="70">
        <f>ROUND('PART MES'!E$9*'CALCULO GARANTIA'!$Q12+'Ajuste 1er Sem'!U11,2)</f>
        <v>940715.3</v>
      </c>
      <c r="H11" s="70">
        <f>ROUND('PART MES'!E$10*'CALCULO GARANTIA'!$Q12+'Ajuste 1er Sem'!V11,2)</f>
        <v>200955.87</v>
      </c>
      <c r="I11" s="70">
        <f>ROUND(+'PART MES'!E$11*'COEF Art 14 F II'!L13+'Ajuste 1er Sem'!W11,2)</f>
        <v>1315907.5900000001</v>
      </c>
      <c r="J11" s="70">
        <f>+'ISR NOVIEMBRE '!D12</f>
        <v>4483761</v>
      </c>
      <c r="K11" s="70">
        <f>+ISAI!D9+'Ajuste 1er Sem'!X11</f>
        <v>2687598.5337010473</v>
      </c>
      <c r="L11" s="70">
        <f>ROUND('PART MES'!$H$4*'CALCULO GARANTIA'!Q12,2)</f>
        <v>-181119.38</v>
      </c>
      <c r="M11" s="388">
        <f t="shared" si="0"/>
        <v>47111999.474648274</v>
      </c>
    </row>
    <row r="12" spans="1:13">
      <c r="A12" s="312" t="s">
        <v>7</v>
      </c>
      <c r="B12" s="70">
        <f>ROUND('PART MES'!E$4*'CALCULO GARANTIA'!$Q13+'Ajuste 1er Sem'!O12,2)</f>
        <v>5139751.7300000004</v>
      </c>
      <c r="C12" s="70">
        <f>ROUND('PART MES'!E$5*'CALCULO GARANTIA'!$Q13+'Ajuste 1er Sem'!P12,2)</f>
        <v>679086.98</v>
      </c>
      <c r="D12" s="70">
        <f>+'Art.14 Frac.III'!P11+'Ajuste 1er Sem'!Q12</f>
        <v>0</v>
      </c>
      <c r="E12" s="70">
        <f>ROUND('PART MES'!E$7*'CALCULO GARANTIA'!$Q13+'Ajuste 1er Sem'!R12,2)</f>
        <v>195991.66</v>
      </c>
      <c r="F12" s="70">
        <f>ROUND('PART MES'!E$8*'CALCULO GARANTIA'!$Q13+'Ajuste 1er Sem'!S12,2)</f>
        <v>154891.91</v>
      </c>
      <c r="G12" s="70">
        <f>ROUND('PART MES'!E$9*'CALCULO GARANTIA'!$Q13+'Ajuste 1er Sem'!U12,2)</f>
        <v>157397.21</v>
      </c>
      <c r="H12" s="70">
        <f>ROUND('PART MES'!E$10*'CALCULO GARANTIA'!$Q13+'Ajuste 1er Sem'!V12,2)</f>
        <v>33623.24</v>
      </c>
      <c r="I12" s="70">
        <f>ROUND(+'PART MES'!E$11*'COEF Art 14 F II'!L14+'Ajuste 1er Sem'!W12,2)</f>
        <v>59613.9</v>
      </c>
      <c r="J12" s="70">
        <f>+'ISR NOVIEMBRE '!D13</f>
        <v>0</v>
      </c>
      <c r="K12" s="70">
        <f>+ISAI!D10+'Ajuste 1er Sem'!X12</f>
        <v>517.76437471150916</v>
      </c>
      <c r="L12" s="70">
        <f>ROUND('PART MES'!$H$4*'CALCULO GARANTIA'!Q13,2)</f>
        <v>-30304.26</v>
      </c>
      <c r="M12" s="388">
        <f t="shared" si="0"/>
        <v>6390570.1343747135</v>
      </c>
    </row>
    <row r="13" spans="1:13">
      <c r="A13" s="312" t="s">
        <v>8</v>
      </c>
      <c r="B13" s="70">
        <f>ROUND('PART MES'!E$4*'CALCULO GARANTIA'!$Q14+'Ajuste 1er Sem'!O13,2)</f>
        <v>817247.76</v>
      </c>
      <c r="C13" s="70">
        <f>ROUND('PART MES'!E$5*'CALCULO GARANTIA'!$Q14+'Ajuste 1er Sem'!P13,2)</f>
        <v>107978.43</v>
      </c>
      <c r="D13" s="70">
        <f>+'Art.14 Frac.III'!P12+'Ajuste 1er Sem'!Q13</f>
        <v>104087.08575317574</v>
      </c>
      <c r="E13" s="70">
        <f>ROUND('PART MES'!E$7*'CALCULO GARANTIA'!$Q14+'Ajuste 1er Sem'!R13,2)</f>
        <v>31163.71</v>
      </c>
      <c r="F13" s="70">
        <f>ROUND('PART MES'!E$8*'CALCULO GARANTIA'!$Q14+'Ajuste 1er Sem'!S13,2)</f>
        <v>24628.63</v>
      </c>
      <c r="G13" s="70">
        <f>ROUND('PART MES'!E$9*'CALCULO GARANTIA'!$Q14+'Ajuste 1er Sem'!U13,2)</f>
        <v>25026.99</v>
      </c>
      <c r="H13" s="70">
        <f>ROUND('PART MES'!E$10*'CALCULO GARANTIA'!$Q14+'Ajuste 1er Sem'!V13,2)</f>
        <v>5346.27</v>
      </c>
      <c r="I13" s="70">
        <f>ROUND(+'PART MES'!E$11*'COEF Art 14 F II'!L15+'Ajuste 1er Sem'!W13,2)</f>
        <v>8188.9</v>
      </c>
      <c r="J13" s="70">
        <f>+'ISR NOVIEMBRE '!D14</f>
        <v>0</v>
      </c>
      <c r="K13" s="70">
        <f>+ISAI!D11+'Ajuste 1er Sem'!X13</f>
        <v>10395.124608499751</v>
      </c>
      <c r="L13" s="70">
        <f>ROUND('PART MES'!$H$4*'CALCULO GARANTIA'!Q14,2)</f>
        <v>-4818.54</v>
      </c>
      <c r="M13" s="388">
        <f t="shared" si="0"/>
        <v>1129244.3603616753</v>
      </c>
    </row>
    <row r="14" spans="1:13">
      <c r="A14" s="312" t="s">
        <v>9</v>
      </c>
      <c r="B14" s="70">
        <f>ROUND('PART MES'!E$4*'CALCULO GARANTIA'!$Q15+'Ajuste 1er Sem'!O14,2)</f>
        <v>8123602.6799999997</v>
      </c>
      <c r="C14" s="70">
        <f>ROUND('PART MES'!E$5*'CALCULO GARANTIA'!$Q15+'Ajuste 1er Sem'!P14,2)</f>
        <v>1073326.71</v>
      </c>
      <c r="D14" s="70">
        <f>+'Art.14 Frac.III'!P13+'Ajuste 1er Sem'!Q14</f>
        <v>181856.35915451543</v>
      </c>
      <c r="E14" s="70">
        <f>ROUND('PART MES'!E$7*'CALCULO GARANTIA'!$Q15+'Ajuste 1er Sem'!R14,2)</f>
        <v>309773.40000000002</v>
      </c>
      <c r="F14" s="70">
        <f>ROUND('PART MES'!E$8*'CALCULO GARANTIA'!$Q15+'Ajuste 1er Sem'!S14,2)</f>
        <v>244813.45</v>
      </c>
      <c r="G14" s="70">
        <f>ROUND('PART MES'!E$9*'CALCULO GARANTIA'!$Q15+'Ajuste 1er Sem'!U14,2)</f>
        <v>248773.18</v>
      </c>
      <c r="H14" s="70">
        <f>ROUND('PART MES'!E$10*'CALCULO GARANTIA'!$Q15+'Ajuste 1er Sem'!V14,2)</f>
        <v>53143</v>
      </c>
      <c r="I14" s="70">
        <f>ROUND(+'PART MES'!E$11*'COEF Art 14 F II'!L16+'Ajuste 1er Sem'!W14,2)</f>
        <v>226393.51</v>
      </c>
      <c r="J14" s="70">
        <f>+'ISR NOVIEMBRE '!D15</f>
        <v>0</v>
      </c>
      <c r="K14" s="70">
        <f>+ISAI!D12+'Ajuste 1er Sem'!X14</f>
        <v>238956.53049840283</v>
      </c>
      <c r="L14" s="70">
        <f>ROUND('PART MES'!$H$4*'CALCULO GARANTIA'!Q15,2)</f>
        <v>-47897.22</v>
      </c>
      <c r="M14" s="388">
        <f t="shared" si="0"/>
        <v>10652741.599652916</v>
      </c>
    </row>
    <row r="15" spans="1:13">
      <c r="A15" s="312" t="s">
        <v>10</v>
      </c>
      <c r="B15" s="70">
        <f>ROUND('PART MES'!E$4*'CALCULO GARANTIA'!$Q16+'Ajuste 1er Sem'!O15,2)</f>
        <v>1349726.96</v>
      </c>
      <c r="C15" s="70">
        <f>ROUND('PART MES'!E$5*'CALCULO GARANTIA'!$Q16+'Ajuste 1er Sem'!P15,2)</f>
        <v>178331.96</v>
      </c>
      <c r="D15" s="70">
        <f>+'Art.14 Frac.III'!P14+'Ajuste 1er Sem'!Q15</f>
        <v>-126983.01551919662</v>
      </c>
      <c r="E15" s="70">
        <f>ROUND('PART MES'!E$7*'CALCULO GARANTIA'!$Q16+'Ajuste 1er Sem'!R15,2)</f>
        <v>51468.480000000003</v>
      </c>
      <c r="F15" s="70">
        <f>ROUND('PART MES'!E$8*'CALCULO GARANTIA'!$Q16+'Ajuste 1er Sem'!S15,2)</f>
        <v>40675.46</v>
      </c>
      <c r="G15" s="70">
        <f>ROUND('PART MES'!E$9*'CALCULO GARANTIA'!$Q16+'Ajuste 1er Sem'!U15,2)</f>
        <v>41333.370000000003</v>
      </c>
      <c r="H15" s="70">
        <f>ROUND('PART MES'!E$10*'CALCULO GARANTIA'!$Q16+'Ajuste 1er Sem'!V15,2)</f>
        <v>8829.65</v>
      </c>
      <c r="I15" s="70">
        <f>ROUND(+'PART MES'!E$11*'COEF Art 14 F II'!L17+'Ajuste 1er Sem'!W15,2)</f>
        <v>156210.98000000001</v>
      </c>
      <c r="J15" s="70">
        <f>+'ISR NOVIEMBRE '!D16</f>
        <v>0</v>
      </c>
      <c r="K15" s="70">
        <f>+ISAI!D13+'Ajuste 1er Sem'!X15</f>
        <v>134942.41035556921</v>
      </c>
      <c r="L15" s="70">
        <f>ROUND('PART MES'!$H$4*'CALCULO GARANTIA'!Q16,2)</f>
        <v>-7958.07</v>
      </c>
      <c r="M15" s="388">
        <f t="shared" si="0"/>
        <v>1826578.1848363725</v>
      </c>
    </row>
    <row r="16" spans="1:13">
      <c r="A16" s="312" t="s">
        <v>11</v>
      </c>
      <c r="B16" s="70">
        <f>ROUND('PART MES'!E$4*'CALCULO GARANTIA'!$Q17+'Ajuste 1er Sem'!O16,2)</f>
        <v>1960952.91</v>
      </c>
      <c r="C16" s="70">
        <f>ROUND('PART MES'!E$5*'CALCULO GARANTIA'!$Q17+'Ajuste 1er Sem'!P16,2)</f>
        <v>259089.87</v>
      </c>
      <c r="D16" s="70">
        <f>+'Art.14 Frac.III'!P15+'Ajuste 1er Sem'!Q16</f>
        <v>1675761.4235002457</v>
      </c>
      <c r="E16" s="70">
        <f>ROUND('PART MES'!E$7*'CALCULO GARANTIA'!$Q17+'Ajuste 1er Sem'!R16,2)</f>
        <v>74776.070000000007</v>
      </c>
      <c r="F16" s="70">
        <f>ROUND('PART MES'!E$8*'CALCULO GARANTIA'!$Q17+'Ajuste 1er Sem'!S16,2)</f>
        <v>59095.41</v>
      </c>
      <c r="G16" s="70">
        <f>ROUND('PART MES'!E$9*'CALCULO GARANTIA'!$Q17+'Ajuste 1er Sem'!U16,2)</f>
        <v>60051.25</v>
      </c>
      <c r="H16" s="70">
        <f>ROUND('PART MES'!E$10*'CALCULO GARANTIA'!$Q17+'Ajuste 1er Sem'!V16,2)</f>
        <v>12828.17</v>
      </c>
      <c r="I16" s="70">
        <f>ROUND(+'PART MES'!E$11*'COEF Art 14 F II'!L18+'Ajuste 1er Sem'!W16,2)</f>
        <v>16854.54</v>
      </c>
      <c r="J16" s="70">
        <f>+'ISR NOVIEMBRE '!D17</f>
        <v>0</v>
      </c>
      <c r="K16" s="70">
        <f>+ISAI!D14+'Ajuste 1er Sem'!X16</f>
        <v>8197.8876280876666</v>
      </c>
      <c r="L16" s="70">
        <f>ROUND('PART MES'!$H$4*'CALCULO GARANTIA'!Q17,2)</f>
        <v>-11561.89</v>
      </c>
      <c r="M16" s="388">
        <f t="shared" si="0"/>
        <v>4116045.6411283333</v>
      </c>
    </row>
    <row r="17" spans="1:13">
      <c r="A17" s="312" t="s">
        <v>12</v>
      </c>
      <c r="B17" s="70">
        <f>ROUND('PART MES'!E$4*'CALCULO GARANTIA'!$Q18+'Ajuste 1er Sem'!O17,2)</f>
        <v>4124170.9</v>
      </c>
      <c r="C17" s="70">
        <f>ROUND('PART MES'!E$5*'CALCULO GARANTIA'!$Q18+'Ajuste 1er Sem'!P17,2)</f>
        <v>544903.9</v>
      </c>
      <c r="D17" s="70">
        <f>+'Art.14 Frac.III'!P16+'Ajuste 1er Sem'!Q17</f>
        <v>91823.799469064237</v>
      </c>
      <c r="E17" s="70">
        <f>ROUND('PART MES'!E$7*'CALCULO GARANTIA'!$Q18+'Ajuste 1er Sem'!R17,2)</f>
        <v>157265.01</v>
      </c>
      <c r="F17" s="70">
        <f>ROUND('PART MES'!E$8*'CALCULO GARANTIA'!$Q18+'Ajuste 1er Sem'!S17,2)</f>
        <v>124286.3</v>
      </c>
      <c r="G17" s="70">
        <f>ROUND('PART MES'!E$9*'CALCULO GARANTIA'!$Q18+'Ajuste 1er Sem'!U17,2)</f>
        <v>126296.56</v>
      </c>
      <c r="H17" s="70">
        <f>ROUND('PART MES'!E$10*'CALCULO GARANTIA'!$Q18+'Ajuste 1er Sem'!V17,2)</f>
        <v>26979.51</v>
      </c>
      <c r="I17" s="70">
        <f>ROUND(+'PART MES'!E$11*'COEF Art 14 F II'!L19+'Ajuste 1er Sem'!W17,2)</f>
        <v>38830.089999999997</v>
      </c>
      <c r="J17" s="70">
        <f>+'ISR NOVIEMBRE '!D18</f>
        <v>0</v>
      </c>
      <c r="K17" s="70">
        <f>+ISAI!D15+'Ajuste 1er Sem'!X17</f>
        <v>10873.226747006784</v>
      </c>
      <c r="L17" s="70">
        <f>ROUND('PART MES'!$H$4*'CALCULO GARANTIA'!Q18,2)</f>
        <v>-24316.34</v>
      </c>
      <c r="M17" s="388">
        <f t="shared" si="0"/>
        <v>5221112.9562160699</v>
      </c>
    </row>
    <row r="18" spans="1:13">
      <c r="A18" s="312" t="s">
        <v>13</v>
      </c>
      <c r="B18" s="70">
        <f>ROUND('PART MES'!E$4*'CALCULO GARANTIA'!$Q19+'Ajuste 1er Sem'!O18,2)</f>
        <v>2098417.5499999998</v>
      </c>
      <c r="C18" s="70">
        <f>ROUND('PART MES'!E$5*'CALCULO GARANTIA'!$Q19+'Ajuste 1er Sem'!P18,2)</f>
        <v>277252.31</v>
      </c>
      <c r="D18" s="70">
        <f>+'Art.14 Frac.III'!P17+'Ajuste 1er Sem'!Q18</f>
        <v>120108.87515165881</v>
      </c>
      <c r="E18" s="70">
        <f>ROUND('PART MES'!E$7*'CALCULO GARANTIA'!$Q19+'Ajuste 1er Sem'!R18,2)</f>
        <v>80017.94</v>
      </c>
      <c r="F18" s="70">
        <f>ROUND('PART MES'!E$8*'CALCULO GARANTIA'!$Q19+'Ajuste 1er Sem'!S18,2)</f>
        <v>63238.05</v>
      </c>
      <c r="G18" s="70">
        <f>ROUND('PART MES'!E$9*'CALCULO GARANTIA'!$Q19+'Ajuste 1er Sem'!U18,2)</f>
        <v>64260.9</v>
      </c>
      <c r="H18" s="70">
        <f>ROUND('PART MES'!E$10*'CALCULO GARANTIA'!$Q19+'Ajuste 1er Sem'!V18,2)</f>
        <v>13727.43</v>
      </c>
      <c r="I18" s="70">
        <f>ROUND(+'PART MES'!E$11*'COEF Art 14 F II'!L20+'Ajuste 1er Sem'!W18,2)</f>
        <v>117603.96</v>
      </c>
      <c r="J18" s="70">
        <f>+'ISR NOVIEMBRE '!D19</f>
        <v>0</v>
      </c>
      <c r="K18" s="70">
        <f>+ISAI!D16+'Ajuste 1er Sem'!X18</f>
        <v>324268.45728892647</v>
      </c>
      <c r="L18" s="70">
        <f>ROUND('PART MES'!$H$4*'CALCULO GARANTIA'!Q19,2)</f>
        <v>-12372.39</v>
      </c>
      <c r="M18" s="388">
        <f t="shared" si="0"/>
        <v>3146523.0824405849</v>
      </c>
    </row>
    <row r="19" spans="1:13">
      <c r="A19" s="312" t="s">
        <v>14</v>
      </c>
      <c r="B19" s="70">
        <f>ROUND('PART MES'!E$4*'CALCULO GARANTIA'!$Q20+'Ajuste 1er Sem'!O19,2)</f>
        <v>11493815.300000001</v>
      </c>
      <c r="C19" s="70">
        <f>ROUND('PART MES'!E$5*'CALCULO GARANTIA'!$Q20+'Ajuste 1er Sem'!P19,2)</f>
        <v>1518614.27</v>
      </c>
      <c r="D19" s="70">
        <f>+'Art.14 Frac.III'!P18+'Ajuste 1er Sem'!Q19</f>
        <v>-57641.207860496652</v>
      </c>
      <c r="E19" s="70">
        <f>ROUND('PART MES'!E$7*'CALCULO GARANTIA'!$Q20+'Ajuste 1er Sem'!R19,2)</f>
        <v>438288.09</v>
      </c>
      <c r="F19" s="70">
        <f>ROUND('PART MES'!E$8*'CALCULO GARANTIA'!$Q20+'Ajuste 1er Sem'!S19,2)</f>
        <v>346378.4</v>
      </c>
      <c r="G19" s="70">
        <f>ROUND('PART MES'!E$9*'CALCULO GARANTIA'!$Q20+'Ajuste 1er Sem'!U19,2)</f>
        <v>351980.9</v>
      </c>
      <c r="H19" s="70">
        <f>ROUND('PART MES'!E$10*'CALCULO GARANTIA'!$Q20+'Ajuste 1er Sem'!V19,2)</f>
        <v>75190.259999999995</v>
      </c>
      <c r="I19" s="70">
        <f>ROUND(+'PART MES'!E$11*'COEF Art 14 F II'!L21+'Ajuste 1er Sem'!W19,2)</f>
        <v>181562.88</v>
      </c>
      <c r="J19" s="70">
        <f>+'ISR NOVIEMBRE '!D20</f>
        <v>0</v>
      </c>
      <c r="K19" s="70">
        <f>+ISAI!D17+'Ajuste 1er Sem'!X19</f>
        <v>1913.0636113037274</v>
      </c>
      <c r="L19" s="70">
        <f>ROUND('PART MES'!$H$4*'CALCULO GARANTIA'!Q20,2)</f>
        <v>-67768.179999999993</v>
      </c>
      <c r="M19" s="388">
        <f t="shared" si="0"/>
        <v>14282333.77575081</v>
      </c>
    </row>
    <row r="20" spans="1:13">
      <c r="A20" s="312" t="s">
        <v>15</v>
      </c>
      <c r="B20" s="70">
        <f>ROUND('PART MES'!E$4*'CALCULO GARANTIA'!$Q21+'Ajuste 1er Sem'!O20,2)</f>
        <v>1467309.77</v>
      </c>
      <c r="C20" s="70">
        <f>ROUND('PART MES'!E$5*'CALCULO GARANTIA'!$Q21+'Ajuste 1er Sem'!P20,2)</f>
        <v>193867.53</v>
      </c>
      <c r="D20" s="70">
        <f>+'Art.14 Frac.III'!P19+'Ajuste 1er Sem'!Q20</f>
        <v>139506.71489720518</v>
      </c>
      <c r="E20" s="70">
        <f>ROUND('PART MES'!E$7*'CALCULO GARANTIA'!$Q21+'Ajuste 1er Sem'!R20,2)</f>
        <v>55952.21</v>
      </c>
      <c r="F20" s="70">
        <f>ROUND('PART MES'!E$8*'CALCULO GARANTIA'!$Q21+'Ajuste 1er Sem'!S20,2)</f>
        <v>44218.95</v>
      </c>
      <c r="G20" s="70">
        <f>ROUND('PART MES'!E$9*'CALCULO GARANTIA'!$Q21+'Ajuste 1er Sem'!U20,2)</f>
        <v>44934.17</v>
      </c>
      <c r="H20" s="70">
        <f>ROUND('PART MES'!E$10*'CALCULO GARANTIA'!$Q21+'Ajuste 1er Sem'!V20,2)</f>
        <v>9598.85</v>
      </c>
      <c r="I20" s="70">
        <f>ROUND(+'PART MES'!E$11*'COEF Art 14 F II'!L22+'Ajuste 1er Sem'!W20,2)</f>
        <v>-2678.92</v>
      </c>
      <c r="J20" s="70">
        <f>+'ISR NOVIEMBRE '!D21</f>
        <v>0</v>
      </c>
      <c r="K20" s="70">
        <f>+ISAI!D18+'Ajuste 1er Sem'!X20</f>
        <v>891.41614879202893</v>
      </c>
      <c r="L20" s="70">
        <f>ROUND('PART MES'!$H$4*'CALCULO GARANTIA'!Q21,2)</f>
        <v>-8651.34</v>
      </c>
      <c r="M20" s="388">
        <f t="shared" si="0"/>
        <v>1944949.3510459971</v>
      </c>
    </row>
    <row r="21" spans="1:13">
      <c r="A21" s="312" t="s">
        <v>16</v>
      </c>
      <c r="B21" s="70">
        <f>ROUND('PART MES'!E$4*'CALCULO GARANTIA'!$Q22+'Ajuste 1er Sem'!O21,2)</f>
        <v>1021795.19</v>
      </c>
      <c r="C21" s="70">
        <f>ROUND('PART MES'!E$5*'CALCULO GARANTIA'!$Q22+'Ajuste 1er Sem'!P21,2)</f>
        <v>135004.15</v>
      </c>
      <c r="D21" s="70">
        <f>+'Art.14 Frac.III'!P20+'Ajuste 1er Sem'!Q21</f>
        <v>38328.468170241948</v>
      </c>
      <c r="E21" s="70">
        <f>ROUND('PART MES'!E$7*'CALCULO GARANTIA'!$Q22+'Ajuste 1er Sem'!R21,2)</f>
        <v>38963.620000000003</v>
      </c>
      <c r="F21" s="70">
        <f>ROUND('PART MES'!E$8*'CALCULO GARANTIA'!$Q22+'Ajuste 1er Sem'!S21,2)</f>
        <v>30792.89</v>
      </c>
      <c r="G21" s="70">
        <f>ROUND('PART MES'!E$9*'CALCULO GARANTIA'!$Q22+'Ajuste 1er Sem'!U21,2)</f>
        <v>31290.95</v>
      </c>
      <c r="H21" s="70">
        <f>ROUND('PART MES'!E$10*'CALCULO GARANTIA'!$Q22+'Ajuste 1er Sem'!V21,2)</f>
        <v>6684.38</v>
      </c>
      <c r="I21" s="70">
        <f>ROUND(+'PART MES'!E$11*'COEF Art 14 F II'!L23+'Ajuste 1er Sem'!W21,2)</f>
        <v>19639.7</v>
      </c>
      <c r="J21" s="70">
        <f>+'ISR NOVIEMBRE '!D22</f>
        <v>298643</v>
      </c>
      <c r="K21" s="70">
        <f>+ISAI!D19+'Ajuste 1er Sem'!X21</f>
        <v>27102.915347162165</v>
      </c>
      <c r="L21" s="70">
        <f>ROUND('PART MES'!$H$4*'CALCULO GARANTIA'!Q22,2)</f>
        <v>-6024.56</v>
      </c>
      <c r="M21" s="388">
        <f t="shared" si="0"/>
        <v>1642220.7035174037</v>
      </c>
    </row>
    <row r="22" spans="1:13">
      <c r="A22" s="312" t="s">
        <v>17</v>
      </c>
      <c r="B22" s="70">
        <f>ROUND('PART MES'!E$4*'CALCULO GARANTIA'!$Q23+'Ajuste 1er Sem'!O22,2)</f>
        <v>8961280.9700000007</v>
      </c>
      <c r="C22" s="70">
        <f>ROUND('PART MES'!E$5*'CALCULO GARANTIA'!$Q23+'Ajuste 1er Sem'!P22,2)</f>
        <v>1184004.51</v>
      </c>
      <c r="D22" s="70">
        <f>+'Art.14 Frac.III'!P21+'Ajuste 1er Sem'!Q22</f>
        <v>-5577.1455609439436</v>
      </c>
      <c r="E22" s="70">
        <f>ROUND('PART MES'!E$7*'CALCULO GARANTIA'!$Q23+'Ajuste 1er Sem'!R22,2)</f>
        <v>341716.18</v>
      </c>
      <c r="F22" s="70">
        <f>ROUND('PART MES'!E$8*'CALCULO GARANTIA'!$Q23+'Ajuste 1er Sem'!S22,2)</f>
        <v>270057.78000000003</v>
      </c>
      <c r="G22" s="70">
        <f>ROUND('PART MES'!E$9*'CALCULO GARANTIA'!$Q23+'Ajuste 1er Sem'!U22,2)</f>
        <v>274425.82</v>
      </c>
      <c r="H22" s="70">
        <f>ROUND('PART MES'!E$10*'CALCULO GARANTIA'!$Q23+'Ajuste 1er Sem'!V22,2)</f>
        <v>58622.92</v>
      </c>
      <c r="I22" s="70">
        <f>ROUND(+'PART MES'!E$11*'COEF Art 14 F II'!L24+'Ajuste 1er Sem'!W22,2)</f>
        <v>122785.04</v>
      </c>
      <c r="J22" s="70">
        <f>+'ISR NOVIEMBRE '!D23</f>
        <v>1892690</v>
      </c>
      <c r="K22" s="70">
        <f>+ISAI!D20+'Ajuste 1er Sem'!X22</f>
        <v>10021.448427760926</v>
      </c>
      <c r="L22" s="70">
        <f>ROUND('PART MES'!$H$4*'CALCULO GARANTIA'!Q23,2)</f>
        <v>-52836.22</v>
      </c>
      <c r="M22" s="388">
        <f t="shared" si="0"/>
        <v>13057191.302866815</v>
      </c>
    </row>
    <row r="23" spans="1:13">
      <c r="A23" s="312" t="s">
        <v>18</v>
      </c>
      <c r="B23" s="70">
        <f>ROUND('PART MES'!E$4*'CALCULO GARANTIA'!$Q24+'Ajuste 1er Sem'!O23,2)</f>
        <v>10991318.82</v>
      </c>
      <c r="C23" s="70">
        <f>ROUND('PART MES'!E$5*'CALCULO GARANTIA'!$Q24+'Ajuste 1er Sem'!P23,2)</f>
        <v>1452222.19</v>
      </c>
      <c r="D23" s="70">
        <f>+'Art.14 Frac.III'!P22+'Ajuste 1er Sem'!Q23</f>
        <v>256950.55042032909</v>
      </c>
      <c r="E23" s="70">
        <f>ROUND('PART MES'!E$7*'CALCULO GARANTIA'!$Q24+'Ajuste 1er Sem'!R23,2)</f>
        <v>419126.63</v>
      </c>
      <c r="F23" s="70">
        <f>ROUND('PART MES'!E$8*'CALCULO GARANTIA'!$Q24+'Ajuste 1er Sem'!S23,2)</f>
        <v>331235.13</v>
      </c>
      <c r="G23" s="70">
        <f>ROUND('PART MES'!E$9*'CALCULO GARANTIA'!$Q24+'Ajuste 1er Sem'!U23,2)</f>
        <v>336592.7</v>
      </c>
      <c r="H23" s="70">
        <f>ROUND('PART MES'!E$10*'CALCULO GARANTIA'!$Q24+'Ajuste 1er Sem'!V23,2)</f>
        <v>71903.03</v>
      </c>
      <c r="I23" s="70">
        <f>ROUND(+'PART MES'!E$11*'COEF Art 14 F II'!L25+'Ajuste 1er Sem'!W23,2)</f>
        <v>669768.16</v>
      </c>
      <c r="J23" s="70">
        <f>+'ISR NOVIEMBRE '!D24</f>
        <v>0</v>
      </c>
      <c r="K23" s="70">
        <f>+ISAI!D21+'Ajuste 1er Sem'!X23</f>
        <v>2212936.1083573299</v>
      </c>
      <c r="L23" s="70">
        <f>ROUND('PART MES'!$H$4*'CALCULO GARANTIA'!Q24,2)</f>
        <v>-64805.43</v>
      </c>
      <c r="M23" s="388">
        <f t="shared" si="0"/>
        <v>16677247.888777658</v>
      </c>
    </row>
    <row r="24" spans="1:13">
      <c r="A24" s="312" t="s">
        <v>19</v>
      </c>
      <c r="B24" s="70">
        <f>ROUND('PART MES'!E$4*'CALCULO GARANTIA'!$Q25+'Ajuste 1er Sem'!O24,2)</f>
        <v>1722361.31</v>
      </c>
      <c r="C24" s="70">
        <f>ROUND('PART MES'!E$5*'CALCULO GARANTIA'!$Q25+'Ajuste 1er Sem'!P24,2)</f>
        <v>227566.07999999999</v>
      </c>
      <c r="D24" s="70">
        <f>+'Art.14 Frac.III'!P23+'Ajuste 1er Sem'!Q24</f>
        <v>77807.406366829411</v>
      </c>
      <c r="E24" s="70">
        <f>ROUND('PART MES'!E$7*'CALCULO GARANTIA'!$Q25+'Ajuste 1er Sem'!R24,2)</f>
        <v>65677.97</v>
      </c>
      <c r="F24" s="70">
        <f>ROUND('PART MES'!E$8*'CALCULO GARANTIA'!$Q25+'Ajuste 1er Sem'!S24,2)</f>
        <v>51905.2</v>
      </c>
      <c r="G24" s="70">
        <f>ROUND('PART MES'!E$9*'CALCULO GARANTIA'!$Q25+'Ajuste 1er Sem'!U24,2)</f>
        <v>52744.74</v>
      </c>
      <c r="H24" s="70">
        <f>ROUND('PART MES'!E$10*'CALCULO GARANTIA'!$Q25+'Ajuste 1er Sem'!V24,2)</f>
        <v>11267.35</v>
      </c>
      <c r="I24" s="70">
        <f>ROUND(+'PART MES'!E$11*'COEF Art 14 F II'!L26+'Ajuste 1er Sem'!W24,2)</f>
        <v>24300.79</v>
      </c>
      <c r="J24" s="70">
        <f>+'ISR NOVIEMBRE '!D25</f>
        <v>0</v>
      </c>
      <c r="K24" s="70">
        <f>+ISAI!D22+'Ajuste 1er Sem'!X24</f>
        <v>10941.802156639736</v>
      </c>
      <c r="L24" s="70">
        <f>ROUND('PART MES'!$H$4*'CALCULO GARANTIA'!Q25,2)</f>
        <v>-10155.14</v>
      </c>
      <c r="M24" s="388">
        <f t="shared" si="0"/>
        <v>2234417.5085234693</v>
      </c>
    </row>
    <row r="25" spans="1:13">
      <c r="A25" s="312" t="s">
        <v>20</v>
      </c>
      <c r="B25" s="70">
        <f>ROUND('PART MES'!E$4*'CALCULO GARANTIA'!$Q26+'Ajuste 1er Sem'!O25,2)</f>
        <v>23543659.760000002</v>
      </c>
      <c r="C25" s="70">
        <f>ROUND('PART MES'!E$5*'CALCULO GARANTIA'!$Q26+'Ajuste 1er Sem'!P25,2)</f>
        <v>3110693.59</v>
      </c>
      <c r="D25" s="70">
        <f>+'Art.14 Frac.III'!P24+'Ajuste 1er Sem'!Q25</f>
        <v>326192.26124809607</v>
      </c>
      <c r="E25" s="70">
        <f>ROUND('PART MES'!E$7*'CALCULO GARANTIA'!$Q26+'Ajuste 1er Sem'!R25,2)</f>
        <v>897778.96</v>
      </c>
      <c r="F25" s="70">
        <f>ROUND('PART MES'!E$8*'CALCULO GARANTIA'!$Q26+'Ajuste 1er Sem'!S25,2)</f>
        <v>709513.34</v>
      </c>
      <c r="G25" s="70">
        <f>ROUND('PART MES'!E$9*'CALCULO GARANTIA'!$Q26+'Ajuste 1er Sem'!U25,2)</f>
        <v>720989.36</v>
      </c>
      <c r="H25" s="70">
        <f>ROUND('PART MES'!E$10*'CALCULO GARANTIA'!$Q26+'Ajuste 1er Sem'!V25,2)</f>
        <v>154017.95000000001</v>
      </c>
      <c r="I25" s="70">
        <f>ROUND(+'PART MES'!E$11*'COEF Art 14 F II'!L27+'Ajuste 1er Sem'!W25,2)</f>
        <v>874283.59</v>
      </c>
      <c r="J25" s="70">
        <f>+'ISR NOVIEMBRE '!D26</f>
        <v>3160997</v>
      </c>
      <c r="K25" s="70">
        <f>+ISAI!D23+'Ajuste 1er Sem'!X25</f>
        <v>828468.2337929185</v>
      </c>
      <c r="L25" s="70">
        <f>ROUND('PART MES'!$H$4*'CALCULO GARANTIA'!Q26,2)</f>
        <v>-138814.74</v>
      </c>
      <c r="M25" s="388">
        <f t="shared" si="0"/>
        <v>34187779.305041015</v>
      </c>
    </row>
    <row r="26" spans="1:13">
      <c r="A26" s="312" t="s">
        <v>21</v>
      </c>
      <c r="B26" s="70">
        <f>ROUND('PART MES'!E$4*'CALCULO GARANTIA'!$Q27+'Ajuste 1er Sem'!O26,2)</f>
        <v>3476132.38</v>
      </c>
      <c r="C26" s="70">
        <f>ROUND('PART MES'!E$5*'CALCULO GARANTIA'!$Q27+'Ajuste 1er Sem'!P26,2)</f>
        <v>459282.15</v>
      </c>
      <c r="D26" s="70">
        <f>+'Art.14 Frac.III'!P25+'Ajuste 1er Sem'!Q26</f>
        <v>60123.671938209591</v>
      </c>
      <c r="E26" s="70">
        <f>ROUND('PART MES'!E$7*'CALCULO GARANTIA'!$Q27+'Ajuste 1er Sem'!R26,2)</f>
        <v>132553.67000000001</v>
      </c>
      <c r="F26" s="70">
        <f>ROUND('PART MES'!E$8*'CALCULO GARANTIA'!$Q27+'Ajuste 1er Sem'!S26,2)</f>
        <v>104756.96</v>
      </c>
      <c r="G26" s="70">
        <f>ROUND('PART MES'!E$9*'CALCULO GARANTIA'!$Q27+'Ajuste 1er Sem'!U26,2)</f>
        <v>106451.35</v>
      </c>
      <c r="H26" s="70">
        <f>ROUND('PART MES'!E$10*'CALCULO GARANTIA'!$Q27+'Ajuste 1er Sem'!V26,2)</f>
        <v>22740.17</v>
      </c>
      <c r="I26" s="70">
        <f>ROUND(+'PART MES'!E$11*'COEF Art 14 F II'!L28+'Ajuste 1er Sem'!W26,2)</f>
        <v>49300.21</v>
      </c>
      <c r="J26" s="70">
        <f>+'ISR NOVIEMBRE '!D27</f>
        <v>0</v>
      </c>
      <c r="K26" s="70">
        <f>+ISAI!D24+'Ajuste 1er Sem'!X26</f>
        <v>20308.619008867754</v>
      </c>
      <c r="L26" s="70">
        <f>ROUND('PART MES'!$H$4*'CALCULO GARANTIA'!Q27,2)</f>
        <v>-20495.47</v>
      </c>
      <c r="M26" s="388">
        <f t="shared" si="0"/>
        <v>4411153.7109470777</v>
      </c>
    </row>
    <row r="27" spans="1:13">
      <c r="A27" s="312" t="s">
        <v>22</v>
      </c>
      <c r="B27" s="70">
        <f>ROUND('PART MES'!E$4*'CALCULO GARANTIA'!$Q28+'Ajuste 1er Sem'!O27,2)</f>
        <v>557573.11</v>
      </c>
      <c r="C27" s="70">
        <f>ROUND('PART MES'!E$5*'CALCULO GARANTIA'!$Q28+'Ajuste 1er Sem'!P27,2)</f>
        <v>73669.05</v>
      </c>
      <c r="D27" s="70">
        <f>+'Art.14 Frac.III'!P26+'Ajuste 1er Sem'!Q27</f>
        <v>-43162.281583362492</v>
      </c>
      <c r="E27" s="70">
        <f>ROUND('PART MES'!E$7*'CALCULO GARANTIA'!$Q28+'Ajuste 1er Sem'!R27,2)</f>
        <v>21261.66</v>
      </c>
      <c r="F27" s="70">
        <f>ROUND('PART MES'!E$8*'CALCULO GARANTIA'!$Q28+'Ajuste 1er Sem'!S27,2)</f>
        <v>16803.060000000001</v>
      </c>
      <c r="G27" s="70">
        <f>ROUND('PART MES'!E$9*'CALCULO GARANTIA'!$Q28+'Ajuste 1er Sem'!U27,2)</f>
        <v>17074.84</v>
      </c>
      <c r="H27" s="70">
        <f>ROUND('PART MES'!E$10*'CALCULO GARANTIA'!$Q28+'Ajuste 1er Sem'!V27,2)</f>
        <v>3647.53</v>
      </c>
      <c r="I27" s="70">
        <f>ROUND(+'PART MES'!E$11*'COEF Art 14 F II'!L29+'Ajuste 1er Sem'!W27,2)</f>
        <v>13106.2</v>
      </c>
      <c r="J27" s="70">
        <f>+'ISR NOVIEMBRE '!D28</f>
        <v>0</v>
      </c>
      <c r="K27" s="70">
        <f>+ISAI!D25+'Ajuste 1er Sem'!X27</f>
        <v>1021.2987959644487</v>
      </c>
      <c r="L27" s="70">
        <f>ROUND('PART MES'!$H$4*'CALCULO GARANTIA'!Q28,2)</f>
        <v>-3287.48</v>
      </c>
      <c r="M27" s="388">
        <f t="shared" si="0"/>
        <v>657706.98721260205</v>
      </c>
    </row>
    <row r="28" spans="1:13">
      <c r="A28" s="312" t="s">
        <v>23</v>
      </c>
      <c r="B28" s="70">
        <f>ROUND('PART MES'!E$4*'CALCULO GARANTIA'!$Q29+'Ajuste 1er Sem'!O28,2)</f>
        <v>2582116.33</v>
      </c>
      <c r="C28" s="70">
        <f>ROUND('PART MES'!E$5*'CALCULO GARANTIA'!$Q29+'Ajuste 1er Sem'!P28,2)</f>
        <v>341160.75</v>
      </c>
      <c r="D28" s="70">
        <f>+'Art.14 Frac.III'!P27+'Ajuste 1er Sem'!Q28</f>
        <v>112710.21387744372</v>
      </c>
      <c r="E28" s="70">
        <f>ROUND('PART MES'!E$7*'CALCULO GARANTIA'!$Q29+'Ajuste 1er Sem'!R28,2)</f>
        <v>98462.59</v>
      </c>
      <c r="F28" s="70">
        <f>ROUND('PART MES'!E$8*'CALCULO GARANTIA'!$Q29+'Ajuste 1er Sem'!S28,2)</f>
        <v>77814.83</v>
      </c>
      <c r="G28" s="70">
        <f>ROUND('PART MES'!E$9*'CALCULO GARANTIA'!$Q29+'Ajuste 1er Sem'!U28,2)</f>
        <v>79073.45</v>
      </c>
      <c r="H28" s="70">
        <f>ROUND('PART MES'!E$10*'CALCULO GARANTIA'!$Q29+'Ajuste 1er Sem'!V28,2)</f>
        <v>16891.689999999999</v>
      </c>
      <c r="I28" s="70">
        <f>ROUND(+'PART MES'!E$11*'COEF Art 14 F II'!L30+'Ajuste 1er Sem'!W28,2)</f>
        <v>31227.39</v>
      </c>
      <c r="J28" s="70">
        <f>+'ISR NOVIEMBRE '!D29</f>
        <v>0</v>
      </c>
      <c r="K28" s="70">
        <f>+ISAI!D26+'Ajuste 1er Sem'!X28</f>
        <v>176.45796038369281</v>
      </c>
      <c r="L28" s="70">
        <f>ROUND('PART MES'!$H$4*'CALCULO GARANTIA'!Q29,2)</f>
        <v>-15224.3</v>
      </c>
      <c r="M28" s="388">
        <f t="shared" si="0"/>
        <v>3324409.4018378276</v>
      </c>
    </row>
    <row r="29" spans="1:13">
      <c r="A29" s="312" t="s">
        <v>24</v>
      </c>
      <c r="B29" s="70">
        <f>ROUND('PART MES'!E$4*'CALCULO GARANTIA'!$Q30+'Ajuste 1er Sem'!O29,2)</f>
        <v>2515947.94</v>
      </c>
      <c r="C29" s="70">
        <f>ROUND('PART MES'!E$5*'CALCULO GARANTIA'!$Q30+'Ajuste 1er Sem'!P29,2)</f>
        <v>332418.28999999998</v>
      </c>
      <c r="D29" s="70">
        <f>+'Art.14 Frac.III'!P28+'Ajuste 1er Sem'!Q29</f>
        <v>944292.60117731779</v>
      </c>
      <c r="E29" s="70">
        <f>ROUND('PART MES'!E$7*'CALCULO GARANTIA'!$Q30+'Ajuste 1er Sem'!R29,2)</f>
        <v>95939.42</v>
      </c>
      <c r="F29" s="70">
        <f>ROUND('PART MES'!E$8*'CALCULO GARANTIA'!$Q30+'Ajuste 1er Sem'!S29,2)</f>
        <v>75820.78</v>
      </c>
      <c r="G29" s="70">
        <f>ROUND('PART MES'!E$9*'CALCULO GARANTIA'!$Q30+'Ajuste 1er Sem'!U29,2)</f>
        <v>77047.14</v>
      </c>
      <c r="H29" s="70">
        <f>ROUND('PART MES'!E$10*'CALCULO GARANTIA'!$Q30+'Ajuste 1er Sem'!V29,2)</f>
        <v>16458.830000000002</v>
      </c>
      <c r="I29" s="70">
        <f>ROUND(+'PART MES'!E$11*'COEF Art 14 F II'!L31+'Ajuste 1er Sem'!W29,2)</f>
        <v>200291.82</v>
      </c>
      <c r="J29" s="70">
        <f>+'ISR NOVIEMBRE '!D30</f>
        <v>0</v>
      </c>
      <c r="K29" s="70">
        <f>+ISAI!D27+'Ajuste 1er Sem'!X29</f>
        <v>53063.071509552028</v>
      </c>
      <c r="L29" s="70">
        <f>ROUND('PART MES'!$H$4*'CALCULO GARANTIA'!Q30,2)</f>
        <v>-14834.17</v>
      </c>
      <c r="M29" s="388">
        <f t="shared" si="0"/>
        <v>4296445.72268687</v>
      </c>
    </row>
    <row r="30" spans="1:13">
      <c r="A30" s="312" t="s">
        <v>25</v>
      </c>
      <c r="B30" s="70">
        <f>ROUND('PART MES'!E$4*'CALCULO GARANTIA'!$Q31+'Ajuste 1er Sem'!O30,2)</f>
        <v>40267065.560000002</v>
      </c>
      <c r="C30" s="70">
        <f>ROUND('PART MES'!E$5*'CALCULO GARANTIA'!$Q31+'Ajuste 1er Sem'!P30,2)</f>
        <v>5320264.74</v>
      </c>
      <c r="D30" s="70">
        <f>+'Art.14 Frac.III'!P29+'Ajuste 1er Sem'!Q30</f>
        <v>530409.91782207717</v>
      </c>
      <c r="E30" s="70">
        <f>ROUND('PART MES'!E$7*'CALCULO GARANTIA'!$Q31+'Ajuste 1er Sem'!R30,2)</f>
        <v>1535484.49</v>
      </c>
      <c r="F30" s="70">
        <f>ROUND('PART MES'!E$8*'CALCULO GARANTIA'!$Q31+'Ajuste 1er Sem'!S30,2)</f>
        <v>1213491.04</v>
      </c>
      <c r="G30" s="70">
        <f>ROUND('PART MES'!E$9*'CALCULO GARANTIA'!$Q31+'Ajuste 1er Sem'!U30,2)</f>
        <v>1233118.6399999999</v>
      </c>
      <c r="H30" s="70">
        <f>ROUND('PART MES'!E$10*'CALCULO GARANTIA'!$Q31+'Ajuste 1er Sem'!V30,2)</f>
        <v>263419.15999999997</v>
      </c>
      <c r="I30" s="70">
        <f>ROUND(+'PART MES'!E$11*'COEF Art 14 F II'!L32+'Ajuste 1er Sem'!W30,2)</f>
        <v>1253852.8500000001</v>
      </c>
      <c r="J30" s="70">
        <f>+'ISR NOVIEMBRE '!D31</f>
        <v>5171639</v>
      </c>
      <c r="K30" s="70">
        <f>+ISAI!D28+'Ajuste 1er Sem'!X30</f>
        <v>1646816.0937419657</v>
      </c>
      <c r="L30" s="70">
        <f>ROUND('PART MES'!$H$4*'CALCULO GARANTIA'!Q31,2)</f>
        <v>-237416.88</v>
      </c>
      <c r="M30" s="388">
        <f t="shared" si="0"/>
        <v>58198144.611564048</v>
      </c>
    </row>
    <row r="31" spans="1:13">
      <c r="A31" s="312" t="s">
        <v>26</v>
      </c>
      <c r="B31" s="70">
        <f>ROUND('PART MES'!E$4*'CALCULO GARANTIA'!$Q32+'Ajuste 1er Sem'!O31,2)</f>
        <v>1036860.4</v>
      </c>
      <c r="C31" s="70">
        <f>ROUND('PART MES'!E$5*'CALCULO GARANTIA'!$Q32+'Ajuste 1er Sem'!P31,2)</f>
        <v>136994.63</v>
      </c>
      <c r="D31" s="70">
        <f>+'Art.14 Frac.III'!P30+'Ajuste 1er Sem'!Q31</f>
        <v>58521.757030384615</v>
      </c>
      <c r="E31" s="70">
        <f>ROUND('PART MES'!E$7*'CALCULO GARANTIA'!$Q32+'Ajuste 1er Sem'!R31,2)</f>
        <v>39538.089999999997</v>
      </c>
      <c r="F31" s="70">
        <f>ROUND('PART MES'!E$8*'CALCULO GARANTIA'!$Q32+'Ajuste 1er Sem'!S31,2)</f>
        <v>31246.9</v>
      </c>
      <c r="G31" s="70">
        <f>ROUND('PART MES'!E$9*'CALCULO GARANTIA'!$Q32+'Ajuste 1er Sem'!U31,2)</f>
        <v>31752.3</v>
      </c>
      <c r="H31" s="70">
        <f>ROUND('PART MES'!E$10*'CALCULO GARANTIA'!$Q32+'Ajuste 1er Sem'!V31,2)</f>
        <v>6782.94</v>
      </c>
      <c r="I31" s="70">
        <f>ROUND(+'PART MES'!E$11*'COEF Art 14 F II'!L33+'Ajuste 1er Sem'!W31,2)</f>
        <v>3362.38</v>
      </c>
      <c r="J31" s="70">
        <f>+'ISR NOVIEMBRE '!D32</f>
        <v>0</v>
      </c>
      <c r="K31" s="70">
        <f>+ISAI!D29+'Ajuste 1er Sem'!X31</f>
        <v>72.355281879738556</v>
      </c>
      <c r="L31" s="70">
        <f>ROUND('PART MES'!$H$4*'CALCULO GARANTIA'!Q32,2)</f>
        <v>-6113.39</v>
      </c>
      <c r="M31" s="388">
        <f t="shared" si="0"/>
        <v>1339018.3623122643</v>
      </c>
    </row>
    <row r="32" spans="1:13">
      <c r="A32" s="312" t="s">
        <v>27</v>
      </c>
      <c r="B32" s="70">
        <f>ROUND('PART MES'!E$4*'CALCULO GARANTIA'!$Q33+'Ajuste 1er Sem'!O32,2)</f>
        <v>1784794.85</v>
      </c>
      <c r="C32" s="70">
        <f>ROUND('PART MES'!E$5*'CALCULO GARANTIA'!$Q33+'Ajuste 1er Sem'!P32,2)</f>
        <v>235815.08</v>
      </c>
      <c r="D32" s="70">
        <f>+'Art.14 Frac.III'!P31+'Ajuste 1er Sem'!Q32</f>
        <v>246909.75618197737</v>
      </c>
      <c r="E32" s="70">
        <f>ROUND('PART MES'!E$7*'CALCULO GARANTIA'!$Q33+'Ajuste 1er Sem'!R32,2)</f>
        <v>68058.720000000001</v>
      </c>
      <c r="F32" s="70">
        <f>ROUND('PART MES'!E$8*'CALCULO GARANTIA'!$Q33+'Ajuste 1er Sem'!S32,2)</f>
        <v>53786.7</v>
      </c>
      <c r="G32" s="70">
        <f>ROUND('PART MES'!E$9*'CALCULO GARANTIA'!$Q33+'Ajuste 1er Sem'!U32,2)</f>
        <v>54656.67</v>
      </c>
      <c r="H32" s="70">
        <f>ROUND('PART MES'!E$10*'CALCULO GARANTIA'!$Q33+'Ajuste 1er Sem'!V32,2)</f>
        <v>11675.77</v>
      </c>
      <c r="I32" s="70">
        <f>ROUND(+'PART MES'!E$11*'COEF Art 14 F II'!L34+'Ajuste 1er Sem'!W32,2)</f>
        <v>24931.53</v>
      </c>
      <c r="J32" s="70">
        <f>+'ISR NOVIEMBRE '!D33</f>
        <v>0</v>
      </c>
      <c r="K32" s="70">
        <f>+ISAI!D30+'Ajuste 1er Sem'!X32</f>
        <v>21.791659201444006</v>
      </c>
      <c r="L32" s="70">
        <f>ROUND('PART MES'!$H$4*'CALCULO GARANTIA'!Q33,2)</f>
        <v>-10523.25</v>
      </c>
      <c r="M32" s="388">
        <f t="shared" si="0"/>
        <v>2470127.617841179</v>
      </c>
    </row>
    <row r="33" spans="1:13">
      <c r="A33" s="312" t="s">
        <v>28</v>
      </c>
      <c r="B33" s="70">
        <f>ROUND('PART MES'!E$4*'CALCULO GARANTIA'!$Q34+'Ajuste 1er Sem'!O33,2)</f>
        <v>1024336.36</v>
      </c>
      <c r="C33" s="70">
        <f>ROUND('PART MES'!E$5*'CALCULO GARANTIA'!$Q34+'Ajuste 1er Sem'!P33,2)</f>
        <v>135339.9</v>
      </c>
      <c r="D33" s="70">
        <f>+'Art.14 Frac.III'!P32+'Ajuste 1er Sem'!Q33</f>
        <v>477819.16273290344</v>
      </c>
      <c r="E33" s="70">
        <f>ROUND('PART MES'!E$7*'CALCULO GARANTIA'!$Q34+'Ajuste 1er Sem'!R33,2)</f>
        <v>39060.519999999997</v>
      </c>
      <c r="F33" s="70">
        <f>ROUND('PART MES'!E$8*'CALCULO GARANTIA'!$Q34+'Ajuste 1er Sem'!S33,2)</f>
        <v>30869.47</v>
      </c>
      <c r="G33" s="70">
        <f>ROUND('PART MES'!E$9*'CALCULO GARANTIA'!$Q34+'Ajuste 1er Sem'!U33,2)</f>
        <v>31368.77</v>
      </c>
      <c r="H33" s="70">
        <f>ROUND('PART MES'!E$10*'CALCULO GARANTIA'!$Q34+'Ajuste 1er Sem'!V33,2)</f>
        <v>6701.01</v>
      </c>
      <c r="I33" s="70">
        <f>ROUND(+'PART MES'!E$11*'COEF Art 14 F II'!L35+'Ajuste 1er Sem'!W33,2)</f>
        <v>-134.16</v>
      </c>
      <c r="J33" s="70">
        <f>+'ISR NOVIEMBRE '!D34</f>
        <v>214969</v>
      </c>
      <c r="K33" s="70">
        <f>+ISAI!D31+'Ajuste 1er Sem'!X33</f>
        <v>3249.5628497058733</v>
      </c>
      <c r="L33" s="70">
        <f>ROUND('PART MES'!$H$4*'CALCULO GARANTIA'!Q34,2)</f>
        <v>-6039.54</v>
      </c>
      <c r="M33" s="388">
        <f t="shared" si="0"/>
        <v>1957540.0555826093</v>
      </c>
    </row>
    <row r="34" spans="1:13">
      <c r="A34" s="312" t="s">
        <v>29</v>
      </c>
      <c r="B34" s="70">
        <f>ROUND('PART MES'!E$4*'CALCULO GARANTIA'!$Q35+'Ajuste 1er Sem'!O34,2)</f>
        <v>1428836.14</v>
      </c>
      <c r="C34" s="70">
        <f>ROUND('PART MES'!E$5*'CALCULO GARANTIA'!$Q35+'Ajuste 1er Sem'!P34,2)</f>
        <v>188784.22</v>
      </c>
      <c r="D34" s="70">
        <f>+'Art.14 Frac.III'!P33+'Ajuste 1er Sem'!Q34</f>
        <v>338739.6281080448</v>
      </c>
      <c r="E34" s="70">
        <f>ROUND('PART MES'!E$7*'CALCULO GARANTIA'!$Q35+'Ajuste 1er Sem'!R34,2)</f>
        <v>54485.120000000003</v>
      </c>
      <c r="F34" s="70">
        <f>ROUND('PART MES'!E$8*'CALCULO GARANTIA'!$Q35+'Ajuste 1er Sem'!S34,2)</f>
        <v>43059.5</v>
      </c>
      <c r="G34" s="70">
        <f>ROUND('PART MES'!E$9*'CALCULO GARANTIA'!$Q35+'Ajuste 1er Sem'!U34,2)</f>
        <v>43755.97</v>
      </c>
      <c r="H34" s="70">
        <f>ROUND('PART MES'!E$10*'CALCULO GARANTIA'!$Q35+'Ajuste 1er Sem'!V34,2)</f>
        <v>9347.16</v>
      </c>
      <c r="I34" s="70">
        <f>ROUND(+'PART MES'!E$11*'COEF Art 14 F II'!L36+'Ajuste 1er Sem'!W34,2)</f>
        <v>15717.69</v>
      </c>
      <c r="J34" s="70">
        <f>+'ISR NOVIEMBRE '!D35</f>
        <v>37952</v>
      </c>
      <c r="K34" s="70">
        <f>+ISAI!D32+'Ajuste 1er Sem'!X34</f>
        <v>6145.4541528615509</v>
      </c>
      <c r="L34" s="70">
        <f>ROUND('PART MES'!$H$4*'CALCULO GARANTIA'!Q35,2)</f>
        <v>-8424.5</v>
      </c>
      <c r="M34" s="388">
        <f t="shared" si="0"/>
        <v>2158398.3822609065</v>
      </c>
    </row>
    <row r="35" spans="1:13">
      <c r="A35" s="312" t="s">
        <v>30</v>
      </c>
      <c r="B35" s="70">
        <f>ROUND('PART MES'!E$4*'CALCULO GARANTIA'!$Q36+'Ajuste 1er Sem'!O35,2)</f>
        <v>1344872.94</v>
      </c>
      <c r="C35" s="70">
        <f>ROUND('PART MES'!E$5*'CALCULO GARANTIA'!$Q36+'Ajuste 1er Sem'!P35,2)</f>
        <v>177690.63</v>
      </c>
      <c r="D35" s="70">
        <f>+'Art.14 Frac.III'!P34+'Ajuste 1er Sem'!Q35</f>
        <v>269198.71399365005</v>
      </c>
      <c r="E35" s="70">
        <f>ROUND('PART MES'!E$7*'CALCULO GARANTIA'!$Q36+'Ajuste 1er Sem'!R35,2)</f>
        <v>51283.39</v>
      </c>
      <c r="F35" s="70">
        <f>ROUND('PART MES'!E$8*'CALCULO GARANTIA'!$Q36+'Ajuste 1er Sem'!S35,2)</f>
        <v>40529.18</v>
      </c>
      <c r="G35" s="70">
        <f>ROUND('PART MES'!E$9*'CALCULO GARANTIA'!$Q36+'Ajuste 1er Sem'!U35,2)</f>
        <v>41184.720000000001</v>
      </c>
      <c r="H35" s="70">
        <f>ROUND('PART MES'!E$10*'CALCULO GARANTIA'!$Q36+'Ajuste 1er Sem'!V35,2)</f>
        <v>8797.89</v>
      </c>
      <c r="I35" s="70">
        <f>ROUND(+'PART MES'!E$11*'COEF Art 14 F II'!L37+'Ajuste 1er Sem'!W35,2)</f>
        <v>24583.59</v>
      </c>
      <c r="J35" s="70">
        <f>+'ISR NOVIEMBRE '!D36</f>
        <v>102015</v>
      </c>
      <c r="K35" s="70">
        <f>+ISAI!D33+'Ajuste 1er Sem'!X35</f>
        <v>463.51033454739439</v>
      </c>
      <c r="L35" s="70">
        <f>ROUND('PART MES'!$H$4*'CALCULO GARANTIA'!Q36,2)</f>
        <v>-7929.45</v>
      </c>
      <c r="M35" s="388">
        <f t="shared" si="0"/>
        <v>2052690.114328197</v>
      </c>
    </row>
    <row r="36" spans="1:13">
      <c r="A36" s="312" t="s">
        <v>31</v>
      </c>
      <c r="B36" s="70">
        <f>ROUND('PART MES'!E$4*'CALCULO GARANTIA'!$Q37+'Ajuste 1er Sem'!O36,2)</f>
        <v>12493083.619999999</v>
      </c>
      <c r="C36" s="70">
        <f>ROUND('PART MES'!E$5*'CALCULO GARANTIA'!$Q37+'Ajuste 1er Sem'!P36,2)</f>
        <v>1650642.06</v>
      </c>
      <c r="D36" s="70">
        <f>+'Art.14 Frac.III'!P35+'Ajuste 1er Sem'!Q36</f>
        <v>0</v>
      </c>
      <c r="E36" s="70">
        <f>ROUND('PART MES'!E$7*'CALCULO GARANTIA'!$Q37+'Ajuste 1er Sem'!R36,2)</f>
        <v>476392.7</v>
      </c>
      <c r="F36" s="70">
        <f>ROUND('PART MES'!E$8*'CALCULO GARANTIA'!$Q37+'Ajuste 1er Sem'!S36,2)</f>
        <v>376492.42</v>
      </c>
      <c r="G36" s="70">
        <f>ROUND('PART MES'!E$9*'CALCULO GARANTIA'!$Q37+'Ajuste 1er Sem'!U36,2)</f>
        <v>382582</v>
      </c>
      <c r="H36" s="70">
        <f>ROUND('PART MES'!E$10*'CALCULO GARANTIA'!$Q37+'Ajuste 1er Sem'!V36,2)</f>
        <v>81727.28</v>
      </c>
      <c r="I36" s="70">
        <f>ROUND(+'PART MES'!E$11*'COEF Art 14 F II'!L38+'Ajuste 1er Sem'!W36,2)</f>
        <v>822241.17</v>
      </c>
      <c r="J36" s="70">
        <f>+'ISR NOVIEMBRE '!D37</f>
        <v>0</v>
      </c>
      <c r="K36" s="70">
        <f>+ISAI!D34+'Ajuste 1er Sem'!X36</f>
        <v>659253.43107500265</v>
      </c>
      <c r="L36" s="70">
        <f>ROUND('PART MES'!$H$4*'CALCULO GARANTIA'!Q37,2)</f>
        <v>-73659.92</v>
      </c>
      <c r="M36" s="388">
        <f t="shared" si="0"/>
        <v>16868754.761074997</v>
      </c>
    </row>
    <row r="37" spans="1:13">
      <c r="A37" s="312" t="s">
        <v>32</v>
      </c>
      <c r="B37" s="70">
        <f>ROUND('PART MES'!E$4*'CALCULO GARANTIA'!$Q38+'Ajuste 1er Sem'!O37,2)</f>
        <v>2434618.5699999998</v>
      </c>
      <c r="C37" s="70">
        <f>ROUND('PART MES'!E$5*'CALCULO GARANTIA'!$Q38+'Ajuste 1er Sem'!P37,2)</f>
        <v>321672.69</v>
      </c>
      <c r="D37" s="70">
        <f>+'Art.14 Frac.III'!P36+'Ajuste 1er Sem'!Q37</f>
        <v>93250.380475346523</v>
      </c>
      <c r="E37" s="70">
        <f>ROUND('PART MES'!E$7*'CALCULO GARANTIA'!$Q38+'Ajuste 1er Sem'!R37,2)</f>
        <v>92838.13</v>
      </c>
      <c r="F37" s="70">
        <f>ROUND('PART MES'!E$8*'CALCULO GARANTIA'!$Q38+'Ajuste 1er Sem'!S37,2)</f>
        <v>73369.83</v>
      </c>
      <c r="G37" s="70">
        <f>ROUND('PART MES'!E$9*'CALCULO GARANTIA'!$Q38+'Ajuste 1er Sem'!U37,2)</f>
        <v>74556.55</v>
      </c>
      <c r="H37" s="70">
        <f>ROUND('PART MES'!E$10*'CALCULO GARANTIA'!$Q38+'Ajuste 1er Sem'!V37,2)</f>
        <v>15926.79</v>
      </c>
      <c r="I37" s="70">
        <f>ROUND(+'PART MES'!E$11*'COEF Art 14 F II'!L39+'Ajuste 1er Sem'!W37,2)</f>
        <v>15517.03</v>
      </c>
      <c r="J37" s="70">
        <f>+'ISR NOVIEMBRE '!D38</f>
        <v>0</v>
      </c>
      <c r="K37" s="70">
        <f>+ISAI!D35+'Ajuste 1er Sem'!X37</f>
        <v>2433.3047170417767</v>
      </c>
      <c r="L37" s="70">
        <f>ROUND('PART MES'!$H$4*'CALCULO GARANTIA'!Q38,2)</f>
        <v>-14354.65</v>
      </c>
      <c r="M37" s="388">
        <f t="shared" si="0"/>
        <v>3109828.6251923875</v>
      </c>
    </row>
    <row r="38" spans="1:13">
      <c r="A38" s="312" t="s">
        <v>33</v>
      </c>
      <c r="B38" s="70">
        <f>ROUND('PART MES'!E$4*'CALCULO GARANTIA'!$Q39+'Ajuste 1er Sem'!O38,2)</f>
        <v>8926303.3699999992</v>
      </c>
      <c r="C38" s="70">
        <f>ROUND('PART MES'!E$5*'CALCULO GARANTIA'!$Q39+'Ajuste 1er Sem'!P38,2)</f>
        <v>1179383.1100000001</v>
      </c>
      <c r="D38" s="70">
        <f>+'Art.14 Frac.III'!P37+'Ajuste 1er Sem'!Q38</f>
        <v>139411.87923425951</v>
      </c>
      <c r="E38" s="70">
        <f>ROUND('PART MES'!E$7*'CALCULO GARANTIA'!$Q39+'Ajuste 1er Sem'!R38,2)</f>
        <v>340382.4</v>
      </c>
      <c r="F38" s="70">
        <f>ROUND('PART MES'!E$8*'CALCULO GARANTIA'!$Q39+'Ajuste 1er Sem'!S38,2)</f>
        <v>269003.69</v>
      </c>
      <c r="G38" s="70">
        <f>ROUND('PART MES'!E$9*'CALCULO GARANTIA'!$Q39+'Ajuste 1er Sem'!U38,2)</f>
        <v>273354.69</v>
      </c>
      <c r="H38" s="70">
        <f>ROUND('PART MES'!E$10*'CALCULO GARANTIA'!$Q39+'Ajuste 1er Sem'!V38,2)</f>
        <v>58394.11</v>
      </c>
      <c r="I38" s="70">
        <f>ROUND(+'PART MES'!E$11*'COEF Art 14 F II'!L40+'Ajuste 1er Sem'!W38,2)</f>
        <v>195163.25</v>
      </c>
      <c r="J38" s="70">
        <f>+'ISR NOVIEMBRE '!D39</f>
        <v>251681</v>
      </c>
      <c r="K38" s="70">
        <f>+ISAI!D36+'Ajuste 1er Sem'!X38</f>
        <v>77921.690461381848</v>
      </c>
      <c r="L38" s="70">
        <f>ROUND('PART MES'!$H$4*'CALCULO GARANTIA'!Q39,2)</f>
        <v>-52629.99</v>
      </c>
      <c r="M38" s="388">
        <f t="shared" ref="M38:M56" si="1">SUM(B38:L38)</f>
        <v>11658369.199695639</v>
      </c>
    </row>
    <row r="39" spans="1:13">
      <c r="A39" s="312" t="s">
        <v>34</v>
      </c>
      <c r="B39" s="70">
        <f>ROUND('PART MES'!E$4*'CALCULO GARANTIA'!$Q40+'Ajuste 1er Sem'!O39,2)</f>
        <v>1904571.89</v>
      </c>
      <c r="C39" s="70">
        <f>ROUND('PART MES'!E$5*'CALCULO GARANTIA'!$Q40+'Ajuste 1er Sem'!P39,2)</f>
        <v>251640.55</v>
      </c>
      <c r="D39" s="70">
        <f>+'Art.14 Frac.III'!P38+'Ajuste 1er Sem'!Q39</f>
        <v>-325408.01366299397</v>
      </c>
      <c r="E39" s="70">
        <f>ROUND('PART MES'!E$7*'CALCULO GARANTIA'!$Q40+'Ajuste 1er Sem'!R39,2)</f>
        <v>72626.12</v>
      </c>
      <c r="F39" s="70">
        <f>ROUND('PART MES'!E$8*'CALCULO GARANTIA'!$Q40+'Ajuste 1er Sem'!S39,2)</f>
        <v>57396.31</v>
      </c>
      <c r="G39" s="70">
        <f>ROUND('PART MES'!E$9*'CALCULO GARANTIA'!$Q40+'Ajuste 1er Sem'!U39,2)</f>
        <v>58324.66</v>
      </c>
      <c r="H39" s="70">
        <f>ROUND('PART MES'!E$10*'CALCULO GARANTIA'!$Q40+'Ajuste 1er Sem'!V39,2)</f>
        <v>12459.33</v>
      </c>
      <c r="I39" s="70">
        <f>ROUND(+'PART MES'!E$11*'COEF Art 14 F II'!L41+'Ajuste 1er Sem'!W39,2)</f>
        <v>11314.39</v>
      </c>
      <c r="J39" s="70">
        <f>+'ISR NOVIEMBRE '!D40</f>
        <v>267649</v>
      </c>
      <c r="K39" s="70">
        <f>+ISAI!D37+'Ajuste 1er Sem'!X39</f>
        <v>4841.1769334210276</v>
      </c>
      <c r="L39" s="70">
        <f>ROUND('PART MES'!$H$4*'CALCULO GARANTIA'!Q40,2)</f>
        <v>-11229.46</v>
      </c>
      <c r="M39" s="388">
        <f t="shared" si="1"/>
        <v>2304185.953270427</v>
      </c>
    </row>
    <row r="40" spans="1:13">
      <c r="A40" s="312" t="s">
        <v>35</v>
      </c>
      <c r="B40" s="70">
        <f>ROUND('PART MES'!E$4*'CALCULO GARANTIA'!$Q41+'Ajuste 1er Sem'!O40,2)</f>
        <v>1830680.82</v>
      </c>
      <c r="C40" s="70">
        <f>ROUND('PART MES'!E$5*'CALCULO GARANTIA'!$Q41+'Ajuste 1er Sem'!P40,2)</f>
        <v>241877.74</v>
      </c>
      <c r="D40" s="70">
        <f>+'Art.14 Frac.III'!P39+'Ajuste 1er Sem'!Q40</f>
        <v>222475.55634862147</v>
      </c>
      <c r="E40" s="70">
        <f>ROUND('PART MES'!E$7*'CALCULO GARANTIA'!$Q41+'Ajuste 1er Sem'!R40,2)</f>
        <v>69808.460000000006</v>
      </c>
      <c r="F40" s="70">
        <f>ROUND('PART MES'!E$8*'CALCULO GARANTIA'!$Q41+'Ajuste 1er Sem'!S40,2)</f>
        <v>55169.52</v>
      </c>
      <c r="G40" s="70">
        <f>ROUND('PART MES'!E$9*'CALCULO GARANTIA'!$Q41+'Ajuste 1er Sem'!U40,2)</f>
        <v>56061.86</v>
      </c>
      <c r="H40" s="70">
        <f>ROUND('PART MES'!E$10*'CALCULO GARANTIA'!$Q41+'Ajuste 1er Sem'!V40,2)</f>
        <v>11975.95</v>
      </c>
      <c r="I40" s="70">
        <f>ROUND(+'PART MES'!E$11*'COEF Art 14 F II'!L42+'Ajuste 1er Sem'!W40,2)</f>
        <v>-9931.59</v>
      </c>
      <c r="J40" s="70">
        <f>+'ISR NOVIEMBRE '!D41</f>
        <v>106950</v>
      </c>
      <c r="K40" s="70">
        <f>+ISAI!D38+'Ajuste 1er Sem'!X40</f>
        <v>617.03322737139911</v>
      </c>
      <c r="L40" s="70">
        <f>ROUND('PART MES'!$H$4*'CALCULO GARANTIA'!Q41,2)</f>
        <v>-10793.8</v>
      </c>
      <c r="M40" s="388">
        <f t="shared" si="1"/>
        <v>2574891.5495759933</v>
      </c>
    </row>
    <row r="41" spans="1:13">
      <c r="A41" s="312" t="s">
        <v>36</v>
      </c>
      <c r="B41" s="70">
        <f>ROUND('PART MES'!E$4*'CALCULO GARANTIA'!$Q42+'Ajuste 1er Sem'!O41,2)</f>
        <v>1922192.65</v>
      </c>
      <c r="C41" s="70">
        <f>ROUND('PART MES'!E$5*'CALCULO GARANTIA'!$Q42+'Ajuste 1er Sem'!P41,2)</f>
        <v>253968.69</v>
      </c>
      <c r="D41" s="70">
        <f>+'Art.14 Frac.III'!P40+'Ajuste 1er Sem'!Q41</f>
        <v>42950.022102645307</v>
      </c>
      <c r="E41" s="70">
        <f>ROUND('PART MES'!E$7*'CALCULO GARANTIA'!$Q42+'Ajuste 1er Sem'!R41,2)</f>
        <v>73298.039999999994</v>
      </c>
      <c r="F41" s="70">
        <f>ROUND('PART MES'!E$8*'CALCULO GARANTIA'!$Q42+'Ajuste 1er Sem'!S41,2)</f>
        <v>57927.33</v>
      </c>
      <c r="G41" s="70">
        <f>ROUND('PART MES'!E$9*'CALCULO GARANTIA'!$Q42+'Ajuste 1er Sem'!U41,2)</f>
        <v>58864.27</v>
      </c>
      <c r="H41" s="70">
        <f>ROUND('PART MES'!E$10*'CALCULO GARANTIA'!$Q42+'Ajuste 1er Sem'!V41,2)</f>
        <v>12574.6</v>
      </c>
      <c r="I41" s="70">
        <f>ROUND(+'PART MES'!E$11*'COEF Art 14 F II'!L43+'Ajuste 1er Sem'!W41,2)</f>
        <v>51688.6</v>
      </c>
      <c r="J41" s="70">
        <f>+'ISR NOVIEMBRE '!D42</f>
        <v>329504</v>
      </c>
      <c r="K41" s="70">
        <f>+ISAI!D39+'Ajuste 1er Sem'!X41</f>
        <v>55.614929281038897</v>
      </c>
      <c r="L41" s="70">
        <f>ROUND('PART MES'!$H$4*'CALCULO GARANTIA'!Q42,2)</f>
        <v>-11333.36</v>
      </c>
      <c r="M41" s="388">
        <f t="shared" si="1"/>
        <v>2791690.4570319266</v>
      </c>
    </row>
    <row r="42" spans="1:13">
      <c r="A42" s="312" t="s">
        <v>37</v>
      </c>
      <c r="B42" s="70">
        <f>ROUND('PART MES'!E$4*'CALCULO GARANTIA'!$Q43+'Ajuste 1er Sem'!O42,2)</f>
        <v>2707491.67</v>
      </c>
      <c r="C42" s="70">
        <f>ROUND('PART MES'!E$5*'CALCULO GARANTIA'!$Q43+'Ajuste 1er Sem'!P42,2)</f>
        <v>357725.9</v>
      </c>
      <c r="D42" s="70">
        <f>+'Art.14 Frac.III'!P41+'Ajuste 1er Sem'!Q42</f>
        <v>728278.77867551998</v>
      </c>
      <c r="E42" s="70">
        <f>ROUND('PART MES'!E$7*'CALCULO GARANTIA'!$Q43+'Ajuste 1er Sem'!R42,2)</f>
        <v>103243.47</v>
      </c>
      <c r="F42" s="70">
        <f>ROUND('PART MES'!E$8*'CALCULO GARANTIA'!$Q43+'Ajuste 1er Sem'!S42,2)</f>
        <v>81593.149999999994</v>
      </c>
      <c r="G42" s="70">
        <f>ROUND('PART MES'!E$9*'CALCULO GARANTIA'!$Q43+'Ajuste 1er Sem'!U42,2)</f>
        <v>82912.88</v>
      </c>
      <c r="H42" s="70">
        <f>ROUND('PART MES'!E$10*'CALCULO GARANTIA'!$Q43+'Ajuste 1er Sem'!V42,2)</f>
        <v>17711.87</v>
      </c>
      <c r="I42" s="70">
        <f>ROUND(+'PART MES'!E$11*'COEF Art 14 F II'!L44+'Ajuste 1er Sem'!W42,2)</f>
        <v>24785.26</v>
      </c>
      <c r="J42" s="70">
        <f>+'ISR NOVIEMBRE '!D43</f>
        <v>0</v>
      </c>
      <c r="K42" s="70">
        <f>+ISAI!D40+'Ajuste 1er Sem'!X42</f>
        <v>30087.151671094936</v>
      </c>
      <c r="L42" s="70">
        <f>ROUND('PART MES'!$H$4*'CALCULO GARANTIA'!Q43,2)</f>
        <v>-15963.52</v>
      </c>
      <c r="M42" s="388">
        <f t="shared" si="1"/>
        <v>4117866.6103466144</v>
      </c>
    </row>
    <row r="43" spans="1:13">
      <c r="A43" s="312" t="s">
        <v>38</v>
      </c>
      <c r="B43" s="70">
        <f>ROUND('PART MES'!E$4*'CALCULO GARANTIA'!$Q44+'Ajuste 1er Sem'!O43,2)</f>
        <v>6352025.4699999997</v>
      </c>
      <c r="C43" s="70">
        <f>ROUND('PART MES'!E$5*'CALCULO GARANTIA'!$Q44+'Ajuste 1er Sem'!P43,2)</f>
        <v>839258.01</v>
      </c>
      <c r="D43" s="70">
        <f>+'Art.14 Frac.III'!P42+'Ajuste 1er Sem'!Q43</f>
        <v>556057.74003756349</v>
      </c>
      <c r="E43" s="70">
        <f>ROUND('PART MES'!E$7*'CALCULO GARANTIA'!$Q44+'Ajuste 1er Sem'!R43,2)</f>
        <v>242218.71</v>
      </c>
      <c r="F43" s="70">
        <f>ROUND('PART MES'!E$8*'CALCULO GARANTIA'!$Q44+'Ajuste 1er Sem'!S43,2)</f>
        <v>191425.07</v>
      </c>
      <c r="G43" s="70">
        <f>ROUND('PART MES'!E$9*'CALCULO GARANTIA'!$Q44+'Ajuste 1er Sem'!U43,2)</f>
        <v>194521.28</v>
      </c>
      <c r="H43" s="70">
        <f>ROUND('PART MES'!E$10*'CALCULO GARANTIA'!$Q44+'Ajuste 1er Sem'!V43,2)</f>
        <v>41553.69</v>
      </c>
      <c r="I43" s="70">
        <f>ROUND(+'PART MES'!E$11*'COEF Art 14 F II'!L45+'Ajuste 1er Sem'!W43,2)</f>
        <v>150321.13</v>
      </c>
      <c r="J43" s="70">
        <f>+'ISR NOVIEMBRE '!D44</f>
        <v>0</v>
      </c>
      <c r="K43" s="70">
        <f>+ISAI!D41+'Ajuste 1er Sem'!X43</f>
        <v>299390.93145774043</v>
      </c>
      <c r="L43" s="70">
        <f>ROUND('PART MES'!$H$4*'CALCULO GARANTIA'!Q44,2)</f>
        <v>-37451.9</v>
      </c>
      <c r="M43" s="388">
        <f t="shared" si="1"/>
        <v>8829320.1314953044</v>
      </c>
    </row>
    <row r="44" spans="1:13">
      <c r="A44" s="312" t="s">
        <v>39</v>
      </c>
      <c r="B44" s="70">
        <f>ROUND('PART MES'!E$4*'CALCULO GARANTIA'!$Q45+'Ajuste 1er Sem'!O44,2)</f>
        <v>131456505.27</v>
      </c>
      <c r="C44" s="70">
        <f>ROUND('PART MES'!E$5*'CALCULO GARANTIA'!$Q45+'Ajuste 1er Sem'!P44,2)</f>
        <v>17368621.219999999</v>
      </c>
      <c r="D44" s="70">
        <f>+'Art.14 Frac.III'!P43+'Ajuste 1er Sem'!Q44</f>
        <v>0</v>
      </c>
      <c r="E44" s="70">
        <f>ROUND('PART MES'!E$7*'CALCULO GARANTIA'!$Q45+'Ajuste 1er Sem'!R44,2)</f>
        <v>5012767.18</v>
      </c>
      <c r="F44" s="70">
        <f>ROUND('PART MES'!E$8*'CALCULO GARANTIA'!$Q45+'Ajuste 1er Sem'!S44,2)</f>
        <v>3961582.22</v>
      </c>
      <c r="G44" s="70">
        <f>ROUND('PART MES'!E$9*'CALCULO GARANTIA'!$Q45+'Ajuste 1er Sem'!U44,2)</f>
        <v>4025658.82</v>
      </c>
      <c r="H44" s="70">
        <f>ROUND('PART MES'!E$10*'CALCULO GARANTIA'!$Q45+'Ajuste 1er Sem'!V44,2)</f>
        <v>859962.38</v>
      </c>
      <c r="I44" s="70">
        <f>ROUND(+'PART MES'!E$11*'COEF Art 14 F II'!L46+'Ajuste 1er Sem'!W44,2)</f>
        <v>2742336.93</v>
      </c>
      <c r="J44" s="70">
        <f>+'ISR NOVIEMBRE '!D45</f>
        <v>10474634</v>
      </c>
      <c r="K44" s="70">
        <f>+ISAI!D42+'Ajuste 1er Sem'!X44</f>
        <v>6592728.4700751798</v>
      </c>
      <c r="L44" s="70">
        <f>ROUND('PART MES'!$H$4*'CALCULO GARANTIA'!Q45,2)</f>
        <v>-775074.93</v>
      </c>
      <c r="M44" s="388">
        <f t="shared" si="1"/>
        <v>181719721.56007519</v>
      </c>
    </row>
    <row r="45" spans="1:13">
      <c r="A45" s="312" t="s">
        <v>40</v>
      </c>
      <c r="B45" s="70">
        <f>ROUND('PART MES'!E$4*'CALCULO GARANTIA'!$Q46+'Ajuste 1er Sem'!O45,2)</f>
        <v>678920.57</v>
      </c>
      <c r="C45" s="70">
        <f>ROUND('PART MES'!E$5*'CALCULO GARANTIA'!$Q46+'Ajuste 1er Sem'!P45,2)</f>
        <v>89702.02</v>
      </c>
      <c r="D45" s="70">
        <f>+'Art.14 Frac.III'!P44+'Ajuste 1er Sem'!Q45</f>
        <v>210822.38744993607</v>
      </c>
      <c r="E45" s="70">
        <f>ROUND('PART MES'!E$7*'CALCULO GARANTIA'!$Q46+'Ajuste 1er Sem'!R45,2)</f>
        <v>25888.95</v>
      </c>
      <c r="F45" s="70">
        <f>ROUND('PART MES'!E$8*'CALCULO GARANTIA'!$Q46+'Ajuste 1er Sem'!S45,2)</f>
        <v>20460</v>
      </c>
      <c r="G45" s="70">
        <f>ROUND('PART MES'!E$9*'CALCULO GARANTIA'!$Q46+'Ajuste 1er Sem'!U45,2)</f>
        <v>20790.93</v>
      </c>
      <c r="H45" s="70">
        <f>ROUND('PART MES'!E$10*'CALCULO GARANTIA'!$Q46+'Ajuste 1er Sem'!V45,2)</f>
        <v>4441.3599999999997</v>
      </c>
      <c r="I45" s="70">
        <f>ROUND(+'PART MES'!E$11*'COEF Art 14 F II'!L47+'Ajuste 1er Sem'!W45,2)</f>
        <v>18106.310000000001</v>
      </c>
      <c r="J45" s="70">
        <f>+'ISR NOVIEMBRE '!D46</f>
        <v>25012</v>
      </c>
      <c r="K45" s="70">
        <f>+ISAI!D43+'Ajuste 1er Sem'!X45</f>
        <v>2017.2113985421668</v>
      </c>
      <c r="L45" s="70">
        <f>ROUND('PART MES'!$H$4*'CALCULO GARANTIA'!Q46,2)</f>
        <v>-4002.95</v>
      </c>
      <c r="M45" s="388">
        <f t="shared" si="1"/>
        <v>1092158.7888484783</v>
      </c>
    </row>
    <row r="46" spans="1:13">
      <c r="A46" s="312" t="s">
        <v>41</v>
      </c>
      <c r="B46" s="70">
        <f>ROUND('PART MES'!E$4*'CALCULO GARANTIA'!$Q47+'Ajuste 1er Sem'!O46,2)</f>
        <v>2858411.22</v>
      </c>
      <c r="C46" s="70">
        <f>ROUND('PART MES'!E$5*'CALCULO GARANTIA'!$Q47+'Ajuste 1er Sem'!P46,2)</f>
        <v>377666.07</v>
      </c>
      <c r="D46" s="70">
        <f>+'Art.14 Frac.III'!P45+'Ajuste 1er Sem'!Q46</f>
        <v>378402.4047415214</v>
      </c>
      <c r="E46" s="70">
        <f>ROUND('PART MES'!E$7*'CALCULO GARANTIA'!$Q47+'Ajuste 1er Sem'!R46,2)</f>
        <v>108998.41</v>
      </c>
      <c r="F46" s="70">
        <f>ROUND('PART MES'!E$8*'CALCULO GARANTIA'!$Q47+'Ajuste 1er Sem'!S46,2)</f>
        <v>86141.28</v>
      </c>
      <c r="G46" s="70">
        <f>ROUND('PART MES'!E$9*'CALCULO GARANTIA'!$Q47+'Ajuste 1er Sem'!U46,2)</f>
        <v>87534.57</v>
      </c>
      <c r="H46" s="70">
        <f>ROUND('PART MES'!E$10*'CALCULO GARANTIA'!$Q47+'Ajuste 1er Sem'!V46,2)</f>
        <v>18699.16</v>
      </c>
      <c r="I46" s="70">
        <f>ROUND(+'PART MES'!E$11*'COEF Art 14 F II'!L48+'Ajuste 1er Sem'!W46,2)</f>
        <v>248938.79</v>
      </c>
      <c r="J46" s="70">
        <f>+'ISR NOVIEMBRE '!D47</f>
        <v>583212</v>
      </c>
      <c r="K46" s="70">
        <f>+ISAI!D44+'Ajuste 1er Sem'!X46</f>
        <v>191573.02588193738</v>
      </c>
      <c r="L46" s="70">
        <f>ROUND('PART MES'!$H$4*'CALCULO GARANTIA'!Q47,2)</f>
        <v>-16853.349999999999</v>
      </c>
      <c r="M46" s="388">
        <f t="shared" si="1"/>
        <v>4922723.58062346</v>
      </c>
    </row>
    <row r="47" spans="1:13">
      <c r="A47" s="312" t="s">
        <v>42</v>
      </c>
      <c r="B47" s="70">
        <f>ROUND('PART MES'!E$4*'CALCULO GARANTIA'!$Q48+'Ajuste 1er Sem'!O47,2)</f>
        <v>1439969.88</v>
      </c>
      <c r="C47" s="70">
        <f>ROUND('PART MES'!E$5*'CALCULO GARANTIA'!$Q48+'Ajuste 1er Sem'!P47,2)</f>
        <v>190255.26</v>
      </c>
      <c r="D47" s="70">
        <f>+'Art.14 Frac.III'!P46+'Ajuste 1er Sem'!Q47</f>
        <v>-188843.44272856356</v>
      </c>
      <c r="E47" s="70">
        <f>ROUND('PART MES'!E$7*'CALCULO GARANTIA'!$Q48+'Ajuste 1er Sem'!R47,2)</f>
        <v>54909.67</v>
      </c>
      <c r="F47" s="70">
        <f>ROUND('PART MES'!E$8*'CALCULO GARANTIA'!$Q48+'Ajuste 1er Sem'!S47,2)</f>
        <v>43395.03</v>
      </c>
      <c r="G47" s="70">
        <f>ROUND('PART MES'!E$9*'CALCULO GARANTIA'!$Q48+'Ajuste 1er Sem'!U47,2)</f>
        <v>44096.92</v>
      </c>
      <c r="H47" s="70">
        <f>ROUND('PART MES'!E$10*'CALCULO GARANTIA'!$Q48+'Ajuste 1er Sem'!V47,2)</f>
        <v>9420</v>
      </c>
      <c r="I47" s="70">
        <f>ROUND(+'PART MES'!E$11*'COEF Art 14 F II'!L49+'Ajuste 1er Sem'!W47,2)</f>
        <v>20956.86</v>
      </c>
      <c r="J47" s="70">
        <f>+'ISR NOVIEMBRE '!D48</f>
        <v>166726</v>
      </c>
      <c r="K47" s="70">
        <f>+ISAI!D45+'Ajuste 1er Sem'!X47</f>
        <v>17302.847077729159</v>
      </c>
      <c r="L47" s="70">
        <f>ROUND('PART MES'!$H$4*'CALCULO GARANTIA'!Q48,2)</f>
        <v>-8490.14</v>
      </c>
      <c r="M47" s="388">
        <f t="shared" si="1"/>
        <v>1789698.8843491657</v>
      </c>
    </row>
    <row r="48" spans="1:13">
      <c r="A48" s="312" t="s">
        <v>43</v>
      </c>
      <c r="B48" s="70">
        <f>ROUND('PART MES'!E$4*'CALCULO GARANTIA'!$Q49+'Ajuste 1er Sem'!O48,2)</f>
        <v>1613593.3</v>
      </c>
      <c r="C48" s="70">
        <f>ROUND('PART MES'!E$5*'CALCULO GARANTIA'!$Q49+'Ajuste 1er Sem'!P48,2)</f>
        <v>213195.16</v>
      </c>
      <c r="D48" s="70">
        <f>+'Art.14 Frac.III'!P47+'Ajuste 1er Sem'!Q48</f>
        <v>-10603.37261970379</v>
      </c>
      <c r="E48" s="70">
        <f>ROUND('PART MES'!E$7*'CALCULO GARANTIA'!$Q49+'Ajuste 1er Sem'!R48,2)</f>
        <v>61530.37</v>
      </c>
      <c r="F48" s="70">
        <f>ROUND('PART MES'!E$8*'CALCULO GARANTIA'!$Q49+'Ajuste 1er Sem'!S48,2)</f>
        <v>48627.360000000001</v>
      </c>
      <c r="G48" s="70">
        <f>ROUND('PART MES'!E$9*'CALCULO GARANTIA'!$Q49+'Ajuste 1er Sem'!U48,2)</f>
        <v>49413.88</v>
      </c>
      <c r="H48" s="70">
        <f>ROUND('PART MES'!E$10*'CALCULO GARANTIA'!$Q49+'Ajuste 1er Sem'!V48,2)</f>
        <v>10555.81</v>
      </c>
      <c r="I48" s="70">
        <f>ROUND(+'PART MES'!E$11*'COEF Art 14 F II'!L50+'Ajuste 1er Sem'!W48,2)</f>
        <v>4580.79</v>
      </c>
      <c r="J48" s="70">
        <f>+'ISR NOVIEMBRE '!D49</f>
        <v>0</v>
      </c>
      <c r="K48" s="70">
        <f>+ISAI!D46+'Ajuste 1er Sem'!X48</f>
        <v>201.51444596669714</v>
      </c>
      <c r="L48" s="70">
        <f>ROUND('PART MES'!$H$4*'CALCULO GARANTIA'!Q49,2)</f>
        <v>-9513.84</v>
      </c>
      <c r="M48" s="388">
        <f t="shared" si="1"/>
        <v>1981580.971826263</v>
      </c>
    </row>
    <row r="49" spans="1:14">
      <c r="A49" s="312" t="s">
        <v>44</v>
      </c>
      <c r="B49" s="70">
        <f>ROUND('PART MES'!E$4*'CALCULO GARANTIA'!$Q50+'Ajuste 1er Sem'!O49,2)</f>
        <v>4642560.93</v>
      </c>
      <c r="C49" s="70">
        <f>ROUND('PART MES'!E$5*'CALCULO GARANTIA'!$Q50+'Ajuste 1er Sem'!P49,2)</f>
        <v>613395.91</v>
      </c>
      <c r="D49" s="70">
        <f>+'Art.14 Frac.III'!P48+'Ajuste 1er Sem'!Q49</f>
        <v>26938.527980212442</v>
      </c>
      <c r="E49" s="70">
        <f>ROUND('PART MES'!E$7*'CALCULO GARANTIA'!$Q50+'Ajuste 1er Sem'!R49,2)</f>
        <v>177032.53</v>
      </c>
      <c r="F49" s="70">
        <f>ROUND('PART MES'!E$8*'CALCULO GARANTIA'!$Q50+'Ajuste 1er Sem'!S49,2)</f>
        <v>139908.53</v>
      </c>
      <c r="G49" s="70">
        <f>ROUND('PART MES'!E$9*'CALCULO GARANTIA'!$Q50+'Ajuste 1er Sem'!U49,2)</f>
        <v>142171.48000000001</v>
      </c>
      <c r="H49" s="70">
        <f>ROUND('PART MES'!E$10*'CALCULO GARANTIA'!$Q50+'Ajuste 1er Sem'!V49,2)</f>
        <v>30370.71</v>
      </c>
      <c r="I49" s="70">
        <f>ROUND(+'PART MES'!E$11*'COEF Art 14 F II'!L51+'Ajuste 1er Sem'!W49,2)</f>
        <v>80950.42</v>
      </c>
      <c r="J49" s="70">
        <f>+'ISR NOVIEMBRE '!D50</f>
        <v>0</v>
      </c>
      <c r="K49" s="70">
        <f>+ISAI!D47+'Ajuste 1er Sem'!X49</f>
        <v>39884.255839043362</v>
      </c>
      <c r="L49" s="70">
        <f>ROUND('PART MES'!$H$4*'CALCULO GARANTIA'!Q50,2)</f>
        <v>-27372.799999999999</v>
      </c>
      <c r="M49" s="388">
        <f t="shared" si="1"/>
        <v>5865840.4938192563</v>
      </c>
    </row>
    <row r="50" spans="1:14">
      <c r="A50" s="312" t="s">
        <v>45</v>
      </c>
      <c r="B50" s="70">
        <f>ROUND('PART MES'!E$4*'CALCULO GARANTIA'!$Q51+'Ajuste 1er Sem'!O50,2)</f>
        <v>3995167.08</v>
      </c>
      <c r="C50" s="70">
        <f>ROUND('PART MES'!E$5*'CALCULO GARANTIA'!$Q51+'Ajuste 1er Sem'!P50,2)</f>
        <v>527859.34</v>
      </c>
      <c r="D50" s="70">
        <f>+'Art.14 Frac.III'!P49+'Ajuste 1er Sem'!Q50</f>
        <v>104260.9035222588</v>
      </c>
      <c r="E50" s="70">
        <f>ROUND('PART MES'!E$7*'CALCULO GARANTIA'!$Q51+'Ajuste 1er Sem'!R50,2)</f>
        <v>152345.76999999999</v>
      </c>
      <c r="F50" s="70">
        <f>ROUND('PART MES'!E$8*'CALCULO GARANTIA'!$Q51+'Ajuste 1er Sem'!S50,2)</f>
        <v>120398.63</v>
      </c>
      <c r="G50" s="70">
        <f>ROUND('PART MES'!E$9*'CALCULO GARANTIA'!$Q51+'Ajuste 1er Sem'!U50,2)</f>
        <v>122346.01</v>
      </c>
      <c r="H50" s="70">
        <f>ROUND('PART MES'!E$10*'CALCULO GARANTIA'!$Q51+'Ajuste 1er Sem'!V50,2)</f>
        <v>26135.59</v>
      </c>
      <c r="I50" s="70">
        <f>ROUND(+'PART MES'!E$11*'COEF Art 14 F II'!L52+'Ajuste 1er Sem'!W50,2)</f>
        <v>157371.07</v>
      </c>
      <c r="J50" s="70">
        <f>+'ISR NOVIEMBRE '!D51</f>
        <v>483575</v>
      </c>
      <c r="K50" s="70">
        <f>+ISAI!D48+'Ajuste 1er Sem'!X50</f>
        <v>146227.12366432042</v>
      </c>
      <c r="L50" s="70">
        <f>ROUND('PART MES'!$H$4*'CALCULO GARANTIA'!Q51,2)</f>
        <v>-23555.73</v>
      </c>
      <c r="M50" s="388">
        <f t="shared" si="1"/>
        <v>5812130.7871865779</v>
      </c>
    </row>
    <row r="51" spans="1:14">
      <c r="A51" s="312" t="s">
        <v>46</v>
      </c>
      <c r="B51" s="70">
        <f>ROUND('PART MES'!E$4*'CALCULO GARANTIA'!$Q52+'Ajuste 1er Sem'!O51,2)</f>
        <v>36150469.909999996</v>
      </c>
      <c r="C51" s="70">
        <f>ROUND('PART MES'!E$5*'CALCULO GARANTIA'!$Q52+'Ajuste 1er Sem'!P51,2)</f>
        <v>4776361.71</v>
      </c>
      <c r="D51" s="70">
        <f>+'Art.14 Frac.III'!P50+'Ajuste 1er Sem'!Q51</f>
        <v>955580.11494557175</v>
      </c>
      <c r="E51" s="70">
        <f>ROUND('PART MES'!E$7*'CALCULO GARANTIA'!$Q52+'Ajuste 1er Sem'!R51,2)</f>
        <v>1378508.34</v>
      </c>
      <c r="F51" s="70">
        <f>ROUND('PART MES'!E$8*'CALCULO GARANTIA'!$Q52+'Ajuste 1er Sem'!S51,2)</f>
        <v>1089433.03</v>
      </c>
      <c r="G51" s="70">
        <f>ROUND('PART MES'!E$9*'CALCULO GARANTIA'!$Q52+'Ajuste 1er Sem'!U51,2)</f>
        <v>1107054.06</v>
      </c>
      <c r="H51" s="70">
        <f>ROUND('PART MES'!E$10*'CALCULO GARANTIA'!$Q52+'Ajuste 1er Sem'!V51,2)</f>
        <v>236489.2</v>
      </c>
      <c r="I51" s="70">
        <f>ROUND(+'PART MES'!E$11*'COEF Art 14 F II'!L53+'Ajuste 1er Sem'!W51,2)</f>
        <v>950512.13</v>
      </c>
      <c r="J51" s="70">
        <f>+'ISR NOVIEMBRE '!D52</f>
        <v>5863580</v>
      </c>
      <c r="K51" s="70">
        <f>+ISAI!D49+'Ajuste 1er Sem'!X51</f>
        <v>1139341.3977225791</v>
      </c>
      <c r="L51" s="70">
        <f>ROUND('PART MES'!$H$4*'CALCULO GARANTIA'!Q52,2)</f>
        <v>-213145.2</v>
      </c>
      <c r="M51" s="388">
        <f t="shared" si="1"/>
        <v>53434184.692668155</v>
      </c>
    </row>
    <row r="52" spans="1:14">
      <c r="A52" s="312" t="s">
        <v>47</v>
      </c>
      <c r="B52" s="70">
        <f>ROUND('PART MES'!E$4*'CALCULO GARANTIA'!$Q53+'Ajuste 1er Sem'!O52,2)</f>
        <v>69851920.879999995</v>
      </c>
      <c r="C52" s="70">
        <f>ROUND('PART MES'!E$5*'CALCULO GARANTIA'!$Q53+'Ajuste 1er Sem'!P52,2)</f>
        <v>9229148.0999999996</v>
      </c>
      <c r="D52" s="70">
        <f>+'Art.14 Frac.III'!P51+'Ajuste 1er Sem'!Q52</f>
        <v>1392152.6822300057</v>
      </c>
      <c r="E52" s="70">
        <f>ROUND('PART MES'!E$7*'CALCULO GARANTIA'!$Q53+'Ajuste 1er Sem'!R52,2)</f>
        <v>2663629.4300000002</v>
      </c>
      <c r="F52" s="70">
        <f>ROUND('PART MES'!E$8*'CALCULO GARANTIA'!$Q53+'Ajuste 1er Sem'!S52,2)</f>
        <v>2105062.2599999998</v>
      </c>
      <c r="G52" s="70">
        <f>ROUND('PART MES'!E$9*'CALCULO GARANTIA'!$Q53+'Ajuste 1er Sem'!U52,2)</f>
        <v>2139110.58</v>
      </c>
      <c r="H52" s="70">
        <f>ROUND('PART MES'!E$10*'CALCULO GARANTIA'!$Q53+'Ajuste 1er Sem'!V52,2)</f>
        <v>456957.41</v>
      </c>
      <c r="I52" s="70">
        <f>ROUND(+'PART MES'!E$11*'COEF Art 14 F II'!L54+'Ajuste 1er Sem'!W52,2)</f>
        <v>690768.73</v>
      </c>
      <c r="J52" s="70">
        <f>+'ISR NOVIEMBRE '!D53</f>
        <v>8367757</v>
      </c>
      <c r="K52" s="70">
        <f>+ISAI!D50+'Ajuste 1er Sem'!X52</f>
        <v>3965352.0002778778</v>
      </c>
      <c r="L52" s="70">
        <f>ROUND('PART MES'!$H$4*'CALCULO GARANTIA'!Q53,2)</f>
        <v>-411850.84</v>
      </c>
      <c r="M52" s="388">
        <f t="shared" si="1"/>
        <v>100450008.23250788</v>
      </c>
    </row>
    <row r="53" spans="1:14">
      <c r="A53" s="312" t="s">
        <v>48</v>
      </c>
      <c r="B53" s="70">
        <f>ROUND('PART MES'!E$4*'CALCULO GARANTIA'!$Q54+'Ajuste 1er Sem'!O53,2)</f>
        <v>18822635.41</v>
      </c>
      <c r="C53" s="70">
        <f>ROUND('PART MES'!E$5*'CALCULO GARANTIA'!$Q54+'Ajuste 1er Sem'!P53,2)</f>
        <v>2486930.75</v>
      </c>
      <c r="D53" s="70">
        <f>+'Art.14 Frac.III'!P52+'Ajuste 1er Sem'!Q53</f>
        <v>391403.0412140491</v>
      </c>
      <c r="E53" s="70">
        <f>ROUND('PART MES'!E$7*'CALCULO GARANTIA'!$Q54+'Ajuste 1er Sem'!R53,2)</f>
        <v>717754.43</v>
      </c>
      <c r="F53" s="70">
        <f>ROUND('PART MES'!E$8*'CALCULO GARANTIA'!$Q54+'Ajuste 1er Sem'!S53,2)</f>
        <v>567240.23</v>
      </c>
      <c r="G53" s="70">
        <f>ROUND('PART MES'!E$9*'CALCULO GARANTIA'!$Q54+'Ajuste 1er Sem'!U53,2)</f>
        <v>576415.05000000005</v>
      </c>
      <c r="H53" s="70">
        <f>ROUND('PART MES'!E$10*'CALCULO GARANTIA'!$Q54+'Ajuste 1er Sem'!V53,2)</f>
        <v>123133.95</v>
      </c>
      <c r="I53" s="70">
        <f>ROUND(+'PART MES'!E$11*'COEF Art 14 F II'!L55+'Ajuste 1er Sem'!W53,2)</f>
        <v>615470.66</v>
      </c>
      <c r="J53" s="70">
        <f>+'ISR NOVIEMBRE '!D54</f>
        <v>3345855</v>
      </c>
      <c r="K53" s="70">
        <f>+ISAI!D51+'Ajuste 1er Sem'!X53</f>
        <v>1396233.281257865</v>
      </c>
      <c r="L53" s="70">
        <f>ROUND('PART MES'!$H$4*'CALCULO GARANTIA'!Q54,2)</f>
        <v>-110979.31</v>
      </c>
      <c r="M53" s="388">
        <f t="shared" si="1"/>
        <v>28932092.492471915</v>
      </c>
    </row>
    <row r="54" spans="1:14">
      <c r="A54" s="312" t="s">
        <v>49</v>
      </c>
      <c r="B54" s="70">
        <f>ROUND('PART MES'!E$4*'CALCULO GARANTIA'!$Q55+'Ajuste 1er Sem'!O54,2)</f>
        <v>5999655.6600000001</v>
      </c>
      <c r="C54" s="70">
        <f>ROUND('PART MES'!E$5*'CALCULO GARANTIA'!$Q55+'Ajuste 1er Sem'!P54,2)</f>
        <v>792701.33</v>
      </c>
      <c r="D54" s="70">
        <f>+'Art.14 Frac.III'!P53+'Ajuste 1er Sem'!Q54</f>
        <v>614631.41748200962</v>
      </c>
      <c r="E54" s="70">
        <f>ROUND('PART MES'!E$7*'CALCULO GARANTIA'!$Q55+'Ajuste 1er Sem'!R54,2)</f>
        <v>228781.96</v>
      </c>
      <c r="F54" s="70">
        <f>ROUND('PART MES'!E$8*'CALCULO GARANTIA'!$Q55+'Ajuste 1er Sem'!S54,2)</f>
        <v>180806.03</v>
      </c>
      <c r="G54" s="70">
        <f>ROUND('PART MES'!E$9*'CALCULO GARANTIA'!$Q55+'Ajuste 1er Sem'!U54,2)</f>
        <v>183730.48</v>
      </c>
      <c r="H54" s="70">
        <f>ROUND('PART MES'!E$10*'CALCULO GARANTIA'!$Q55+'Ajuste 1er Sem'!V54,2)</f>
        <v>39248.559999999998</v>
      </c>
      <c r="I54" s="70">
        <f>ROUND(+'PART MES'!E$11*'COEF Art 14 F II'!L56+'Ajuste 1er Sem'!W54,2)</f>
        <v>148931.37</v>
      </c>
      <c r="J54" s="70">
        <f>+'ISR NOVIEMBRE '!D55</f>
        <v>0</v>
      </c>
      <c r="K54" s="70">
        <f>+ISAI!D52+'Ajuste 1er Sem'!X54</f>
        <v>1184585.7066802073</v>
      </c>
      <c r="L54" s="70">
        <f>ROUND('PART MES'!$H$4*'CALCULO GARANTIA'!Q55,2)</f>
        <v>-35374.31</v>
      </c>
      <c r="M54" s="388">
        <f t="shared" si="1"/>
        <v>9337698.2041622158</v>
      </c>
    </row>
    <row r="55" spans="1:14">
      <c r="A55" s="312" t="s">
        <v>50</v>
      </c>
      <c r="B55" s="70">
        <f>ROUND('PART MES'!E$4*'CALCULO GARANTIA'!$Q56+'Ajuste 1er Sem'!O55,2)</f>
        <v>1205486.57</v>
      </c>
      <c r="C55" s="70">
        <f>ROUND('PART MES'!E$5*'CALCULO GARANTIA'!$Q56+'Ajuste 1er Sem'!P55,2)</f>
        <v>159274.28</v>
      </c>
      <c r="D55" s="70">
        <f>+'Art.14 Frac.III'!P54+'Ajuste 1er Sem'!Q55</f>
        <v>474366.36016778613</v>
      </c>
      <c r="E55" s="70">
        <f>ROUND('PART MES'!E$7*'CALCULO GARANTIA'!$Q56+'Ajuste 1er Sem'!R55,2)</f>
        <v>45968.24</v>
      </c>
      <c r="F55" s="70">
        <f>ROUND('PART MES'!E$8*'CALCULO GARANTIA'!$Q56+'Ajuste 1er Sem'!S55,2)</f>
        <v>36328.629999999997</v>
      </c>
      <c r="G55" s="70">
        <f>ROUND('PART MES'!E$9*'CALCULO GARANTIA'!$Q56+'Ajuste 1er Sem'!U55,2)</f>
        <v>36916.22</v>
      </c>
      <c r="H55" s="70">
        <f>ROUND('PART MES'!E$10*'CALCULO GARANTIA'!$Q56+'Ajuste 1er Sem'!V55,2)</f>
        <v>7886.05</v>
      </c>
      <c r="I55" s="70">
        <f>ROUND(+'PART MES'!E$11*'COEF Art 14 F II'!L57+'Ajuste 1er Sem'!W55,2)</f>
        <v>25115.13</v>
      </c>
      <c r="J55" s="70">
        <f>+'ISR NOVIEMBRE '!D56</f>
        <v>0</v>
      </c>
      <c r="K55" s="70">
        <f>+ISAI!D53+'Ajuste 1er Sem'!X55</f>
        <v>7065.612628473853</v>
      </c>
      <c r="L55" s="70">
        <f>ROUND('PART MES'!$H$4*'CALCULO GARANTIA'!Q56,2)</f>
        <v>-7107.62</v>
      </c>
      <c r="M55" s="388">
        <f t="shared" si="1"/>
        <v>1991299.4727962597</v>
      </c>
    </row>
    <row r="56" spans="1:14" ht="13.5" thickBot="1">
      <c r="A56" s="313" t="s">
        <v>51</v>
      </c>
      <c r="B56" s="70">
        <f>ROUND('PART MES'!E$4*'CALCULO GARANTIA'!$Q57+'Ajuste 1er Sem'!O56,2)</f>
        <v>1660812.21</v>
      </c>
      <c r="C56" s="70">
        <f>ROUND('PART MES'!E$5*'CALCULO GARANTIA'!$Q57+'Ajuste 1er Sem'!P56,2)</f>
        <v>219433.93</v>
      </c>
      <c r="D56" s="70">
        <f>+'Art.14 Frac.III'!P55+'Ajuste 1er Sem'!Q56</f>
        <v>281610.76141589344</v>
      </c>
      <c r="E56" s="70">
        <f>ROUND('PART MES'!E$7*'CALCULO GARANTIA'!$Q57+'Ajuste 1er Sem'!R56,2)</f>
        <v>63330.95</v>
      </c>
      <c r="F56" s="70">
        <f>ROUND('PART MES'!E$8*'CALCULO GARANTIA'!$Q57+'Ajuste 1er Sem'!S56,2)</f>
        <v>50050.35</v>
      </c>
      <c r="G56" s="70">
        <f>ROUND('PART MES'!E$9*'CALCULO GARANTIA'!$Q57+'Ajuste 1er Sem'!U56,2)</f>
        <v>50859.89</v>
      </c>
      <c r="H56" s="70">
        <f>ROUND('PART MES'!E$10*'CALCULO GARANTIA'!$Q57+'Ajuste 1er Sem'!V56,2)</f>
        <v>10864.7</v>
      </c>
      <c r="I56" s="70">
        <f>ROUND(+'PART MES'!E$11*'COEF Art 14 F II'!L58+'Ajuste 1er Sem'!W56,2)</f>
        <v>19330.72</v>
      </c>
      <c r="J56" s="70">
        <f>+'ISR NOVIEMBRE '!D57</f>
        <v>0</v>
      </c>
      <c r="K56" s="70">
        <f>+ISAI!D54+'Ajuste 1er Sem'!X56</f>
        <v>5347.9548252295372</v>
      </c>
      <c r="L56" s="70">
        <f>ROUND('PART MES'!$H$4*'CALCULO GARANTIA'!Q57,2)</f>
        <v>-9792.24</v>
      </c>
      <c r="M56" s="388">
        <f t="shared" si="1"/>
        <v>2351849.2262411234</v>
      </c>
    </row>
    <row r="57" spans="1:14" ht="13.5" thickBot="1">
      <c r="A57" s="307" t="s">
        <v>52</v>
      </c>
      <c r="B57" s="308">
        <f t="shared" ref="B57:F57" si="2">SUM(B6:B56)</f>
        <v>499720867.74000001</v>
      </c>
      <c r="C57" s="308">
        <f t="shared" si="2"/>
        <v>66025355.339999989</v>
      </c>
      <c r="D57" s="309">
        <f t="shared" si="2"/>
        <v>16398561.293919878</v>
      </c>
      <c r="E57" s="308">
        <f t="shared" si="2"/>
        <v>19055613.559999995</v>
      </c>
      <c r="F57" s="308">
        <f t="shared" si="2"/>
        <v>15059622.189999998</v>
      </c>
      <c r="G57" s="308">
        <f t="shared" ref="G57:M57" si="3">SUM(G6:G56)</f>
        <v>15303203.980000004</v>
      </c>
      <c r="H57" s="308">
        <f t="shared" si="3"/>
        <v>3269074.7800000007</v>
      </c>
      <c r="I57" s="308">
        <f t="shared" si="3"/>
        <v>12622228.970000001</v>
      </c>
      <c r="J57" s="308">
        <f t="shared" si="3"/>
        <v>46054821</v>
      </c>
      <c r="K57" s="308">
        <f t="shared" si="3"/>
        <v>24340401.600000009</v>
      </c>
      <c r="L57" s="309">
        <f t="shared" si="3"/>
        <v>-2946382.27</v>
      </c>
      <c r="M57" s="310">
        <f t="shared" si="3"/>
        <v>714903368.18391979</v>
      </c>
      <c r="N57" s="16" t="s">
        <v>184</v>
      </c>
    </row>
    <row r="58" spans="1:14">
      <c r="A58" s="2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 t="s">
        <v>184</v>
      </c>
    </row>
    <row r="59" spans="1:14" ht="16.5" customHeight="1">
      <c r="A59" s="15" t="s">
        <v>124</v>
      </c>
      <c r="B59" s="62"/>
      <c r="C59" s="62"/>
      <c r="D59" s="62"/>
      <c r="E59" s="62"/>
    </row>
    <row r="60" spans="1:14">
      <c r="A60" s="17"/>
    </row>
    <row r="61" spans="1:14">
      <c r="A61" s="17"/>
    </row>
    <row r="62" spans="1:14" ht="16.5" customHeight="1"/>
  </sheetData>
  <mergeCells count="4">
    <mergeCell ref="A1:M1"/>
    <mergeCell ref="A2:M2"/>
    <mergeCell ref="A3:M3"/>
    <mergeCell ref="A4:J4"/>
  </mergeCells>
  <printOptions horizontalCentered="1"/>
  <pageMargins left="0.39370078740157483" right="0.39370078740157483" top="0.15748031496062992" bottom="0.15748031496062992" header="0.15748031496062992" footer="0.15748031496062992"/>
  <pageSetup scale="69" orientation="landscape" r:id="rId1"/>
  <headerFooter alignWithMargins="0">
    <oddFooter>&amp;R&amp;D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95"/>
  <sheetViews>
    <sheetView workbookViewId="0">
      <selection activeCell="A56" sqref="A56"/>
    </sheetView>
  </sheetViews>
  <sheetFormatPr baseColWidth="10" defaultRowHeight="12.75"/>
  <cols>
    <col min="1" max="1" width="24.5703125" customWidth="1"/>
    <col min="2" max="2" width="28.7109375" customWidth="1"/>
    <col min="3" max="3" width="18.5703125" customWidth="1"/>
    <col min="4" max="4" width="17.28515625" customWidth="1"/>
    <col min="5" max="5" width="18.28515625" customWidth="1"/>
  </cols>
  <sheetData>
    <row r="1" spans="1:49" ht="15.75">
      <c r="A1" s="405" t="s">
        <v>251</v>
      </c>
      <c r="B1" s="405" t="s">
        <v>252</v>
      </c>
      <c r="C1" s="405" t="s">
        <v>308</v>
      </c>
      <c r="D1" s="405"/>
      <c r="E1" s="405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</row>
    <row r="2" spans="1:49" ht="15.75">
      <c r="A2" s="405"/>
      <c r="B2" s="405"/>
      <c r="C2" s="200" t="s">
        <v>253</v>
      </c>
      <c r="D2" s="200" t="s">
        <v>254</v>
      </c>
      <c r="E2" s="200" t="s">
        <v>255</v>
      </c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</row>
    <row r="3" spans="1:49" ht="15.75">
      <c r="A3" s="201"/>
      <c r="B3" s="202"/>
      <c r="C3" s="202"/>
      <c r="D3" s="202"/>
      <c r="E3" s="203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19"/>
      <c r="AW3" s="219"/>
    </row>
    <row r="4" spans="1:49" ht="15.75">
      <c r="A4" s="204" t="s">
        <v>256</v>
      </c>
      <c r="B4" s="205" t="s">
        <v>253</v>
      </c>
      <c r="C4" s="206">
        <f>SUM(C5:C55)</f>
        <v>5784442</v>
      </c>
      <c r="D4" s="206">
        <f>SUM(D5:D55)</f>
        <v>2890950</v>
      </c>
      <c r="E4" s="206">
        <f>SUM(E5:E55)</f>
        <v>2893492</v>
      </c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</row>
    <row r="5" spans="1:49" ht="15.75">
      <c r="A5" s="207" t="s">
        <v>256</v>
      </c>
      <c r="B5" s="208" t="s">
        <v>257</v>
      </c>
      <c r="C5" s="209">
        <v>2974</v>
      </c>
      <c r="D5" s="209">
        <v>1442</v>
      </c>
      <c r="E5" s="210">
        <v>1532</v>
      </c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</row>
    <row r="6" spans="1:49" ht="15.75">
      <c r="A6" s="211" t="s">
        <v>256</v>
      </c>
      <c r="B6" s="212" t="s">
        <v>258</v>
      </c>
      <c r="C6" s="213">
        <v>3382</v>
      </c>
      <c r="D6" s="213">
        <v>1690</v>
      </c>
      <c r="E6" s="214">
        <v>1692</v>
      </c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</row>
    <row r="7" spans="1:49" ht="15.75">
      <c r="A7" s="207" t="s">
        <v>256</v>
      </c>
      <c r="B7" s="208" t="s">
        <v>259</v>
      </c>
      <c r="C7" s="209">
        <v>35289</v>
      </c>
      <c r="D7" s="209">
        <v>17829</v>
      </c>
      <c r="E7" s="210">
        <v>17460</v>
      </c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</row>
    <row r="8" spans="1:49" ht="15.75">
      <c r="A8" s="211" t="s">
        <v>256</v>
      </c>
      <c r="B8" s="212" t="s">
        <v>260</v>
      </c>
      <c r="C8" s="213">
        <v>18030</v>
      </c>
      <c r="D8" s="213">
        <v>8852</v>
      </c>
      <c r="E8" s="214">
        <v>9178</v>
      </c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</row>
    <row r="9" spans="1:49" ht="15.75">
      <c r="A9" s="207" t="s">
        <v>256</v>
      </c>
      <c r="B9" s="208" t="s">
        <v>261</v>
      </c>
      <c r="C9" s="209">
        <v>656464</v>
      </c>
      <c r="D9" s="209">
        <v>331513</v>
      </c>
      <c r="E9" s="210">
        <v>324951</v>
      </c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</row>
    <row r="10" spans="1:49" ht="15.75">
      <c r="A10" s="211" t="s">
        <v>256</v>
      </c>
      <c r="B10" s="212" t="s">
        <v>262</v>
      </c>
      <c r="C10" s="213">
        <v>14992</v>
      </c>
      <c r="D10" s="213">
        <v>7667</v>
      </c>
      <c r="E10" s="214">
        <v>7325</v>
      </c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</row>
    <row r="11" spans="1:49" ht="15.75">
      <c r="A11" s="207" t="s">
        <v>256</v>
      </c>
      <c r="B11" s="208" t="s">
        <v>263</v>
      </c>
      <c r="C11" s="209">
        <v>3661</v>
      </c>
      <c r="D11" s="209">
        <v>1824</v>
      </c>
      <c r="E11" s="210">
        <v>1837</v>
      </c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</row>
    <row r="12" spans="1:49" ht="15.75">
      <c r="A12" s="211" t="s">
        <v>256</v>
      </c>
      <c r="B12" s="212" t="s">
        <v>264</v>
      </c>
      <c r="C12" s="213">
        <v>122337</v>
      </c>
      <c r="D12" s="213">
        <v>62377</v>
      </c>
      <c r="E12" s="214">
        <v>59960</v>
      </c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</row>
    <row r="13" spans="1:49" ht="15.75">
      <c r="A13" s="207" t="s">
        <v>256</v>
      </c>
      <c r="B13" s="208" t="s">
        <v>265</v>
      </c>
      <c r="C13" s="209">
        <v>7340</v>
      </c>
      <c r="D13" s="209">
        <v>3707</v>
      </c>
      <c r="E13" s="210">
        <v>3633</v>
      </c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</row>
    <row r="14" spans="1:49" ht="15.75">
      <c r="A14" s="211" t="s">
        <v>256</v>
      </c>
      <c r="B14" s="212" t="s">
        <v>266</v>
      </c>
      <c r="C14" s="213">
        <v>9930</v>
      </c>
      <c r="D14" s="213">
        <v>4961</v>
      </c>
      <c r="E14" s="214">
        <v>4969</v>
      </c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</row>
    <row r="15" spans="1:49" ht="15.75">
      <c r="A15" s="207" t="s">
        <v>256</v>
      </c>
      <c r="B15" s="208" t="s">
        <v>267</v>
      </c>
      <c r="C15" s="209">
        <v>68747</v>
      </c>
      <c r="D15" s="209">
        <v>35206</v>
      </c>
      <c r="E15" s="210">
        <v>33541</v>
      </c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</row>
    <row r="16" spans="1:49" ht="15.75">
      <c r="A16" s="211" t="s">
        <v>256</v>
      </c>
      <c r="B16" s="212" t="s">
        <v>268</v>
      </c>
      <c r="C16" s="213">
        <v>36088</v>
      </c>
      <c r="D16" s="213">
        <v>18060</v>
      </c>
      <c r="E16" s="214">
        <v>18028</v>
      </c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</row>
    <row r="17" spans="1:49" ht="15.75">
      <c r="A17" s="207" t="s">
        <v>256</v>
      </c>
      <c r="B17" s="208" t="s">
        <v>269</v>
      </c>
      <c r="C17" s="209">
        <v>1360</v>
      </c>
      <c r="D17" s="209">
        <v>657</v>
      </c>
      <c r="E17" s="210">
        <v>703</v>
      </c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</row>
    <row r="18" spans="1:49" ht="15.75">
      <c r="A18" s="211" t="s">
        <v>256</v>
      </c>
      <c r="B18" s="212" t="s">
        <v>270</v>
      </c>
      <c r="C18" s="213">
        <v>3256</v>
      </c>
      <c r="D18" s="213">
        <v>1672</v>
      </c>
      <c r="E18" s="214">
        <v>1584</v>
      </c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</row>
    <row r="19" spans="1:49" ht="15.75">
      <c r="A19" s="207" t="s">
        <v>256</v>
      </c>
      <c r="B19" s="208" t="s">
        <v>271</v>
      </c>
      <c r="C19" s="209">
        <v>104478</v>
      </c>
      <c r="D19" s="209">
        <v>52883</v>
      </c>
      <c r="E19" s="210">
        <v>51595</v>
      </c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</row>
    <row r="20" spans="1:49" ht="15.75">
      <c r="A20" s="211" t="s">
        <v>256</v>
      </c>
      <c r="B20" s="212" t="s">
        <v>272</v>
      </c>
      <c r="C20" s="213">
        <v>40903</v>
      </c>
      <c r="D20" s="213">
        <v>20444</v>
      </c>
      <c r="E20" s="214">
        <v>20459</v>
      </c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</row>
    <row r="21" spans="1:49" ht="15.75">
      <c r="A21" s="207" t="s">
        <v>256</v>
      </c>
      <c r="B21" s="208" t="s">
        <v>273</v>
      </c>
      <c r="C21" s="209">
        <v>397205</v>
      </c>
      <c r="D21" s="209">
        <v>200708</v>
      </c>
      <c r="E21" s="210">
        <v>196497</v>
      </c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</row>
    <row r="22" spans="1:49" ht="15.75">
      <c r="A22" s="211" t="s">
        <v>256</v>
      </c>
      <c r="B22" s="212" t="s">
        <v>274</v>
      </c>
      <c r="C22" s="213">
        <v>5506</v>
      </c>
      <c r="D22" s="213">
        <v>2796</v>
      </c>
      <c r="E22" s="214">
        <v>2710</v>
      </c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</row>
    <row r="23" spans="1:49" ht="15.75">
      <c r="A23" s="207" t="s">
        <v>256</v>
      </c>
      <c r="B23" s="208" t="s">
        <v>275</v>
      </c>
      <c r="C23" s="209">
        <v>481213</v>
      </c>
      <c r="D23" s="209">
        <v>242161</v>
      </c>
      <c r="E23" s="210">
        <v>239052</v>
      </c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</row>
    <row r="24" spans="1:49" ht="15.75">
      <c r="A24" s="211" t="s">
        <v>256</v>
      </c>
      <c r="B24" s="212" t="s">
        <v>276</v>
      </c>
      <c r="C24" s="213">
        <v>14109</v>
      </c>
      <c r="D24" s="213">
        <v>7115</v>
      </c>
      <c r="E24" s="214">
        <v>6994</v>
      </c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</row>
    <row r="25" spans="1:49" ht="15.75">
      <c r="A25" s="207" t="s">
        <v>256</v>
      </c>
      <c r="B25" s="208" t="s">
        <v>277</v>
      </c>
      <c r="C25" s="209">
        <v>1808</v>
      </c>
      <c r="D25" s="209">
        <v>890</v>
      </c>
      <c r="E25" s="210">
        <v>918</v>
      </c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</row>
    <row r="26" spans="1:49" ht="15.75">
      <c r="A26" s="211" t="s">
        <v>256</v>
      </c>
      <c r="B26" s="212" t="s">
        <v>278</v>
      </c>
      <c r="C26" s="213">
        <v>6282</v>
      </c>
      <c r="D26" s="213">
        <v>3224</v>
      </c>
      <c r="E26" s="214">
        <v>3058</v>
      </c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</row>
    <row r="27" spans="1:49" ht="15.75">
      <c r="A27" s="207" t="s">
        <v>256</v>
      </c>
      <c r="B27" s="208" t="s">
        <v>279</v>
      </c>
      <c r="C27" s="209">
        <v>102149</v>
      </c>
      <c r="D27" s="209">
        <v>51844</v>
      </c>
      <c r="E27" s="210">
        <v>50305</v>
      </c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</row>
    <row r="28" spans="1:49" ht="15.75">
      <c r="A28" s="211" t="s">
        <v>256</v>
      </c>
      <c r="B28" s="212" t="s">
        <v>280</v>
      </c>
      <c r="C28" s="213">
        <v>643143</v>
      </c>
      <c r="D28" s="213">
        <v>318993</v>
      </c>
      <c r="E28" s="214">
        <v>324150</v>
      </c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</row>
    <row r="29" spans="1:49" ht="15.75">
      <c r="A29" s="207" t="s">
        <v>256</v>
      </c>
      <c r="B29" s="208" t="s">
        <v>281</v>
      </c>
      <c r="C29" s="209">
        <v>16086</v>
      </c>
      <c r="D29" s="209">
        <v>8082</v>
      </c>
      <c r="E29" s="210">
        <v>8004</v>
      </c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</row>
    <row r="30" spans="1:49" ht="15.75">
      <c r="A30" s="211" t="s">
        <v>256</v>
      </c>
      <c r="B30" s="212" t="s">
        <v>282</v>
      </c>
      <c r="C30" s="213">
        <v>1386</v>
      </c>
      <c r="D30" s="213">
        <v>724</v>
      </c>
      <c r="E30" s="214">
        <v>662</v>
      </c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</row>
    <row r="31" spans="1:49" ht="15.75">
      <c r="A31" s="207" t="s">
        <v>256</v>
      </c>
      <c r="B31" s="208" t="s">
        <v>283</v>
      </c>
      <c r="C31" s="209">
        <v>7026</v>
      </c>
      <c r="D31" s="209">
        <v>3480</v>
      </c>
      <c r="E31" s="210">
        <v>3546</v>
      </c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</row>
    <row r="32" spans="1:49" ht="15.75">
      <c r="A32" s="211" t="s">
        <v>256</v>
      </c>
      <c r="B32" s="212" t="s">
        <v>284</v>
      </c>
      <c r="C32" s="213">
        <v>3298</v>
      </c>
      <c r="D32" s="213">
        <v>1716</v>
      </c>
      <c r="E32" s="214">
        <v>1582</v>
      </c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</row>
    <row r="33" spans="1:49" ht="15.75">
      <c r="A33" s="207" t="s">
        <v>256</v>
      </c>
      <c r="B33" s="208" t="s">
        <v>285</v>
      </c>
      <c r="C33" s="209">
        <v>471523</v>
      </c>
      <c r="D33" s="209">
        <v>237717</v>
      </c>
      <c r="E33" s="210">
        <v>233806</v>
      </c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</row>
    <row r="34" spans="1:49" ht="15.75">
      <c r="A34" s="211" t="s">
        <v>256</v>
      </c>
      <c r="B34" s="212" t="s">
        <v>286</v>
      </c>
      <c r="C34" s="213">
        <v>5351</v>
      </c>
      <c r="D34" s="213">
        <v>2657</v>
      </c>
      <c r="E34" s="214">
        <v>2694</v>
      </c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</row>
    <row r="35" spans="1:49" ht="15.75">
      <c r="A35" s="207" t="s">
        <v>256</v>
      </c>
      <c r="B35" s="208" t="s">
        <v>287</v>
      </c>
      <c r="C35" s="209">
        <v>84666</v>
      </c>
      <c r="D35" s="209">
        <v>41878</v>
      </c>
      <c r="E35" s="210">
        <v>42788</v>
      </c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</row>
    <row r="36" spans="1:49" ht="15.75">
      <c r="A36" s="211" t="s">
        <v>256</v>
      </c>
      <c r="B36" s="212" t="s">
        <v>288</v>
      </c>
      <c r="C36" s="213">
        <v>1407</v>
      </c>
      <c r="D36" s="213">
        <v>699</v>
      </c>
      <c r="E36" s="214">
        <v>708</v>
      </c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</row>
    <row r="37" spans="1:49" ht="15.75">
      <c r="A37" s="207" t="s">
        <v>256</v>
      </c>
      <c r="B37" s="208" t="s">
        <v>289</v>
      </c>
      <c r="C37" s="209">
        <v>1959</v>
      </c>
      <c r="D37" s="209">
        <v>989</v>
      </c>
      <c r="E37" s="210">
        <v>970</v>
      </c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</row>
    <row r="38" spans="1:49" ht="15.75">
      <c r="A38" s="211" t="s">
        <v>256</v>
      </c>
      <c r="B38" s="212" t="s">
        <v>290</v>
      </c>
      <c r="C38" s="213">
        <v>5389</v>
      </c>
      <c r="D38" s="213">
        <v>2776</v>
      </c>
      <c r="E38" s="214">
        <v>2613</v>
      </c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</row>
    <row r="39" spans="1:49" ht="15.75">
      <c r="A39" s="207" t="s">
        <v>256</v>
      </c>
      <c r="B39" s="208" t="s">
        <v>291</v>
      </c>
      <c r="C39" s="209">
        <v>5119</v>
      </c>
      <c r="D39" s="209">
        <v>2639</v>
      </c>
      <c r="E39" s="210">
        <v>2480</v>
      </c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</row>
    <row r="40" spans="1:49" ht="15.75">
      <c r="A40" s="211" t="s">
        <v>256</v>
      </c>
      <c r="B40" s="212" t="s">
        <v>292</v>
      </c>
      <c r="C40" s="213">
        <v>1483</v>
      </c>
      <c r="D40" s="213">
        <v>764</v>
      </c>
      <c r="E40" s="214">
        <v>719</v>
      </c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</row>
    <row r="41" spans="1:49" ht="15.75">
      <c r="A41" s="207" t="s">
        <v>256</v>
      </c>
      <c r="B41" s="208" t="s">
        <v>293</v>
      </c>
      <c r="C41" s="209">
        <v>7652</v>
      </c>
      <c r="D41" s="209">
        <v>3795</v>
      </c>
      <c r="E41" s="210">
        <v>3857</v>
      </c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</row>
    <row r="42" spans="1:49" ht="15.75">
      <c r="A42" s="211" t="s">
        <v>256</v>
      </c>
      <c r="B42" s="212" t="s">
        <v>294</v>
      </c>
      <c r="C42" s="213">
        <v>6048</v>
      </c>
      <c r="D42" s="213">
        <v>3056</v>
      </c>
      <c r="E42" s="214">
        <v>2992</v>
      </c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</row>
    <row r="43" spans="1:49" ht="15.75">
      <c r="A43" s="207" t="s">
        <v>256</v>
      </c>
      <c r="B43" s="208" t="s">
        <v>295</v>
      </c>
      <c r="C43" s="209">
        <v>67428</v>
      </c>
      <c r="D43" s="209">
        <v>33569</v>
      </c>
      <c r="E43" s="210">
        <v>33859</v>
      </c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  <c r="AP43" s="219"/>
      <c r="AQ43" s="219"/>
      <c r="AR43" s="219"/>
      <c r="AS43" s="219"/>
      <c r="AT43" s="219"/>
      <c r="AU43" s="219"/>
      <c r="AV43" s="219"/>
      <c r="AW43" s="219"/>
    </row>
    <row r="44" spans="1:49" ht="15.75">
      <c r="A44" s="211" t="s">
        <v>256</v>
      </c>
      <c r="B44" s="212" t="s">
        <v>296</v>
      </c>
      <c r="C44" s="213">
        <v>1142994</v>
      </c>
      <c r="D44" s="213">
        <v>564805</v>
      </c>
      <c r="E44" s="214">
        <v>578189</v>
      </c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219"/>
      <c r="AS44" s="219"/>
      <c r="AT44" s="219"/>
      <c r="AU44" s="219"/>
      <c r="AV44" s="219"/>
      <c r="AW44" s="219"/>
    </row>
    <row r="45" spans="1:49" ht="15.75">
      <c r="A45" s="207" t="s">
        <v>256</v>
      </c>
      <c r="B45" s="208" t="s">
        <v>297</v>
      </c>
      <c r="C45" s="209">
        <v>906</v>
      </c>
      <c r="D45" s="209">
        <v>457</v>
      </c>
      <c r="E45" s="210">
        <v>449</v>
      </c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19"/>
      <c r="AL45" s="219"/>
      <c r="AM45" s="219"/>
      <c r="AN45" s="219"/>
      <c r="AO45" s="219"/>
      <c r="AP45" s="219"/>
      <c r="AQ45" s="219"/>
      <c r="AR45" s="219"/>
      <c r="AS45" s="219"/>
      <c r="AT45" s="219"/>
      <c r="AU45" s="219"/>
      <c r="AV45" s="219"/>
      <c r="AW45" s="219"/>
    </row>
    <row r="46" spans="1:49" ht="15.75">
      <c r="A46" s="211" t="s">
        <v>256</v>
      </c>
      <c r="B46" s="212" t="s">
        <v>298</v>
      </c>
      <c r="C46" s="213">
        <v>147624</v>
      </c>
      <c r="D46" s="213">
        <v>76004</v>
      </c>
      <c r="E46" s="214">
        <v>71620</v>
      </c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19"/>
      <c r="AU46" s="219"/>
      <c r="AV46" s="219"/>
      <c r="AW46" s="219"/>
    </row>
    <row r="47" spans="1:49" ht="15.75">
      <c r="A47" s="207" t="s">
        <v>256</v>
      </c>
      <c r="B47" s="208" t="s">
        <v>299</v>
      </c>
      <c r="C47" s="209">
        <v>2377</v>
      </c>
      <c r="D47" s="209">
        <v>1230</v>
      </c>
      <c r="E47" s="210">
        <v>1147</v>
      </c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</row>
    <row r="48" spans="1:49" ht="15.75">
      <c r="A48" s="211" t="s">
        <v>256</v>
      </c>
      <c r="B48" s="212" t="s">
        <v>300</v>
      </c>
      <c r="C48" s="213">
        <v>34709</v>
      </c>
      <c r="D48" s="213">
        <v>17035</v>
      </c>
      <c r="E48" s="214">
        <v>17674</v>
      </c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</row>
    <row r="49" spans="1:49" ht="15.75">
      <c r="A49" s="207" t="s">
        <v>256</v>
      </c>
      <c r="B49" s="208" t="s">
        <v>301</v>
      </c>
      <c r="C49" s="209">
        <v>86766</v>
      </c>
      <c r="D49" s="209">
        <v>44135</v>
      </c>
      <c r="E49" s="210">
        <v>42631</v>
      </c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</row>
    <row r="50" spans="1:49" ht="15.75">
      <c r="A50" s="211" t="s">
        <v>256</v>
      </c>
      <c r="B50" s="212" t="s">
        <v>302</v>
      </c>
      <c r="C50" s="213">
        <v>412199</v>
      </c>
      <c r="D50" s="213">
        <v>202958</v>
      </c>
      <c r="E50" s="214">
        <v>209241</v>
      </c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</row>
    <row r="51" spans="1:49" ht="15.75">
      <c r="A51" s="207" t="s">
        <v>256</v>
      </c>
      <c r="B51" s="208" t="s">
        <v>303</v>
      </c>
      <c r="C51" s="209">
        <v>132169</v>
      </c>
      <c r="D51" s="209">
        <v>62586</v>
      </c>
      <c r="E51" s="210">
        <v>69583</v>
      </c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</row>
    <row r="52" spans="1:49" ht="15.75">
      <c r="A52" s="211" t="s">
        <v>256</v>
      </c>
      <c r="B52" s="212" t="s">
        <v>304</v>
      </c>
      <c r="C52" s="213">
        <v>306322</v>
      </c>
      <c r="D52" s="213">
        <v>152617</v>
      </c>
      <c r="E52" s="214">
        <v>153705</v>
      </c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19"/>
      <c r="AR52" s="219"/>
      <c r="AS52" s="219"/>
      <c r="AT52" s="219"/>
      <c r="AU52" s="219"/>
      <c r="AV52" s="219"/>
      <c r="AW52" s="219"/>
    </row>
    <row r="53" spans="1:49" ht="15.75">
      <c r="A53" s="207" t="s">
        <v>256</v>
      </c>
      <c r="B53" s="208" t="s">
        <v>305</v>
      </c>
      <c r="C53" s="209">
        <v>46784</v>
      </c>
      <c r="D53" s="209">
        <v>23460</v>
      </c>
      <c r="E53" s="210">
        <v>23324</v>
      </c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</row>
    <row r="54" spans="1:49" ht="15.75">
      <c r="A54" s="211" t="s">
        <v>256</v>
      </c>
      <c r="B54" s="212" t="s">
        <v>306</v>
      </c>
      <c r="C54" s="213">
        <v>1552</v>
      </c>
      <c r="D54" s="213">
        <v>820</v>
      </c>
      <c r="E54" s="214">
        <v>732</v>
      </c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19"/>
      <c r="AL54" s="219"/>
      <c r="AM54" s="219"/>
      <c r="AN54" s="219"/>
      <c r="AO54" s="219"/>
      <c r="AP54" s="219"/>
      <c r="AQ54" s="219"/>
      <c r="AR54" s="219"/>
      <c r="AS54" s="219"/>
      <c r="AT54" s="219"/>
      <c r="AU54" s="219"/>
      <c r="AV54" s="219"/>
      <c r="AW54" s="219"/>
    </row>
    <row r="55" spans="1:49" ht="15.75">
      <c r="A55" s="215" t="s">
        <v>256</v>
      </c>
      <c r="B55" s="216" t="s">
        <v>307</v>
      </c>
      <c r="C55" s="217">
        <v>3573</v>
      </c>
      <c r="D55" s="217">
        <v>1787</v>
      </c>
      <c r="E55" s="218">
        <v>1786</v>
      </c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19"/>
      <c r="AL55" s="219"/>
      <c r="AM55" s="219"/>
      <c r="AN55" s="219"/>
      <c r="AO55" s="219"/>
      <c r="AP55" s="219"/>
      <c r="AQ55" s="219"/>
      <c r="AR55" s="219"/>
      <c r="AS55" s="219"/>
      <c r="AT55" s="219"/>
      <c r="AU55" s="219"/>
      <c r="AV55" s="219"/>
      <c r="AW55" s="219"/>
    </row>
    <row r="56" spans="1:49">
      <c r="A56" s="221" t="s">
        <v>309</v>
      </c>
      <c r="B56" s="219"/>
      <c r="C56" s="219"/>
      <c r="D56" s="219"/>
      <c r="E56" s="219"/>
      <c r="F56" s="219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219"/>
      <c r="AN56" s="219"/>
      <c r="AO56" s="219"/>
      <c r="AP56" s="219"/>
      <c r="AQ56" s="219"/>
      <c r="AR56" s="219"/>
      <c r="AS56" s="219"/>
      <c r="AT56" s="219"/>
      <c r="AU56" s="219"/>
      <c r="AV56" s="219"/>
      <c r="AW56" s="219"/>
    </row>
    <row r="57" spans="1:49">
      <c r="A57" s="219"/>
      <c r="B57" s="219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19"/>
      <c r="AL57" s="219"/>
      <c r="AM57" s="219"/>
      <c r="AN57" s="219"/>
      <c r="AO57" s="219"/>
      <c r="AP57" s="219"/>
      <c r="AQ57" s="219"/>
      <c r="AR57" s="219"/>
      <c r="AS57" s="219"/>
      <c r="AT57" s="219"/>
      <c r="AU57" s="219"/>
      <c r="AV57" s="219"/>
      <c r="AW57" s="219"/>
    </row>
    <row r="58" spans="1:49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19"/>
      <c r="AL58" s="219"/>
      <c r="AM58" s="219"/>
      <c r="AN58" s="219"/>
      <c r="AO58" s="219"/>
      <c r="AP58" s="219"/>
      <c r="AQ58" s="219"/>
      <c r="AR58" s="219"/>
      <c r="AS58" s="219"/>
      <c r="AT58" s="219"/>
      <c r="AU58" s="219"/>
      <c r="AV58" s="219"/>
      <c r="AW58" s="219"/>
    </row>
    <row r="59" spans="1:49">
      <c r="A59" s="219"/>
      <c r="B59" s="219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19"/>
      <c r="AL59" s="219"/>
      <c r="AM59" s="219"/>
      <c r="AN59" s="219"/>
      <c r="AO59" s="219"/>
      <c r="AP59" s="219"/>
      <c r="AQ59" s="219"/>
      <c r="AR59" s="219"/>
      <c r="AS59" s="219"/>
      <c r="AT59" s="219"/>
      <c r="AU59" s="219"/>
      <c r="AV59" s="219"/>
      <c r="AW59" s="219"/>
    </row>
    <row r="60" spans="1:49">
      <c r="A60" s="219"/>
      <c r="B60" s="219"/>
      <c r="C60" s="219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19"/>
      <c r="AW60" s="219"/>
    </row>
    <row r="61" spans="1:49">
      <c r="A61" s="219"/>
      <c r="B61" s="219"/>
      <c r="C61" s="219"/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219"/>
      <c r="AN61" s="219"/>
      <c r="AO61" s="219"/>
      <c r="AP61" s="219"/>
      <c r="AQ61" s="219"/>
      <c r="AR61" s="219"/>
      <c r="AS61" s="219"/>
      <c r="AT61" s="219"/>
      <c r="AU61" s="219"/>
      <c r="AV61" s="219"/>
      <c r="AW61" s="219"/>
    </row>
    <row r="62" spans="1:49">
      <c r="A62" s="219"/>
      <c r="B62" s="219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219"/>
      <c r="AN62" s="219"/>
      <c r="AO62" s="219"/>
      <c r="AP62" s="219"/>
      <c r="AQ62" s="219"/>
      <c r="AR62" s="219"/>
      <c r="AS62" s="219"/>
      <c r="AT62" s="219"/>
      <c r="AU62" s="219"/>
      <c r="AV62" s="219"/>
      <c r="AW62" s="219"/>
    </row>
    <row r="63" spans="1:49">
      <c r="A63" s="219"/>
      <c r="B63" s="219"/>
      <c r="C63" s="219"/>
      <c r="D63" s="21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19"/>
      <c r="AL63" s="219"/>
      <c r="AM63" s="219"/>
      <c r="AN63" s="219"/>
      <c r="AO63" s="219"/>
      <c r="AP63" s="219"/>
      <c r="AQ63" s="219"/>
      <c r="AR63" s="219"/>
      <c r="AS63" s="219"/>
      <c r="AT63" s="219"/>
      <c r="AU63" s="219"/>
      <c r="AV63" s="219"/>
      <c r="AW63" s="219"/>
    </row>
    <row r="64" spans="1:49">
      <c r="A64" s="219"/>
      <c r="B64" s="219"/>
      <c r="C64" s="219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219"/>
      <c r="AN64" s="219"/>
      <c r="AO64" s="219"/>
      <c r="AP64" s="219"/>
      <c r="AQ64" s="219"/>
      <c r="AR64" s="219"/>
      <c r="AS64" s="219"/>
      <c r="AT64" s="219"/>
      <c r="AU64" s="219"/>
      <c r="AV64" s="219"/>
      <c r="AW64" s="219"/>
    </row>
    <row r="65" spans="1:49">
      <c r="A65" s="219"/>
      <c r="B65" s="219"/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219"/>
      <c r="AN65" s="219"/>
      <c r="AO65" s="219"/>
      <c r="AP65" s="219"/>
      <c r="AQ65" s="219"/>
      <c r="AR65" s="219"/>
      <c r="AS65" s="219"/>
      <c r="AT65" s="219"/>
      <c r="AU65" s="219"/>
      <c r="AV65" s="219"/>
      <c r="AW65" s="219"/>
    </row>
    <row r="66" spans="1:49">
      <c r="A66" s="219"/>
      <c r="B66" s="219"/>
      <c r="C66" s="219"/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19"/>
      <c r="AV66" s="219"/>
      <c r="AW66" s="219"/>
    </row>
    <row r="67" spans="1:49">
      <c r="A67" s="219"/>
      <c r="B67" s="219"/>
      <c r="C67" s="219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19"/>
      <c r="AL67" s="219"/>
      <c r="AM67" s="219"/>
      <c r="AN67" s="219"/>
      <c r="AO67" s="219"/>
      <c r="AP67" s="219"/>
      <c r="AQ67" s="219"/>
      <c r="AR67" s="219"/>
      <c r="AS67" s="219"/>
      <c r="AT67" s="219"/>
      <c r="AU67" s="219"/>
      <c r="AV67" s="219"/>
      <c r="AW67" s="219"/>
    </row>
    <row r="68" spans="1:49">
      <c r="A68" s="219"/>
      <c r="B68" s="219"/>
      <c r="C68" s="219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19"/>
      <c r="AL68" s="219"/>
      <c r="AM68" s="219"/>
      <c r="AN68" s="219"/>
      <c r="AO68" s="219"/>
      <c r="AP68" s="219"/>
      <c r="AQ68" s="219"/>
      <c r="AR68" s="219"/>
      <c r="AS68" s="219"/>
      <c r="AT68" s="219"/>
      <c r="AU68" s="219"/>
      <c r="AV68" s="219"/>
      <c r="AW68" s="219"/>
    </row>
    <row r="69" spans="1:49">
      <c r="A69" s="219"/>
      <c r="B69" s="219"/>
      <c r="C69" s="219"/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19"/>
      <c r="AL69" s="219"/>
      <c r="AM69" s="219"/>
      <c r="AN69" s="219"/>
      <c r="AO69" s="219"/>
      <c r="AP69" s="219"/>
      <c r="AQ69" s="219"/>
      <c r="AR69" s="219"/>
      <c r="AS69" s="219"/>
      <c r="AT69" s="219"/>
      <c r="AU69" s="219"/>
      <c r="AV69" s="219"/>
      <c r="AW69" s="219"/>
    </row>
    <row r="70" spans="1:49">
      <c r="A70" s="219"/>
      <c r="B70" s="219"/>
      <c r="C70" s="219"/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19"/>
      <c r="AL70" s="219"/>
      <c r="AM70" s="219"/>
      <c r="AN70" s="219"/>
      <c r="AO70" s="219"/>
      <c r="AP70" s="219"/>
      <c r="AQ70" s="219"/>
      <c r="AR70" s="219"/>
      <c r="AS70" s="219"/>
      <c r="AT70" s="219"/>
      <c r="AU70" s="219"/>
      <c r="AV70" s="219"/>
      <c r="AW70" s="219"/>
    </row>
    <row r="71" spans="1:49">
      <c r="A71" s="219"/>
      <c r="B71" s="219"/>
      <c r="C71" s="219"/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219"/>
      <c r="AN71" s="219"/>
      <c r="AO71" s="219"/>
      <c r="AP71" s="219"/>
      <c r="AQ71" s="219"/>
      <c r="AR71" s="219"/>
      <c r="AS71" s="219"/>
      <c r="AT71" s="219"/>
      <c r="AU71" s="219"/>
      <c r="AV71" s="219"/>
      <c r="AW71" s="219"/>
    </row>
    <row r="72" spans="1:49">
      <c r="A72" s="219"/>
      <c r="B72" s="219"/>
      <c r="C72" s="219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19"/>
      <c r="AW72" s="219"/>
    </row>
    <row r="73" spans="1:49">
      <c r="A73" s="219"/>
      <c r="B73" s="219"/>
      <c r="C73" s="219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  <c r="AO73" s="219"/>
      <c r="AP73" s="219"/>
      <c r="AQ73" s="219"/>
      <c r="AR73" s="219"/>
      <c r="AS73" s="219"/>
      <c r="AT73" s="219"/>
      <c r="AU73" s="219"/>
      <c r="AV73" s="219"/>
      <c r="AW73" s="219"/>
    </row>
    <row r="74" spans="1:49">
      <c r="A74" s="219"/>
      <c r="B74" s="219"/>
      <c r="C74" s="219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19"/>
      <c r="AW74" s="219"/>
    </row>
    <row r="75" spans="1:49">
      <c r="A75" s="219"/>
      <c r="B75" s="219"/>
      <c r="C75" s="219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19"/>
      <c r="AS75" s="219"/>
      <c r="AT75" s="219"/>
      <c r="AU75" s="219"/>
      <c r="AV75" s="219"/>
      <c r="AW75" s="219"/>
    </row>
    <row r="76" spans="1:49">
      <c r="A76" s="219"/>
      <c r="B76" s="219"/>
      <c r="C76" s="219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19"/>
      <c r="AW76" s="219"/>
    </row>
    <row r="77" spans="1:49">
      <c r="A77" s="219"/>
      <c r="B77" s="219"/>
      <c r="C77" s="219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</row>
    <row r="78" spans="1:49">
      <c r="A78" s="219"/>
      <c r="B78" s="219"/>
      <c r="C78" s="219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19"/>
      <c r="AV78" s="219"/>
      <c r="AW78" s="219"/>
    </row>
    <row r="79" spans="1:49">
      <c r="A79" s="219"/>
      <c r="B79" s="219"/>
      <c r="C79" s="219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</row>
    <row r="80" spans="1:49">
      <c r="A80" s="219"/>
      <c r="B80" s="219"/>
      <c r="C80" s="219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19"/>
      <c r="AP80" s="219"/>
      <c r="AQ80" s="219"/>
      <c r="AR80" s="219"/>
      <c r="AS80" s="219"/>
      <c r="AT80" s="219"/>
      <c r="AU80" s="219"/>
      <c r="AV80" s="219"/>
      <c r="AW80" s="219"/>
    </row>
    <row r="81" spans="1:49">
      <c r="A81" s="219"/>
      <c r="B81" s="219"/>
      <c r="C81" s="219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19"/>
      <c r="AP81" s="219"/>
      <c r="AQ81" s="219"/>
      <c r="AR81" s="219"/>
      <c r="AS81" s="219"/>
      <c r="AT81" s="219"/>
      <c r="AU81" s="219"/>
      <c r="AV81" s="219"/>
      <c r="AW81" s="219"/>
    </row>
    <row r="82" spans="1:49">
      <c r="A82" s="219"/>
      <c r="B82" s="219"/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  <c r="AO82" s="219"/>
      <c r="AP82" s="219"/>
      <c r="AQ82" s="219"/>
      <c r="AR82" s="219"/>
      <c r="AS82" s="219"/>
      <c r="AT82" s="219"/>
      <c r="AU82" s="219"/>
      <c r="AV82" s="219"/>
      <c r="AW82" s="219"/>
    </row>
    <row r="83" spans="1:49">
      <c r="A83" s="219"/>
      <c r="B83" s="219"/>
      <c r="C83" s="219"/>
      <c r="D83" s="219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  <c r="AO83" s="219"/>
      <c r="AP83" s="219"/>
      <c r="AQ83" s="219"/>
      <c r="AR83" s="219"/>
      <c r="AS83" s="219"/>
      <c r="AT83" s="219"/>
      <c r="AU83" s="219"/>
      <c r="AV83" s="219"/>
      <c r="AW83" s="219"/>
    </row>
    <row r="84" spans="1:49">
      <c r="A84" s="219"/>
      <c r="B84" s="219"/>
      <c r="C84" s="219"/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9"/>
      <c r="AU84" s="219"/>
      <c r="AV84" s="219"/>
      <c r="AW84" s="219"/>
    </row>
    <row r="85" spans="1:49">
      <c r="A85" s="219"/>
      <c r="B85" s="219"/>
      <c r="C85" s="219"/>
      <c r="D85" s="219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  <c r="AO85" s="219"/>
      <c r="AP85" s="219"/>
      <c r="AQ85" s="219"/>
      <c r="AR85" s="219"/>
      <c r="AS85" s="219"/>
      <c r="AT85" s="219"/>
      <c r="AU85" s="219"/>
      <c r="AV85" s="219"/>
      <c r="AW85" s="219"/>
    </row>
    <row r="86" spans="1:49">
      <c r="A86" s="219"/>
      <c r="B86" s="219"/>
      <c r="C86" s="219"/>
      <c r="D86" s="21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19"/>
      <c r="AL86" s="219"/>
      <c r="AM86" s="219"/>
      <c r="AN86" s="219"/>
      <c r="AO86" s="219"/>
      <c r="AP86" s="219"/>
      <c r="AQ86" s="219"/>
      <c r="AR86" s="219"/>
      <c r="AS86" s="219"/>
      <c r="AT86" s="219"/>
      <c r="AU86" s="219"/>
      <c r="AV86" s="219"/>
      <c r="AW86" s="219"/>
    </row>
    <row r="87" spans="1:49">
      <c r="A87" s="219"/>
      <c r="B87" s="219"/>
      <c r="C87" s="219"/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</row>
    <row r="88" spans="1:49">
      <c r="A88" s="219"/>
      <c r="B88" s="219"/>
      <c r="C88" s="219"/>
      <c r="D88" s="21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</row>
    <row r="89" spans="1:49">
      <c r="A89" s="219"/>
      <c r="B89" s="219"/>
      <c r="C89" s="219"/>
      <c r="D89" s="21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</row>
    <row r="90" spans="1:49">
      <c r="A90" s="219"/>
      <c r="B90" s="219"/>
      <c r="C90" s="219"/>
      <c r="D90" s="21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</row>
    <row r="91" spans="1:49">
      <c r="A91" s="219"/>
      <c r="B91" s="219"/>
      <c r="C91" s="219"/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</row>
    <row r="92" spans="1:49">
      <c r="A92" s="219"/>
      <c r="B92" s="219"/>
      <c r="C92" s="219"/>
      <c r="D92" s="21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</row>
    <row r="93" spans="1:49">
      <c r="A93" s="219"/>
      <c r="B93" s="219"/>
      <c r="C93" s="219"/>
      <c r="D93" s="219"/>
      <c r="E93" s="219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</row>
    <row r="94" spans="1:49">
      <c r="A94" s="219"/>
      <c r="B94" s="219"/>
      <c r="C94" s="219"/>
      <c r="D94" s="219"/>
      <c r="E94" s="219"/>
      <c r="F94" s="219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</row>
    <row r="95" spans="1:49">
      <c r="A95" s="219"/>
      <c r="B95" s="219"/>
      <c r="C95" s="219"/>
      <c r="D95" s="21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</row>
    <row r="96" spans="1:49">
      <c r="A96" s="219"/>
      <c r="B96" s="219"/>
      <c r="C96" s="219"/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</row>
    <row r="97" spans="1:49">
      <c r="A97" s="219"/>
      <c r="B97" s="219"/>
      <c r="C97" s="219"/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9"/>
      <c r="AU97" s="219"/>
      <c r="AV97" s="219"/>
      <c r="AW97" s="219"/>
    </row>
    <row r="98" spans="1:49">
      <c r="A98" s="219"/>
      <c r="B98" s="219"/>
      <c r="C98" s="219"/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</row>
    <row r="99" spans="1:49">
      <c r="A99" s="219"/>
      <c r="B99" s="219"/>
      <c r="C99" s="219"/>
      <c r="D99" s="219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19"/>
      <c r="AL99" s="219"/>
      <c r="AM99" s="219"/>
      <c r="AN99" s="219"/>
      <c r="AO99" s="219"/>
      <c r="AP99" s="219"/>
      <c r="AQ99" s="219"/>
      <c r="AR99" s="219"/>
      <c r="AS99" s="219"/>
      <c r="AT99" s="219"/>
      <c r="AU99" s="219"/>
      <c r="AV99" s="219"/>
      <c r="AW99" s="219"/>
    </row>
    <row r="100" spans="1:49">
      <c r="A100" s="219"/>
      <c r="B100" s="219"/>
      <c r="C100" s="219"/>
      <c r="D100" s="219"/>
      <c r="E100" s="219"/>
      <c r="F100" s="219"/>
      <c r="G100" s="219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219"/>
      <c r="AN100" s="219"/>
      <c r="AO100" s="219"/>
      <c r="AP100" s="219"/>
      <c r="AQ100" s="219"/>
      <c r="AR100" s="219"/>
      <c r="AS100" s="219"/>
      <c r="AT100" s="219"/>
      <c r="AU100" s="219"/>
      <c r="AV100" s="219"/>
      <c r="AW100" s="219"/>
    </row>
    <row r="101" spans="1:49">
      <c r="A101" s="219"/>
      <c r="B101" s="219"/>
      <c r="C101" s="219"/>
      <c r="D101" s="219"/>
      <c r="E101" s="219"/>
      <c r="F101" s="219"/>
      <c r="G101" s="219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19"/>
      <c r="AL101" s="219"/>
      <c r="AM101" s="219"/>
      <c r="AN101" s="219"/>
      <c r="AO101" s="219"/>
      <c r="AP101" s="219"/>
      <c r="AQ101" s="219"/>
      <c r="AR101" s="219"/>
      <c r="AS101" s="219"/>
      <c r="AT101" s="219"/>
      <c r="AU101" s="219"/>
      <c r="AV101" s="219"/>
      <c r="AW101" s="219"/>
    </row>
    <row r="102" spans="1:49">
      <c r="A102" s="219"/>
      <c r="B102" s="219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19"/>
      <c r="AQ102" s="219"/>
      <c r="AR102" s="219"/>
      <c r="AS102" s="219"/>
      <c r="AT102" s="219"/>
      <c r="AU102" s="219"/>
      <c r="AV102" s="219"/>
      <c r="AW102" s="219"/>
    </row>
    <row r="103" spans="1:49">
      <c r="A103" s="219"/>
      <c r="B103" s="219"/>
      <c r="C103" s="219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19"/>
      <c r="AL103" s="219"/>
      <c r="AM103" s="219"/>
      <c r="AN103" s="219"/>
      <c r="AO103" s="219"/>
      <c r="AP103" s="219"/>
      <c r="AQ103" s="219"/>
      <c r="AR103" s="219"/>
      <c r="AS103" s="219"/>
      <c r="AT103" s="219"/>
      <c r="AU103" s="219"/>
      <c r="AV103" s="219"/>
      <c r="AW103" s="219"/>
    </row>
    <row r="104" spans="1:49">
      <c r="A104" s="219"/>
      <c r="B104" s="219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19"/>
      <c r="AL104" s="219"/>
      <c r="AM104" s="219"/>
      <c r="AN104" s="219"/>
      <c r="AO104" s="219"/>
      <c r="AP104" s="219"/>
      <c r="AQ104" s="219"/>
      <c r="AR104" s="219"/>
      <c r="AS104" s="219"/>
      <c r="AT104" s="219"/>
      <c r="AU104" s="219"/>
      <c r="AV104" s="219"/>
      <c r="AW104" s="219"/>
    </row>
    <row r="105" spans="1:49">
      <c r="A105" s="219"/>
      <c r="B105" s="219"/>
      <c r="C105" s="219"/>
      <c r="D105" s="21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219"/>
      <c r="AN105" s="219"/>
      <c r="AO105" s="219"/>
      <c r="AP105" s="219"/>
      <c r="AQ105" s="219"/>
      <c r="AR105" s="219"/>
      <c r="AS105" s="219"/>
      <c r="AT105" s="219"/>
      <c r="AU105" s="219"/>
      <c r="AV105" s="219"/>
      <c r="AW105" s="219"/>
    </row>
    <row r="106" spans="1:49">
      <c r="A106" s="219"/>
      <c r="B106" s="219"/>
      <c r="C106" s="219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219"/>
      <c r="AS106" s="219"/>
      <c r="AT106" s="219"/>
      <c r="AU106" s="219"/>
      <c r="AV106" s="219"/>
      <c r="AW106" s="219"/>
    </row>
    <row r="107" spans="1:49">
      <c r="A107" s="219"/>
      <c r="B107" s="219"/>
      <c r="C107" s="219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219"/>
      <c r="AN107" s="219"/>
      <c r="AO107" s="219"/>
      <c r="AP107" s="219"/>
      <c r="AQ107" s="219"/>
      <c r="AR107" s="219"/>
      <c r="AS107" s="219"/>
      <c r="AT107" s="219"/>
      <c r="AU107" s="219"/>
      <c r="AV107" s="219"/>
      <c r="AW107" s="219"/>
    </row>
    <row r="108" spans="1:49">
      <c r="A108" s="219"/>
      <c r="B108" s="219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9"/>
      <c r="AN108" s="219"/>
      <c r="AO108" s="219"/>
      <c r="AP108" s="219"/>
      <c r="AQ108" s="219"/>
      <c r="AR108" s="219"/>
      <c r="AS108" s="219"/>
      <c r="AT108" s="219"/>
      <c r="AU108" s="219"/>
      <c r="AV108" s="219"/>
      <c r="AW108" s="219"/>
    </row>
    <row r="109" spans="1:49">
      <c r="A109" s="219"/>
      <c r="B109" s="219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219"/>
      <c r="AN109" s="219"/>
      <c r="AO109" s="219"/>
      <c r="AP109" s="219"/>
      <c r="AQ109" s="219"/>
      <c r="AR109" s="219"/>
      <c r="AS109" s="219"/>
      <c r="AT109" s="219"/>
      <c r="AU109" s="219"/>
      <c r="AV109" s="219"/>
      <c r="AW109" s="219"/>
    </row>
    <row r="110" spans="1:49">
      <c r="A110" s="219"/>
      <c r="B110" s="219"/>
      <c r="C110" s="219"/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19"/>
      <c r="AL110" s="219"/>
      <c r="AM110" s="219"/>
      <c r="AN110" s="219"/>
      <c r="AO110" s="219"/>
      <c r="AP110" s="219"/>
      <c r="AQ110" s="219"/>
      <c r="AR110" s="219"/>
      <c r="AS110" s="219"/>
      <c r="AT110" s="219"/>
      <c r="AU110" s="219"/>
      <c r="AV110" s="219"/>
      <c r="AW110" s="219"/>
    </row>
    <row r="111" spans="1:49">
      <c r="A111" s="219"/>
      <c r="B111" s="219"/>
      <c r="C111" s="219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19"/>
      <c r="AL111" s="219"/>
      <c r="AM111" s="219"/>
      <c r="AN111" s="219"/>
      <c r="AO111" s="219"/>
      <c r="AP111" s="219"/>
      <c r="AQ111" s="219"/>
      <c r="AR111" s="219"/>
      <c r="AS111" s="219"/>
      <c r="AT111" s="219"/>
      <c r="AU111" s="219"/>
      <c r="AV111" s="219"/>
      <c r="AW111" s="219"/>
    </row>
    <row r="112" spans="1:49">
      <c r="A112" s="219"/>
      <c r="B112" s="219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19"/>
      <c r="AL112" s="219"/>
      <c r="AM112" s="219"/>
      <c r="AN112" s="219"/>
      <c r="AO112" s="219"/>
      <c r="AP112" s="219"/>
      <c r="AQ112" s="219"/>
      <c r="AR112" s="219"/>
      <c r="AS112" s="219"/>
      <c r="AT112" s="219"/>
      <c r="AU112" s="219"/>
      <c r="AV112" s="219"/>
      <c r="AW112" s="219"/>
    </row>
    <row r="113" spans="1:49">
      <c r="A113" s="219"/>
      <c r="B113" s="219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219"/>
      <c r="AN113" s="219"/>
      <c r="AO113" s="219"/>
      <c r="AP113" s="219"/>
      <c r="AQ113" s="219"/>
      <c r="AR113" s="219"/>
      <c r="AS113" s="219"/>
      <c r="AT113" s="219"/>
      <c r="AU113" s="219"/>
      <c r="AV113" s="219"/>
      <c r="AW113" s="219"/>
    </row>
    <row r="114" spans="1:49">
      <c r="A114" s="219"/>
      <c r="B114" s="219"/>
      <c r="C114" s="219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19"/>
      <c r="AL114" s="219"/>
      <c r="AM114" s="219"/>
      <c r="AN114" s="219"/>
      <c r="AO114" s="219"/>
      <c r="AP114" s="219"/>
      <c r="AQ114" s="219"/>
      <c r="AR114" s="219"/>
      <c r="AS114" s="219"/>
      <c r="AT114" s="219"/>
      <c r="AU114" s="219"/>
      <c r="AV114" s="219"/>
      <c r="AW114" s="219"/>
    </row>
    <row r="115" spans="1:49">
      <c r="A115" s="219"/>
      <c r="B115" s="219"/>
      <c r="C115" s="219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219"/>
      <c r="AN115" s="219"/>
      <c r="AO115" s="219"/>
      <c r="AP115" s="219"/>
      <c r="AQ115" s="219"/>
      <c r="AR115" s="219"/>
      <c r="AS115" s="219"/>
      <c r="AT115" s="219"/>
      <c r="AU115" s="219"/>
      <c r="AV115" s="219"/>
      <c r="AW115" s="219"/>
    </row>
    <row r="116" spans="1:49">
      <c r="A116" s="219"/>
      <c r="B116" s="219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219"/>
      <c r="AN116" s="219"/>
      <c r="AO116" s="219"/>
      <c r="AP116" s="219"/>
      <c r="AQ116" s="219"/>
      <c r="AR116" s="219"/>
      <c r="AS116" s="219"/>
      <c r="AT116" s="219"/>
      <c r="AU116" s="219"/>
      <c r="AV116" s="219"/>
      <c r="AW116" s="219"/>
    </row>
    <row r="117" spans="1:49">
      <c r="A117" s="219"/>
      <c r="B117" s="219"/>
      <c r="C117" s="219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19"/>
      <c r="AL117" s="219"/>
      <c r="AM117" s="219"/>
      <c r="AN117" s="219"/>
      <c r="AO117" s="219"/>
      <c r="AP117" s="219"/>
      <c r="AQ117" s="219"/>
      <c r="AR117" s="219"/>
      <c r="AS117" s="219"/>
      <c r="AT117" s="219"/>
      <c r="AU117" s="219"/>
      <c r="AV117" s="219"/>
      <c r="AW117" s="219"/>
    </row>
    <row r="118" spans="1:49">
      <c r="A118" s="219"/>
      <c r="B118" s="219"/>
      <c r="C118" s="219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19"/>
      <c r="AL118" s="219"/>
      <c r="AM118" s="219"/>
      <c r="AN118" s="219"/>
      <c r="AO118" s="219"/>
      <c r="AP118" s="219"/>
      <c r="AQ118" s="219"/>
      <c r="AR118" s="219"/>
      <c r="AS118" s="219"/>
      <c r="AT118" s="219"/>
      <c r="AU118" s="219"/>
      <c r="AV118" s="219"/>
      <c r="AW118" s="219"/>
    </row>
    <row r="119" spans="1:49">
      <c r="A119" s="219"/>
      <c r="B119" s="219"/>
      <c r="C119" s="219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19"/>
      <c r="AL119" s="219"/>
      <c r="AM119" s="219"/>
      <c r="AN119" s="219"/>
      <c r="AO119" s="219"/>
      <c r="AP119" s="219"/>
      <c r="AQ119" s="219"/>
      <c r="AR119" s="219"/>
      <c r="AS119" s="219"/>
      <c r="AT119" s="219"/>
      <c r="AU119" s="219"/>
      <c r="AV119" s="219"/>
      <c r="AW119" s="219"/>
    </row>
    <row r="120" spans="1:49">
      <c r="A120" s="219"/>
      <c r="B120" s="219"/>
      <c r="C120" s="219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19"/>
      <c r="AL120" s="219"/>
      <c r="AM120" s="219"/>
      <c r="AN120" s="219"/>
      <c r="AO120" s="219"/>
      <c r="AP120" s="219"/>
      <c r="AQ120" s="219"/>
      <c r="AR120" s="219"/>
      <c r="AS120" s="219"/>
      <c r="AT120" s="219"/>
      <c r="AU120" s="219"/>
      <c r="AV120" s="219"/>
      <c r="AW120" s="219"/>
    </row>
    <row r="121" spans="1:49">
      <c r="A121" s="219"/>
      <c r="B121" s="219"/>
      <c r="C121" s="219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19"/>
      <c r="AM121" s="219"/>
      <c r="AN121" s="219"/>
      <c r="AO121" s="219"/>
      <c r="AP121" s="219"/>
      <c r="AQ121" s="219"/>
      <c r="AR121" s="219"/>
      <c r="AS121" s="219"/>
      <c r="AT121" s="219"/>
      <c r="AU121" s="219"/>
      <c r="AV121" s="219"/>
      <c r="AW121" s="219"/>
    </row>
    <row r="122" spans="1:49">
      <c r="A122" s="219"/>
      <c r="B122" s="219"/>
      <c r="C122" s="219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19"/>
      <c r="AM122" s="219"/>
      <c r="AN122" s="219"/>
      <c r="AO122" s="219"/>
      <c r="AP122" s="219"/>
      <c r="AQ122" s="219"/>
      <c r="AR122" s="219"/>
      <c r="AS122" s="219"/>
      <c r="AT122" s="219"/>
      <c r="AU122" s="219"/>
      <c r="AV122" s="219"/>
      <c r="AW122" s="219"/>
    </row>
    <row r="123" spans="1:49">
      <c r="A123" s="219"/>
      <c r="B123" s="219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19"/>
      <c r="AL123" s="219"/>
      <c r="AM123" s="219"/>
      <c r="AN123" s="219"/>
      <c r="AO123" s="219"/>
      <c r="AP123" s="219"/>
      <c r="AQ123" s="219"/>
      <c r="AR123" s="219"/>
      <c r="AS123" s="219"/>
      <c r="AT123" s="219"/>
      <c r="AU123" s="219"/>
      <c r="AV123" s="219"/>
      <c r="AW123" s="219"/>
    </row>
    <row r="124" spans="1:49">
      <c r="A124" s="219"/>
      <c r="B124" s="219"/>
      <c r="C124" s="219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19"/>
      <c r="AL124" s="219"/>
      <c r="AM124" s="219"/>
      <c r="AN124" s="219"/>
      <c r="AO124" s="219"/>
      <c r="AP124" s="219"/>
      <c r="AQ124" s="219"/>
      <c r="AR124" s="219"/>
      <c r="AS124" s="219"/>
      <c r="AT124" s="219"/>
      <c r="AU124" s="219"/>
      <c r="AV124" s="219"/>
      <c r="AW124" s="219"/>
    </row>
    <row r="125" spans="1:49">
      <c r="A125" s="219"/>
      <c r="B125" s="219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19"/>
      <c r="AL125" s="219"/>
      <c r="AM125" s="219"/>
      <c r="AN125" s="219"/>
      <c r="AO125" s="219"/>
      <c r="AP125" s="219"/>
      <c r="AQ125" s="219"/>
      <c r="AR125" s="219"/>
      <c r="AS125" s="219"/>
      <c r="AT125" s="219"/>
      <c r="AU125" s="219"/>
      <c r="AV125" s="219"/>
      <c r="AW125" s="219"/>
    </row>
    <row r="126" spans="1:49">
      <c r="A126" s="219"/>
      <c r="B126" s="219"/>
      <c r="C126" s="219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219"/>
      <c r="AN126" s="219"/>
      <c r="AO126" s="219"/>
      <c r="AP126" s="219"/>
      <c r="AQ126" s="219"/>
      <c r="AR126" s="219"/>
      <c r="AS126" s="219"/>
      <c r="AT126" s="219"/>
      <c r="AU126" s="219"/>
      <c r="AV126" s="219"/>
      <c r="AW126" s="219"/>
    </row>
    <row r="127" spans="1:49">
      <c r="A127" s="219"/>
      <c r="B127" s="219"/>
      <c r="C127" s="219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19"/>
      <c r="AL127" s="219"/>
      <c r="AM127" s="219"/>
      <c r="AN127" s="219"/>
      <c r="AO127" s="219"/>
      <c r="AP127" s="219"/>
      <c r="AQ127" s="219"/>
      <c r="AR127" s="219"/>
      <c r="AS127" s="219"/>
      <c r="AT127" s="219"/>
      <c r="AU127" s="219"/>
      <c r="AV127" s="219"/>
      <c r="AW127" s="219"/>
    </row>
    <row r="128" spans="1:49">
      <c r="A128" s="219"/>
      <c r="B128" s="219"/>
      <c r="C128" s="219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219"/>
      <c r="AN128" s="219"/>
      <c r="AO128" s="219"/>
      <c r="AP128" s="219"/>
      <c r="AQ128" s="219"/>
      <c r="AR128" s="219"/>
      <c r="AS128" s="219"/>
      <c r="AT128" s="219"/>
      <c r="AU128" s="219"/>
      <c r="AV128" s="219"/>
      <c r="AW128" s="219"/>
    </row>
    <row r="129" spans="1:49">
      <c r="A129" s="219"/>
      <c r="B129" s="219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19"/>
      <c r="AL129" s="219"/>
      <c r="AM129" s="219"/>
      <c r="AN129" s="219"/>
      <c r="AO129" s="219"/>
      <c r="AP129" s="219"/>
      <c r="AQ129" s="219"/>
      <c r="AR129" s="219"/>
      <c r="AS129" s="219"/>
      <c r="AT129" s="219"/>
      <c r="AU129" s="219"/>
      <c r="AV129" s="219"/>
      <c r="AW129" s="219"/>
    </row>
    <row r="130" spans="1:49">
      <c r="A130" s="219"/>
      <c r="B130" s="219"/>
      <c r="C130" s="219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219"/>
      <c r="AN130" s="219"/>
      <c r="AO130" s="219"/>
      <c r="AP130" s="219"/>
      <c r="AQ130" s="219"/>
      <c r="AR130" s="219"/>
      <c r="AS130" s="219"/>
      <c r="AT130" s="219"/>
      <c r="AU130" s="219"/>
      <c r="AV130" s="219"/>
      <c r="AW130" s="219"/>
    </row>
    <row r="131" spans="1:49">
      <c r="A131" s="219"/>
      <c r="B131" s="219"/>
      <c r="C131" s="219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19"/>
      <c r="AL131" s="219"/>
      <c r="AM131" s="219"/>
      <c r="AN131" s="219"/>
      <c r="AO131" s="219"/>
      <c r="AP131" s="219"/>
      <c r="AQ131" s="219"/>
      <c r="AR131" s="219"/>
      <c r="AS131" s="219"/>
      <c r="AT131" s="219"/>
      <c r="AU131" s="219"/>
      <c r="AV131" s="219"/>
      <c r="AW131" s="219"/>
    </row>
    <row r="132" spans="1:49">
      <c r="A132" s="219"/>
      <c r="B132" s="219"/>
      <c r="C132" s="219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19"/>
      <c r="AL132" s="219"/>
      <c r="AM132" s="219"/>
      <c r="AN132" s="219"/>
      <c r="AO132" s="219"/>
      <c r="AP132" s="219"/>
      <c r="AQ132" s="219"/>
      <c r="AR132" s="219"/>
      <c r="AS132" s="219"/>
      <c r="AT132" s="219"/>
      <c r="AU132" s="219"/>
      <c r="AV132" s="219"/>
      <c r="AW132" s="219"/>
    </row>
    <row r="133" spans="1:49">
      <c r="A133" s="219"/>
      <c r="B133" s="219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19"/>
      <c r="AL133" s="219"/>
      <c r="AM133" s="219"/>
      <c r="AN133" s="219"/>
      <c r="AO133" s="219"/>
      <c r="AP133" s="219"/>
      <c r="AQ133" s="219"/>
      <c r="AR133" s="219"/>
      <c r="AS133" s="219"/>
      <c r="AT133" s="219"/>
      <c r="AU133" s="219"/>
      <c r="AV133" s="219"/>
      <c r="AW133" s="219"/>
    </row>
    <row r="134" spans="1:49">
      <c r="A134" s="219"/>
      <c r="B134" s="219"/>
      <c r="C134" s="219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19"/>
      <c r="AL134" s="219"/>
      <c r="AM134" s="219"/>
      <c r="AN134" s="219"/>
      <c r="AO134" s="219"/>
      <c r="AP134" s="219"/>
      <c r="AQ134" s="219"/>
      <c r="AR134" s="219"/>
      <c r="AS134" s="219"/>
      <c r="AT134" s="219"/>
      <c r="AU134" s="219"/>
      <c r="AV134" s="219"/>
      <c r="AW134" s="219"/>
    </row>
    <row r="135" spans="1:49">
      <c r="A135" s="219"/>
      <c r="B135" s="219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19"/>
      <c r="AL135" s="219"/>
      <c r="AM135" s="219"/>
      <c r="AN135" s="219"/>
      <c r="AO135" s="219"/>
      <c r="AP135" s="219"/>
      <c r="AQ135" s="219"/>
      <c r="AR135" s="219"/>
      <c r="AS135" s="219"/>
      <c r="AT135" s="219"/>
      <c r="AU135" s="219"/>
      <c r="AV135" s="219"/>
      <c r="AW135" s="219"/>
    </row>
    <row r="136" spans="1:49">
      <c r="A136" s="219"/>
      <c r="B136" s="219"/>
      <c r="C136" s="219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19"/>
      <c r="AL136" s="219"/>
      <c r="AM136" s="219"/>
      <c r="AN136" s="219"/>
      <c r="AO136" s="219"/>
      <c r="AP136" s="219"/>
      <c r="AQ136" s="219"/>
      <c r="AR136" s="219"/>
      <c r="AS136" s="219"/>
      <c r="AT136" s="219"/>
      <c r="AU136" s="219"/>
      <c r="AV136" s="219"/>
      <c r="AW136" s="219"/>
    </row>
    <row r="137" spans="1:49">
      <c r="A137" s="219"/>
      <c r="B137" s="219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19"/>
      <c r="AL137" s="219"/>
      <c r="AM137" s="219"/>
      <c r="AN137" s="219"/>
      <c r="AO137" s="219"/>
      <c r="AP137" s="219"/>
      <c r="AQ137" s="219"/>
      <c r="AR137" s="219"/>
      <c r="AS137" s="219"/>
      <c r="AT137" s="219"/>
      <c r="AU137" s="219"/>
      <c r="AV137" s="219"/>
      <c r="AW137" s="219"/>
    </row>
    <row r="138" spans="1:49">
      <c r="A138" s="219"/>
      <c r="B138" s="219"/>
      <c r="C138" s="219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19"/>
      <c r="AL138" s="219"/>
      <c r="AM138" s="219"/>
      <c r="AN138" s="219"/>
      <c r="AO138" s="219"/>
      <c r="AP138" s="219"/>
      <c r="AQ138" s="219"/>
      <c r="AR138" s="219"/>
      <c r="AS138" s="219"/>
      <c r="AT138" s="219"/>
      <c r="AU138" s="219"/>
      <c r="AV138" s="219"/>
      <c r="AW138" s="219"/>
    </row>
    <row r="139" spans="1:49">
      <c r="A139" s="219"/>
      <c r="B139" s="219"/>
      <c r="C139" s="219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19"/>
      <c r="AL139" s="219"/>
      <c r="AM139" s="219"/>
      <c r="AN139" s="219"/>
      <c r="AO139" s="219"/>
      <c r="AP139" s="219"/>
      <c r="AQ139" s="219"/>
      <c r="AR139" s="219"/>
      <c r="AS139" s="219"/>
      <c r="AT139" s="219"/>
      <c r="AU139" s="219"/>
      <c r="AV139" s="219"/>
      <c r="AW139" s="219"/>
    </row>
    <row r="140" spans="1:49">
      <c r="A140" s="219"/>
      <c r="B140" s="219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19"/>
      <c r="AL140" s="219"/>
      <c r="AM140" s="219"/>
      <c r="AN140" s="219"/>
      <c r="AO140" s="219"/>
      <c r="AP140" s="219"/>
      <c r="AQ140" s="219"/>
      <c r="AR140" s="219"/>
      <c r="AS140" s="219"/>
      <c r="AT140" s="219"/>
      <c r="AU140" s="219"/>
      <c r="AV140" s="219"/>
      <c r="AW140" s="219"/>
    </row>
    <row r="141" spans="1:49">
      <c r="A141" s="219"/>
      <c r="B141" s="219"/>
      <c r="C141" s="219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19"/>
      <c r="AL141" s="219"/>
      <c r="AM141" s="219"/>
      <c r="AN141" s="219"/>
      <c r="AO141" s="219"/>
      <c r="AP141" s="219"/>
      <c r="AQ141" s="219"/>
      <c r="AR141" s="219"/>
      <c r="AS141" s="219"/>
      <c r="AT141" s="219"/>
      <c r="AU141" s="219"/>
      <c r="AV141" s="219"/>
      <c r="AW141" s="219"/>
    </row>
    <row r="142" spans="1:49">
      <c r="A142" s="219"/>
      <c r="B142" s="219"/>
      <c r="C142" s="219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19"/>
      <c r="AL142" s="219"/>
      <c r="AM142" s="219"/>
      <c r="AN142" s="219"/>
      <c r="AO142" s="219"/>
      <c r="AP142" s="219"/>
      <c r="AQ142" s="219"/>
      <c r="AR142" s="219"/>
      <c r="AS142" s="219"/>
      <c r="AT142" s="219"/>
      <c r="AU142" s="219"/>
      <c r="AV142" s="219"/>
      <c r="AW142" s="219"/>
    </row>
    <row r="143" spans="1:49">
      <c r="A143" s="219"/>
      <c r="B143" s="219"/>
      <c r="C143" s="219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19"/>
      <c r="AL143" s="219"/>
      <c r="AM143" s="219"/>
      <c r="AN143" s="219"/>
      <c r="AO143" s="219"/>
      <c r="AP143" s="219"/>
      <c r="AQ143" s="219"/>
      <c r="AR143" s="219"/>
      <c r="AS143" s="219"/>
      <c r="AT143" s="219"/>
      <c r="AU143" s="219"/>
      <c r="AV143" s="219"/>
      <c r="AW143" s="219"/>
    </row>
    <row r="144" spans="1:49">
      <c r="A144" s="219"/>
      <c r="B144" s="219"/>
      <c r="C144" s="219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19"/>
      <c r="AL144" s="219"/>
      <c r="AM144" s="219"/>
      <c r="AN144" s="219"/>
      <c r="AO144" s="219"/>
      <c r="AP144" s="219"/>
      <c r="AQ144" s="219"/>
      <c r="AR144" s="219"/>
      <c r="AS144" s="219"/>
      <c r="AT144" s="219"/>
      <c r="AU144" s="219"/>
      <c r="AV144" s="219"/>
      <c r="AW144" s="219"/>
    </row>
    <row r="145" spans="1:49">
      <c r="A145" s="219"/>
      <c r="B145" s="219"/>
      <c r="C145" s="219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19"/>
      <c r="AL145" s="219"/>
      <c r="AM145" s="219"/>
      <c r="AN145" s="219"/>
      <c r="AO145" s="219"/>
      <c r="AP145" s="219"/>
      <c r="AQ145" s="219"/>
      <c r="AR145" s="219"/>
      <c r="AS145" s="219"/>
      <c r="AT145" s="219"/>
      <c r="AU145" s="219"/>
      <c r="AV145" s="219"/>
      <c r="AW145" s="219"/>
    </row>
    <row r="146" spans="1:49">
      <c r="A146" s="219"/>
      <c r="B146" s="219"/>
      <c r="C146" s="219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19"/>
      <c r="AL146" s="219"/>
      <c r="AM146" s="219"/>
      <c r="AN146" s="219"/>
      <c r="AO146" s="219"/>
      <c r="AP146" s="219"/>
      <c r="AQ146" s="219"/>
      <c r="AR146" s="219"/>
      <c r="AS146" s="219"/>
      <c r="AT146" s="219"/>
      <c r="AU146" s="219"/>
      <c r="AV146" s="219"/>
      <c r="AW146" s="219"/>
    </row>
    <row r="147" spans="1:49">
      <c r="A147" s="219"/>
      <c r="B147" s="219"/>
      <c r="C147" s="219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19"/>
      <c r="AL147" s="219"/>
      <c r="AM147" s="219"/>
      <c r="AN147" s="219"/>
      <c r="AO147" s="219"/>
      <c r="AP147" s="219"/>
      <c r="AQ147" s="219"/>
      <c r="AR147" s="219"/>
      <c r="AS147" s="219"/>
      <c r="AT147" s="219"/>
      <c r="AU147" s="219"/>
      <c r="AV147" s="219"/>
      <c r="AW147" s="219"/>
    </row>
    <row r="148" spans="1:49">
      <c r="A148" s="219"/>
      <c r="B148" s="219"/>
      <c r="C148" s="219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219"/>
      <c r="AN148" s="219"/>
      <c r="AO148" s="219"/>
      <c r="AP148" s="219"/>
      <c r="AQ148" s="219"/>
      <c r="AR148" s="219"/>
      <c r="AS148" s="219"/>
      <c r="AT148" s="219"/>
      <c r="AU148" s="219"/>
      <c r="AV148" s="219"/>
      <c r="AW148" s="219"/>
    </row>
    <row r="149" spans="1:49">
      <c r="A149" s="219"/>
      <c r="B149" s="219"/>
      <c r="C149" s="219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219"/>
      <c r="AN149" s="219"/>
      <c r="AO149" s="219"/>
      <c r="AP149" s="219"/>
      <c r="AQ149" s="219"/>
      <c r="AR149" s="219"/>
      <c r="AS149" s="219"/>
      <c r="AT149" s="219"/>
      <c r="AU149" s="219"/>
      <c r="AV149" s="219"/>
      <c r="AW149" s="219"/>
    </row>
    <row r="150" spans="1:49">
      <c r="A150" s="219"/>
      <c r="B150" s="219"/>
      <c r="C150" s="219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  <c r="AO150" s="219"/>
      <c r="AP150" s="219"/>
      <c r="AQ150" s="219"/>
      <c r="AR150" s="219"/>
      <c r="AS150" s="219"/>
      <c r="AT150" s="219"/>
      <c r="AU150" s="219"/>
      <c r="AV150" s="219"/>
      <c r="AW150" s="219"/>
    </row>
    <row r="151" spans="1:49">
      <c r="A151" s="219"/>
      <c r="B151" s="219"/>
      <c r="C151" s="219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19"/>
      <c r="AL151" s="219"/>
      <c r="AM151" s="219"/>
      <c r="AN151" s="219"/>
      <c r="AO151" s="219"/>
      <c r="AP151" s="219"/>
      <c r="AQ151" s="219"/>
      <c r="AR151" s="219"/>
      <c r="AS151" s="219"/>
      <c r="AT151" s="219"/>
      <c r="AU151" s="219"/>
      <c r="AV151" s="219"/>
      <c r="AW151" s="219"/>
    </row>
    <row r="152" spans="1:49">
      <c r="A152" s="219"/>
      <c r="B152" s="219"/>
      <c r="C152" s="219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19"/>
      <c r="AL152" s="219"/>
      <c r="AM152" s="219"/>
      <c r="AN152" s="219"/>
      <c r="AO152" s="219"/>
      <c r="AP152" s="219"/>
      <c r="AQ152" s="219"/>
      <c r="AR152" s="219"/>
      <c r="AS152" s="219"/>
      <c r="AT152" s="219"/>
      <c r="AU152" s="219"/>
      <c r="AV152" s="219"/>
      <c r="AW152" s="219"/>
    </row>
    <row r="153" spans="1:49">
      <c r="A153" s="219"/>
      <c r="B153" s="219"/>
      <c r="C153" s="219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19"/>
      <c r="AL153" s="219"/>
      <c r="AM153" s="219"/>
      <c r="AN153" s="219"/>
      <c r="AO153" s="219"/>
      <c r="AP153" s="219"/>
      <c r="AQ153" s="219"/>
      <c r="AR153" s="219"/>
      <c r="AS153" s="219"/>
      <c r="AT153" s="219"/>
      <c r="AU153" s="219"/>
      <c r="AV153" s="219"/>
      <c r="AW153" s="219"/>
    </row>
    <row r="154" spans="1:49">
      <c r="A154" s="219"/>
      <c r="B154" s="219"/>
      <c r="C154" s="219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19"/>
      <c r="AL154" s="219"/>
      <c r="AM154" s="219"/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</row>
    <row r="155" spans="1:49">
      <c r="A155" s="219"/>
      <c r="B155" s="219"/>
      <c r="C155" s="219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219"/>
      <c r="AN155" s="219"/>
      <c r="AO155" s="219"/>
      <c r="AP155" s="219"/>
      <c r="AQ155" s="219"/>
      <c r="AR155" s="219"/>
      <c r="AS155" s="219"/>
      <c r="AT155" s="219"/>
      <c r="AU155" s="219"/>
      <c r="AV155" s="219"/>
      <c r="AW155" s="219"/>
    </row>
    <row r="156" spans="1:49">
      <c r="A156" s="219"/>
      <c r="B156" s="219"/>
      <c r="C156" s="219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19"/>
      <c r="AL156" s="219"/>
      <c r="AM156" s="219"/>
      <c r="AN156" s="219"/>
      <c r="AO156" s="219"/>
      <c r="AP156" s="219"/>
      <c r="AQ156" s="219"/>
      <c r="AR156" s="219"/>
      <c r="AS156" s="219"/>
      <c r="AT156" s="219"/>
      <c r="AU156" s="219"/>
      <c r="AV156" s="219"/>
      <c r="AW156" s="219"/>
    </row>
    <row r="157" spans="1:49">
      <c r="A157" s="219"/>
      <c r="B157" s="219"/>
      <c r="C157" s="219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19"/>
      <c r="AL157" s="219"/>
      <c r="AM157" s="219"/>
      <c r="AN157" s="219"/>
      <c r="AO157" s="219"/>
      <c r="AP157" s="219"/>
      <c r="AQ157" s="219"/>
      <c r="AR157" s="219"/>
      <c r="AS157" s="219"/>
      <c r="AT157" s="219"/>
      <c r="AU157" s="219"/>
      <c r="AV157" s="219"/>
      <c r="AW157" s="219"/>
    </row>
    <row r="158" spans="1:49">
      <c r="A158" s="219"/>
      <c r="B158" s="219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19"/>
      <c r="AL158" s="219"/>
      <c r="AM158" s="219"/>
      <c r="AN158" s="219"/>
      <c r="AO158" s="219"/>
      <c r="AP158" s="219"/>
      <c r="AQ158" s="219"/>
      <c r="AR158" s="219"/>
      <c r="AS158" s="219"/>
      <c r="AT158" s="219"/>
      <c r="AU158" s="219"/>
      <c r="AV158" s="219"/>
      <c r="AW158" s="219"/>
    </row>
    <row r="159" spans="1:49">
      <c r="A159" s="219"/>
      <c r="B159" s="219"/>
      <c r="C159" s="219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19"/>
      <c r="AL159" s="219"/>
      <c r="AM159" s="219"/>
      <c r="AN159" s="219"/>
      <c r="AO159" s="219"/>
      <c r="AP159" s="219"/>
      <c r="AQ159" s="219"/>
      <c r="AR159" s="219"/>
      <c r="AS159" s="219"/>
      <c r="AT159" s="219"/>
      <c r="AU159" s="219"/>
      <c r="AV159" s="219"/>
      <c r="AW159" s="219"/>
    </row>
    <row r="160" spans="1:49">
      <c r="A160" s="219"/>
      <c r="B160" s="219"/>
      <c r="C160" s="219"/>
      <c r="D160" s="219"/>
      <c r="E160" s="219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19"/>
      <c r="AL160" s="219"/>
      <c r="AM160" s="219"/>
      <c r="AN160" s="219"/>
      <c r="AO160" s="219"/>
      <c r="AP160" s="219"/>
      <c r="AQ160" s="219"/>
      <c r="AR160" s="219"/>
      <c r="AS160" s="219"/>
      <c r="AT160" s="219"/>
      <c r="AU160" s="219"/>
      <c r="AV160" s="219"/>
      <c r="AW160" s="219"/>
    </row>
    <row r="161" spans="1:49">
      <c r="A161" s="219"/>
      <c r="B161" s="219"/>
      <c r="C161" s="219"/>
      <c r="D161" s="219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19"/>
      <c r="AL161" s="219"/>
      <c r="AM161" s="219"/>
      <c r="AN161" s="219"/>
      <c r="AO161" s="219"/>
      <c r="AP161" s="219"/>
      <c r="AQ161" s="219"/>
      <c r="AR161" s="219"/>
      <c r="AS161" s="219"/>
      <c r="AT161" s="219"/>
      <c r="AU161" s="219"/>
      <c r="AV161" s="219"/>
      <c r="AW161" s="219"/>
    </row>
    <row r="162" spans="1:49">
      <c r="A162" s="219"/>
      <c r="B162" s="219"/>
      <c r="C162" s="219"/>
      <c r="D162" s="219"/>
      <c r="E162" s="219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19"/>
      <c r="AL162" s="219"/>
      <c r="AM162" s="219"/>
      <c r="AN162" s="219"/>
      <c r="AO162" s="219"/>
      <c r="AP162" s="219"/>
      <c r="AQ162" s="219"/>
      <c r="AR162" s="219"/>
      <c r="AS162" s="219"/>
      <c r="AT162" s="219"/>
      <c r="AU162" s="219"/>
      <c r="AV162" s="219"/>
      <c r="AW162" s="219"/>
    </row>
    <row r="163" spans="1:49">
      <c r="A163" s="219"/>
      <c r="B163" s="219"/>
      <c r="C163" s="219"/>
      <c r="D163" s="219"/>
      <c r="E163" s="219"/>
      <c r="F163" s="219"/>
      <c r="G163" s="219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19"/>
      <c r="AL163" s="219"/>
      <c r="AM163" s="219"/>
      <c r="AN163" s="219"/>
      <c r="AO163" s="219"/>
      <c r="AP163" s="219"/>
      <c r="AQ163" s="219"/>
      <c r="AR163" s="219"/>
      <c r="AS163" s="219"/>
      <c r="AT163" s="219"/>
      <c r="AU163" s="219"/>
      <c r="AV163" s="219"/>
      <c r="AW163" s="219"/>
    </row>
    <row r="164" spans="1:49">
      <c r="A164" s="219"/>
      <c r="B164" s="219"/>
      <c r="C164" s="219"/>
      <c r="D164" s="219"/>
      <c r="E164" s="219"/>
      <c r="F164" s="219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19"/>
      <c r="AU164" s="219"/>
      <c r="AV164" s="219"/>
      <c r="AW164" s="219"/>
    </row>
    <row r="165" spans="1:49">
      <c r="A165" s="219"/>
      <c r="B165" s="219"/>
      <c r="C165" s="219"/>
      <c r="D165" s="219"/>
      <c r="E165" s="219"/>
      <c r="F165" s="219"/>
      <c r="G165" s="219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19"/>
      <c r="AL165" s="219"/>
      <c r="AM165" s="219"/>
      <c r="AN165" s="219"/>
      <c r="AO165" s="219"/>
      <c r="AP165" s="219"/>
      <c r="AQ165" s="219"/>
      <c r="AR165" s="219"/>
      <c r="AS165" s="219"/>
      <c r="AT165" s="219"/>
      <c r="AU165" s="219"/>
      <c r="AV165" s="219"/>
      <c r="AW165" s="219"/>
    </row>
    <row r="166" spans="1:49">
      <c r="A166" s="219"/>
      <c r="B166" s="219"/>
      <c r="C166" s="219"/>
      <c r="D166" s="219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19"/>
      <c r="AL166" s="219"/>
      <c r="AM166" s="219"/>
      <c r="AN166" s="219"/>
      <c r="AO166" s="219"/>
      <c r="AP166" s="219"/>
      <c r="AQ166" s="219"/>
      <c r="AR166" s="219"/>
      <c r="AS166" s="219"/>
      <c r="AT166" s="219"/>
      <c r="AU166" s="219"/>
      <c r="AV166" s="219"/>
      <c r="AW166" s="219"/>
    </row>
    <row r="167" spans="1:49">
      <c r="A167" s="219"/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</row>
    <row r="168" spans="1:49">
      <c r="A168" s="219"/>
      <c r="B168" s="219"/>
      <c r="C168" s="219"/>
      <c r="D168" s="219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</row>
    <row r="169" spans="1:49">
      <c r="A169" s="219"/>
      <c r="B169" s="219"/>
      <c r="C169" s="219"/>
      <c r="D169" s="21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19"/>
      <c r="AL169" s="219"/>
      <c r="AM169" s="219"/>
      <c r="AN169" s="219"/>
      <c r="AO169" s="219"/>
      <c r="AP169" s="219"/>
      <c r="AQ169" s="219"/>
      <c r="AR169" s="219"/>
      <c r="AS169" s="219"/>
      <c r="AT169" s="219"/>
      <c r="AU169" s="219"/>
      <c r="AV169" s="219"/>
      <c r="AW169" s="219"/>
    </row>
    <row r="170" spans="1:49">
      <c r="A170" s="219"/>
      <c r="B170" s="219"/>
      <c r="C170" s="219"/>
      <c r="D170" s="219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19"/>
      <c r="AL170" s="219"/>
      <c r="AM170" s="219"/>
      <c r="AN170" s="219"/>
      <c r="AO170" s="219"/>
      <c r="AP170" s="219"/>
      <c r="AQ170" s="219"/>
      <c r="AR170" s="219"/>
      <c r="AS170" s="219"/>
      <c r="AT170" s="219"/>
      <c r="AU170" s="219"/>
      <c r="AV170" s="219"/>
      <c r="AW170" s="219"/>
    </row>
    <row r="171" spans="1:49">
      <c r="A171" s="219"/>
      <c r="B171" s="219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19"/>
      <c r="AL171" s="219"/>
      <c r="AM171" s="219"/>
      <c r="AN171" s="219"/>
      <c r="AO171" s="219"/>
      <c r="AP171" s="219"/>
      <c r="AQ171" s="219"/>
      <c r="AR171" s="219"/>
      <c r="AS171" s="219"/>
      <c r="AT171" s="219"/>
      <c r="AU171" s="219"/>
      <c r="AV171" s="219"/>
      <c r="AW171" s="219"/>
    </row>
    <row r="172" spans="1:49">
      <c r="A172" s="219"/>
      <c r="B172" s="219"/>
      <c r="C172" s="219"/>
      <c r="D172" s="21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19"/>
      <c r="AL172" s="219"/>
      <c r="AM172" s="219"/>
      <c r="AN172" s="219"/>
      <c r="AO172" s="219"/>
      <c r="AP172" s="219"/>
      <c r="AQ172" s="219"/>
      <c r="AR172" s="219"/>
      <c r="AS172" s="219"/>
      <c r="AT172" s="219"/>
      <c r="AU172" s="219"/>
      <c r="AV172" s="219"/>
      <c r="AW172" s="219"/>
    </row>
    <row r="173" spans="1:49">
      <c r="A173" s="219"/>
      <c r="B173" s="219"/>
      <c r="C173" s="219"/>
      <c r="D173" s="219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19"/>
      <c r="AL173" s="219"/>
      <c r="AM173" s="219"/>
      <c r="AN173" s="219"/>
      <c r="AO173" s="219"/>
      <c r="AP173" s="219"/>
      <c r="AQ173" s="219"/>
      <c r="AR173" s="219"/>
      <c r="AS173" s="219"/>
      <c r="AT173" s="219"/>
      <c r="AU173" s="219"/>
      <c r="AV173" s="219"/>
      <c r="AW173" s="219"/>
    </row>
    <row r="174" spans="1:49">
      <c r="A174" s="219"/>
      <c r="B174" s="219"/>
      <c r="C174" s="219"/>
      <c r="D174" s="219"/>
      <c r="E174" s="219"/>
      <c r="F174" s="219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19"/>
      <c r="AL174" s="219"/>
      <c r="AM174" s="219"/>
      <c r="AN174" s="219"/>
      <c r="AO174" s="219"/>
      <c r="AP174" s="219"/>
      <c r="AQ174" s="219"/>
      <c r="AR174" s="219"/>
      <c r="AS174" s="219"/>
      <c r="AT174" s="219"/>
      <c r="AU174" s="219"/>
      <c r="AV174" s="219"/>
      <c r="AW174" s="219"/>
    </row>
    <row r="175" spans="1:49">
      <c r="A175" s="219"/>
      <c r="B175" s="219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19"/>
      <c r="AL175" s="219"/>
      <c r="AM175" s="219"/>
      <c r="AN175" s="219"/>
      <c r="AO175" s="219"/>
      <c r="AP175" s="219"/>
      <c r="AQ175" s="219"/>
      <c r="AR175" s="219"/>
      <c r="AS175" s="219"/>
      <c r="AT175" s="219"/>
      <c r="AU175" s="219"/>
      <c r="AV175" s="219"/>
      <c r="AW175" s="219"/>
    </row>
    <row r="176" spans="1:49">
      <c r="A176" s="219"/>
      <c r="B176" s="219"/>
      <c r="C176" s="219"/>
      <c r="D176" s="219"/>
      <c r="E176" s="219"/>
      <c r="F176" s="219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19"/>
      <c r="AL176" s="219"/>
      <c r="AM176" s="219"/>
      <c r="AN176" s="219"/>
      <c r="AO176" s="219"/>
      <c r="AP176" s="219"/>
      <c r="AQ176" s="219"/>
      <c r="AR176" s="219"/>
      <c r="AS176" s="219"/>
      <c r="AT176" s="219"/>
      <c r="AU176" s="219"/>
      <c r="AV176" s="219"/>
      <c r="AW176" s="219"/>
    </row>
    <row r="177" spans="1:49">
      <c r="A177" s="219"/>
      <c r="B177" s="219"/>
      <c r="C177" s="219"/>
      <c r="D177" s="219"/>
      <c r="E177" s="219"/>
      <c r="F177" s="219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19"/>
      <c r="AL177" s="219"/>
      <c r="AM177" s="219"/>
      <c r="AN177" s="219"/>
      <c r="AO177" s="219"/>
      <c r="AP177" s="219"/>
      <c r="AQ177" s="219"/>
      <c r="AR177" s="219"/>
      <c r="AS177" s="219"/>
      <c r="AT177" s="219"/>
      <c r="AU177" s="219"/>
      <c r="AV177" s="219"/>
      <c r="AW177" s="219"/>
    </row>
    <row r="178" spans="1:49">
      <c r="A178" s="219"/>
      <c r="B178" s="219"/>
      <c r="C178" s="219"/>
      <c r="D178" s="219"/>
      <c r="E178" s="219"/>
      <c r="F178" s="219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19"/>
      <c r="AL178" s="219"/>
      <c r="AM178" s="219"/>
      <c r="AN178" s="219"/>
      <c r="AO178" s="219"/>
      <c r="AP178" s="219"/>
      <c r="AQ178" s="219"/>
      <c r="AR178" s="219"/>
      <c r="AS178" s="219"/>
      <c r="AT178" s="219"/>
      <c r="AU178" s="219"/>
      <c r="AV178" s="219"/>
      <c r="AW178" s="219"/>
    </row>
    <row r="179" spans="1:49">
      <c r="A179" s="219"/>
      <c r="B179" s="219"/>
      <c r="C179" s="219"/>
      <c r="D179" s="219"/>
      <c r="E179" s="219"/>
      <c r="F179" s="219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19"/>
      <c r="AL179" s="219"/>
      <c r="AM179" s="219"/>
      <c r="AN179" s="219"/>
      <c r="AO179" s="219"/>
      <c r="AP179" s="219"/>
      <c r="AQ179" s="219"/>
      <c r="AR179" s="219"/>
      <c r="AS179" s="219"/>
      <c r="AT179" s="219"/>
      <c r="AU179" s="219"/>
      <c r="AV179" s="219"/>
      <c r="AW179" s="219"/>
    </row>
    <row r="180" spans="1:49">
      <c r="A180" s="219"/>
      <c r="B180" s="219"/>
      <c r="C180" s="219"/>
      <c r="D180" s="21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19"/>
      <c r="AL180" s="219"/>
      <c r="AM180" s="219"/>
      <c r="AN180" s="219"/>
      <c r="AO180" s="219"/>
      <c r="AP180" s="219"/>
      <c r="AQ180" s="219"/>
      <c r="AR180" s="219"/>
      <c r="AS180" s="219"/>
      <c r="AT180" s="219"/>
      <c r="AU180" s="219"/>
      <c r="AV180" s="219"/>
      <c r="AW180" s="219"/>
    </row>
    <row r="181" spans="1:49">
      <c r="A181" s="219"/>
      <c r="B181" s="219"/>
      <c r="C181" s="219"/>
      <c r="D181" s="219"/>
      <c r="E181" s="219"/>
      <c r="F181" s="219"/>
      <c r="G181" s="219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19"/>
      <c r="AL181" s="219"/>
      <c r="AM181" s="219"/>
      <c r="AN181" s="219"/>
      <c r="AO181" s="219"/>
      <c r="AP181" s="219"/>
      <c r="AQ181" s="219"/>
      <c r="AR181" s="219"/>
      <c r="AS181" s="219"/>
      <c r="AT181" s="219"/>
      <c r="AU181" s="219"/>
      <c r="AV181" s="219"/>
      <c r="AW181" s="219"/>
    </row>
    <row r="182" spans="1:49">
      <c r="A182" s="219"/>
      <c r="B182" s="219"/>
      <c r="C182" s="219"/>
      <c r="D182" s="219"/>
      <c r="E182" s="219"/>
      <c r="F182" s="219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19"/>
      <c r="AL182" s="219"/>
      <c r="AM182" s="219"/>
      <c r="AN182" s="219"/>
      <c r="AO182" s="219"/>
      <c r="AP182" s="219"/>
      <c r="AQ182" s="219"/>
      <c r="AR182" s="219"/>
      <c r="AS182" s="219"/>
      <c r="AT182" s="219"/>
      <c r="AU182" s="219"/>
      <c r="AV182" s="219"/>
      <c r="AW182" s="219"/>
    </row>
    <row r="183" spans="1:49">
      <c r="A183" s="219"/>
      <c r="B183" s="219"/>
      <c r="C183" s="219"/>
      <c r="D183" s="219"/>
      <c r="E183" s="219"/>
      <c r="F183" s="219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19"/>
      <c r="AL183" s="219"/>
      <c r="AM183" s="219"/>
      <c r="AN183" s="219"/>
      <c r="AO183" s="219"/>
      <c r="AP183" s="219"/>
      <c r="AQ183" s="219"/>
      <c r="AR183" s="219"/>
      <c r="AS183" s="219"/>
      <c r="AT183" s="219"/>
      <c r="AU183" s="219"/>
      <c r="AV183" s="219"/>
      <c r="AW183" s="219"/>
    </row>
    <row r="184" spans="1:49">
      <c r="A184" s="219"/>
      <c r="B184" s="219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19"/>
      <c r="AL184" s="219"/>
      <c r="AM184" s="219"/>
      <c r="AN184" s="219"/>
      <c r="AO184" s="219"/>
      <c r="AP184" s="219"/>
      <c r="AQ184" s="219"/>
      <c r="AR184" s="219"/>
      <c r="AS184" s="219"/>
      <c r="AT184" s="219"/>
      <c r="AU184" s="219"/>
      <c r="AV184" s="219"/>
      <c r="AW184" s="219"/>
    </row>
    <row r="185" spans="1:49">
      <c r="A185" s="219"/>
      <c r="B185" s="219"/>
      <c r="C185" s="219"/>
      <c r="D185" s="219"/>
      <c r="E185" s="219"/>
      <c r="F185" s="219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19"/>
      <c r="AL185" s="219"/>
      <c r="AM185" s="219"/>
      <c r="AN185" s="219"/>
      <c r="AO185" s="219"/>
      <c r="AP185" s="219"/>
      <c r="AQ185" s="219"/>
      <c r="AR185" s="219"/>
      <c r="AS185" s="219"/>
      <c r="AT185" s="219"/>
      <c r="AU185" s="219"/>
      <c r="AV185" s="219"/>
      <c r="AW185" s="219"/>
    </row>
    <row r="186" spans="1:49">
      <c r="A186" s="219"/>
      <c r="B186" s="219"/>
      <c r="C186" s="219"/>
      <c r="D186" s="219"/>
      <c r="E186" s="219"/>
      <c r="F186" s="219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19"/>
      <c r="AL186" s="219"/>
      <c r="AM186" s="219"/>
      <c r="AN186" s="219"/>
      <c r="AO186" s="219"/>
      <c r="AP186" s="219"/>
      <c r="AQ186" s="219"/>
      <c r="AR186" s="219"/>
      <c r="AS186" s="219"/>
      <c r="AT186" s="219"/>
      <c r="AU186" s="219"/>
      <c r="AV186" s="219"/>
      <c r="AW186" s="219"/>
    </row>
    <row r="187" spans="1:49">
      <c r="A187" s="219"/>
      <c r="B187" s="219"/>
      <c r="C187" s="219"/>
      <c r="D187" s="219"/>
      <c r="E187" s="219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19"/>
      <c r="AL187" s="219"/>
      <c r="AM187" s="219"/>
      <c r="AN187" s="219"/>
      <c r="AO187" s="219"/>
      <c r="AP187" s="219"/>
      <c r="AQ187" s="219"/>
      <c r="AR187" s="219"/>
      <c r="AS187" s="219"/>
      <c r="AT187" s="219"/>
      <c r="AU187" s="219"/>
      <c r="AV187" s="219"/>
      <c r="AW187" s="219"/>
    </row>
    <row r="188" spans="1:49">
      <c r="A188" s="219"/>
      <c r="B188" s="219"/>
      <c r="C188" s="219"/>
      <c r="D188" s="219"/>
      <c r="E188" s="219"/>
      <c r="F188" s="219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19"/>
      <c r="AL188" s="219"/>
      <c r="AM188" s="219"/>
      <c r="AN188" s="219"/>
      <c r="AO188" s="219"/>
      <c r="AP188" s="219"/>
      <c r="AQ188" s="219"/>
      <c r="AR188" s="219"/>
      <c r="AS188" s="219"/>
      <c r="AT188" s="219"/>
      <c r="AU188" s="219"/>
      <c r="AV188" s="219"/>
      <c r="AW188" s="219"/>
    </row>
    <row r="189" spans="1:49">
      <c r="A189" s="219"/>
      <c r="B189" s="219"/>
      <c r="C189" s="219"/>
      <c r="D189" s="21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19"/>
      <c r="AL189" s="219"/>
      <c r="AM189" s="219"/>
      <c r="AN189" s="219"/>
      <c r="AO189" s="219"/>
      <c r="AP189" s="219"/>
      <c r="AQ189" s="219"/>
      <c r="AR189" s="219"/>
      <c r="AS189" s="219"/>
      <c r="AT189" s="219"/>
      <c r="AU189" s="219"/>
      <c r="AV189" s="219"/>
      <c r="AW189" s="219"/>
    </row>
    <row r="190" spans="1:49">
      <c r="A190" s="219"/>
      <c r="B190" s="219"/>
      <c r="C190" s="219"/>
      <c r="D190" s="219"/>
      <c r="E190" s="219"/>
      <c r="F190" s="219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19"/>
      <c r="AL190" s="219"/>
      <c r="AM190" s="219"/>
      <c r="AN190" s="219"/>
      <c r="AO190" s="219"/>
      <c r="AP190" s="219"/>
      <c r="AQ190" s="219"/>
      <c r="AR190" s="219"/>
      <c r="AS190" s="219"/>
      <c r="AT190" s="219"/>
      <c r="AU190" s="219"/>
      <c r="AV190" s="219"/>
      <c r="AW190" s="219"/>
    </row>
    <row r="191" spans="1:49">
      <c r="A191" s="219"/>
      <c r="B191" s="219"/>
      <c r="C191" s="219"/>
      <c r="D191" s="219"/>
      <c r="E191" s="219"/>
      <c r="F191" s="219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19"/>
      <c r="AL191" s="219"/>
      <c r="AM191" s="219"/>
      <c r="AN191" s="219"/>
      <c r="AO191" s="219"/>
      <c r="AP191" s="219"/>
      <c r="AQ191" s="219"/>
      <c r="AR191" s="219"/>
      <c r="AS191" s="219"/>
      <c r="AT191" s="219"/>
      <c r="AU191" s="219"/>
      <c r="AV191" s="219"/>
      <c r="AW191" s="219"/>
    </row>
    <row r="192" spans="1:49">
      <c r="A192" s="219"/>
      <c r="B192" s="219"/>
      <c r="C192" s="219"/>
      <c r="D192" s="219"/>
      <c r="E192" s="219"/>
      <c r="F192" s="219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19"/>
      <c r="AL192" s="219"/>
      <c r="AM192" s="219"/>
      <c r="AN192" s="219"/>
      <c r="AO192" s="219"/>
      <c r="AP192" s="219"/>
      <c r="AQ192" s="219"/>
      <c r="AR192" s="219"/>
      <c r="AS192" s="219"/>
      <c r="AT192" s="219"/>
      <c r="AU192" s="219"/>
      <c r="AV192" s="219"/>
      <c r="AW192" s="219"/>
    </row>
    <row r="193" spans="1:49">
      <c r="A193" s="219"/>
      <c r="B193" s="219"/>
      <c r="C193" s="219"/>
      <c r="D193" s="219"/>
      <c r="E193" s="219"/>
      <c r="F193" s="219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19"/>
      <c r="AL193" s="219"/>
      <c r="AM193" s="219"/>
      <c r="AN193" s="219"/>
      <c r="AO193" s="219"/>
      <c r="AP193" s="219"/>
      <c r="AQ193" s="219"/>
      <c r="AR193" s="219"/>
      <c r="AS193" s="219"/>
      <c r="AT193" s="219"/>
      <c r="AU193" s="219"/>
      <c r="AV193" s="219"/>
      <c r="AW193" s="219"/>
    </row>
    <row r="194" spans="1:49">
      <c r="A194" s="219"/>
      <c r="B194" s="219"/>
      <c r="C194" s="219"/>
      <c r="D194" s="219"/>
      <c r="E194" s="219"/>
      <c r="F194" s="219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19"/>
      <c r="AL194" s="219"/>
      <c r="AM194" s="219"/>
      <c r="AN194" s="219"/>
      <c r="AO194" s="219"/>
      <c r="AP194" s="219"/>
      <c r="AQ194" s="219"/>
      <c r="AR194" s="219"/>
      <c r="AS194" s="219"/>
      <c r="AT194" s="219"/>
      <c r="AU194" s="219"/>
      <c r="AV194" s="219"/>
      <c r="AW194" s="219"/>
    </row>
    <row r="195" spans="1:49">
      <c r="A195" s="219"/>
      <c r="B195" s="219"/>
      <c r="C195" s="219"/>
      <c r="D195" s="219"/>
      <c r="E195" s="219"/>
      <c r="F195" s="219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19"/>
      <c r="AL195" s="219"/>
      <c r="AM195" s="219"/>
      <c r="AN195" s="219"/>
      <c r="AO195" s="219"/>
      <c r="AP195" s="219"/>
      <c r="AQ195" s="219"/>
      <c r="AR195" s="219"/>
      <c r="AS195" s="219"/>
      <c r="AT195" s="219"/>
      <c r="AU195" s="219"/>
      <c r="AV195" s="219"/>
      <c r="AW195" s="219"/>
    </row>
    <row r="196" spans="1:49">
      <c r="A196" s="219"/>
      <c r="B196" s="219"/>
      <c r="C196" s="219"/>
      <c r="D196" s="219"/>
      <c r="E196" s="219"/>
      <c r="F196" s="219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19"/>
      <c r="AL196" s="219"/>
      <c r="AM196" s="219"/>
      <c r="AN196" s="219"/>
      <c r="AO196" s="219"/>
      <c r="AP196" s="219"/>
      <c r="AQ196" s="219"/>
      <c r="AR196" s="219"/>
      <c r="AS196" s="219"/>
      <c r="AT196" s="219"/>
      <c r="AU196" s="219"/>
      <c r="AV196" s="219"/>
      <c r="AW196" s="219"/>
    </row>
    <row r="197" spans="1:49">
      <c r="A197" s="219"/>
      <c r="B197" s="219"/>
      <c r="C197" s="219"/>
      <c r="D197" s="219"/>
      <c r="E197" s="219"/>
      <c r="F197" s="219"/>
      <c r="G197" s="219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19"/>
      <c r="AL197" s="219"/>
      <c r="AM197" s="219"/>
      <c r="AN197" s="219"/>
      <c r="AO197" s="219"/>
      <c r="AP197" s="219"/>
      <c r="AQ197" s="219"/>
      <c r="AR197" s="219"/>
      <c r="AS197" s="219"/>
      <c r="AT197" s="219"/>
      <c r="AU197" s="219"/>
      <c r="AV197" s="219"/>
      <c r="AW197" s="219"/>
    </row>
    <row r="198" spans="1:49">
      <c r="A198" s="219"/>
      <c r="B198" s="219"/>
      <c r="C198" s="219"/>
      <c r="D198" s="219"/>
      <c r="E198" s="219"/>
      <c r="F198" s="219"/>
      <c r="G198" s="219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19"/>
      <c r="AL198" s="219"/>
      <c r="AM198" s="219"/>
      <c r="AN198" s="219"/>
      <c r="AO198" s="219"/>
      <c r="AP198" s="219"/>
      <c r="AQ198" s="219"/>
      <c r="AR198" s="219"/>
      <c r="AS198" s="219"/>
      <c r="AT198" s="219"/>
      <c r="AU198" s="219"/>
      <c r="AV198" s="219"/>
      <c r="AW198" s="219"/>
    </row>
    <row r="199" spans="1:49">
      <c r="A199" s="219"/>
      <c r="B199" s="219"/>
      <c r="C199" s="219"/>
      <c r="D199" s="219"/>
      <c r="E199" s="219"/>
      <c r="F199" s="219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19"/>
      <c r="AL199" s="219"/>
      <c r="AM199" s="219"/>
      <c r="AN199" s="219"/>
      <c r="AO199" s="219"/>
      <c r="AP199" s="219"/>
      <c r="AQ199" s="219"/>
      <c r="AR199" s="219"/>
      <c r="AS199" s="219"/>
      <c r="AT199" s="219"/>
      <c r="AU199" s="219"/>
      <c r="AV199" s="219"/>
      <c r="AW199" s="219"/>
    </row>
    <row r="200" spans="1:49">
      <c r="A200" s="219"/>
      <c r="B200" s="219"/>
      <c r="C200" s="219"/>
      <c r="D200" s="219"/>
      <c r="E200" s="219"/>
      <c r="F200" s="219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19"/>
      <c r="AL200" s="219"/>
      <c r="AM200" s="219"/>
      <c r="AN200" s="219"/>
      <c r="AO200" s="219"/>
      <c r="AP200" s="219"/>
      <c r="AQ200" s="219"/>
      <c r="AR200" s="219"/>
      <c r="AS200" s="219"/>
      <c r="AT200" s="219"/>
      <c r="AU200" s="219"/>
      <c r="AV200" s="219"/>
      <c r="AW200" s="219"/>
    </row>
    <row r="201" spans="1:49">
      <c r="A201" s="219"/>
      <c r="B201" s="219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19"/>
      <c r="AL201" s="219"/>
      <c r="AM201" s="219"/>
      <c r="AN201" s="219"/>
      <c r="AO201" s="219"/>
      <c r="AP201" s="219"/>
      <c r="AQ201" s="219"/>
      <c r="AR201" s="219"/>
      <c r="AS201" s="219"/>
      <c r="AT201" s="219"/>
      <c r="AU201" s="219"/>
      <c r="AV201" s="219"/>
      <c r="AW201" s="219"/>
    </row>
    <row r="202" spans="1:49">
      <c r="A202" s="219"/>
      <c r="B202" s="219"/>
      <c r="C202" s="219"/>
      <c r="D202" s="21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19"/>
      <c r="AL202" s="219"/>
      <c r="AM202" s="219"/>
      <c r="AN202" s="219"/>
      <c r="AO202" s="219"/>
      <c r="AP202" s="219"/>
      <c r="AQ202" s="219"/>
      <c r="AR202" s="219"/>
      <c r="AS202" s="219"/>
      <c r="AT202" s="219"/>
      <c r="AU202" s="219"/>
      <c r="AV202" s="219"/>
      <c r="AW202" s="219"/>
    </row>
    <row r="203" spans="1:49">
      <c r="A203" s="219"/>
      <c r="B203" s="219"/>
      <c r="C203" s="219"/>
      <c r="D203" s="219"/>
      <c r="E203" s="219"/>
      <c r="F203" s="219"/>
      <c r="G203" s="219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19"/>
      <c r="AL203" s="219"/>
      <c r="AM203" s="219"/>
      <c r="AN203" s="219"/>
      <c r="AO203" s="219"/>
      <c r="AP203" s="219"/>
      <c r="AQ203" s="219"/>
      <c r="AR203" s="219"/>
      <c r="AS203" s="219"/>
      <c r="AT203" s="219"/>
      <c r="AU203" s="219"/>
      <c r="AV203" s="219"/>
      <c r="AW203" s="219"/>
    </row>
    <row r="204" spans="1:49">
      <c r="A204" s="219"/>
      <c r="B204" s="219"/>
      <c r="C204" s="219"/>
      <c r="D204" s="219"/>
      <c r="E204" s="219"/>
      <c r="F204" s="219"/>
      <c r="G204" s="219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19"/>
      <c r="AL204" s="219"/>
      <c r="AM204" s="219"/>
      <c r="AN204" s="219"/>
      <c r="AO204" s="219"/>
      <c r="AP204" s="219"/>
      <c r="AQ204" s="219"/>
      <c r="AR204" s="219"/>
      <c r="AS204" s="219"/>
      <c r="AT204" s="219"/>
      <c r="AU204" s="219"/>
      <c r="AV204" s="219"/>
      <c r="AW204" s="219"/>
    </row>
    <row r="205" spans="1:49">
      <c r="A205" s="219"/>
      <c r="B205" s="219"/>
      <c r="C205" s="219"/>
      <c r="D205" s="219"/>
      <c r="E205" s="219"/>
      <c r="F205" s="219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19"/>
      <c r="AL205" s="219"/>
      <c r="AM205" s="219"/>
      <c r="AN205" s="219"/>
      <c r="AO205" s="219"/>
      <c r="AP205" s="219"/>
      <c r="AQ205" s="219"/>
      <c r="AR205" s="219"/>
      <c r="AS205" s="219"/>
      <c r="AT205" s="219"/>
      <c r="AU205" s="219"/>
      <c r="AV205" s="219"/>
      <c r="AW205" s="219"/>
    </row>
    <row r="206" spans="1:49">
      <c r="A206" s="219"/>
      <c r="B206" s="219"/>
      <c r="C206" s="219"/>
      <c r="D206" s="219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19"/>
      <c r="AL206" s="219"/>
      <c r="AM206" s="219"/>
      <c r="AN206" s="219"/>
      <c r="AO206" s="219"/>
      <c r="AP206" s="219"/>
      <c r="AQ206" s="219"/>
      <c r="AR206" s="219"/>
      <c r="AS206" s="219"/>
      <c r="AT206" s="219"/>
      <c r="AU206" s="219"/>
      <c r="AV206" s="219"/>
      <c r="AW206" s="219"/>
    </row>
    <row r="207" spans="1:49">
      <c r="A207" s="219"/>
      <c r="B207" s="219"/>
      <c r="C207" s="219"/>
      <c r="D207" s="21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19"/>
      <c r="AL207" s="219"/>
      <c r="AM207" s="219"/>
      <c r="AN207" s="219"/>
      <c r="AO207" s="219"/>
      <c r="AP207" s="219"/>
      <c r="AQ207" s="219"/>
      <c r="AR207" s="219"/>
      <c r="AS207" s="219"/>
      <c r="AT207" s="219"/>
      <c r="AU207" s="219"/>
      <c r="AV207" s="219"/>
      <c r="AW207" s="219"/>
    </row>
    <row r="208" spans="1:49">
      <c r="A208" s="219"/>
      <c r="B208" s="219"/>
      <c r="C208" s="219"/>
      <c r="D208" s="219"/>
      <c r="E208" s="219"/>
      <c r="F208" s="219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19"/>
      <c r="AL208" s="219"/>
      <c r="AM208" s="219"/>
      <c r="AN208" s="219"/>
      <c r="AO208" s="219"/>
      <c r="AP208" s="219"/>
      <c r="AQ208" s="219"/>
      <c r="AR208" s="219"/>
      <c r="AS208" s="219"/>
      <c r="AT208" s="219"/>
      <c r="AU208" s="219"/>
      <c r="AV208" s="219"/>
      <c r="AW208" s="219"/>
    </row>
    <row r="209" spans="1:49">
      <c r="A209" s="219"/>
      <c r="B209" s="219"/>
      <c r="C209" s="219"/>
      <c r="D209" s="219"/>
      <c r="E209" s="219"/>
      <c r="F209" s="219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19"/>
      <c r="AL209" s="219"/>
      <c r="AM209" s="219"/>
      <c r="AN209" s="219"/>
      <c r="AO209" s="219"/>
      <c r="AP209" s="219"/>
      <c r="AQ209" s="219"/>
      <c r="AR209" s="219"/>
      <c r="AS209" s="219"/>
      <c r="AT209" s="219"/>
      <c r="AU209" s="219"/>
      <c r="AV209" s="219"/>
      <c r="AW209" s="219"/>
    </row>
    <row r="210" spans="1:49">
      <c r="A210" s="219"/>
      <c r="B210" s="219"/>
      <c r="C210" s="219"/>
      <c r="D210" s="219"/>
      <c r="E210" s="219"/>
      <c r="F210" s="219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19"/>
      <c r="AL210" s="219"/>
      <c r="AM210" s="219"/>
      <c r="AN210" s="219"/>
      <c r="AO210" s="219"/>
      <c r="AP210" s="219"/>
      <c r="AQ210" s="219"/>
      <c r="AR210" s="219"/>
      <c r="AS210" s="219"/>
      <c r="AT210" s="219"/>
      <c r="AU210" s="219"/>
      <c r="AV210" s="219"/>
      <c r="AW210" s="219"/>
    </row>
    <row r="211" spans="1:49">
      <c r="A211" s="219"/>
      <c r="B211" s="219"/>
      <c r="C211" s="219"/>
      <c r="D211" s="21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19"/>
      <c r="AL211" s="219"/>
      <c r="AM211" s="219"/>
      <c r="AN211" s="219"/>
      <c r="AO211" s="219"/>
      <c r="AP211" s="219"/>
      <c r="AQ211" s="219"/>
      <c r="AR211" s="219"/>
      <c r="AS211" s="219"/>
      <c r="AT211" s="219"/>
      <c r="AU211" s="219"/>
      <c r="AV211" s="219"/>
      <c r="AW211" s="219"/>
    </row>
    <row r="212" spans="1:49">
      <c r="A212" s="219"/>
      <c r="B212" s="219"/>
      <c r="C212" s="219"/>
      <c r="D212" s="219"/>
      <c r="E212" s="219"/>
      <c r="F212" s="219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19"/>
      <c r="AL212" s="219"/>
      <c r="AM212" s="219"/>
      <c r="AN212" s="219"/>
      <c r="AO212" s="219"/>
      <c r="AP212" s="219"/>
      <c r="AQ212" s="219"/>
      <c r="AR212" s="219"/>
      <c r="AS212" s="219"/>
      <c r="AT212" s="219"/>
      <c r="AU212" s="219"/>
      <c r="AV212" s="219"/>
      <c r="AW212" s="219"/>
    </row>
    <row r="213" spans="1:49">
      <c r="A213" s="219"/>
      <c r="B213" s="219"/>
      <c r="C213" s="219"/>
      <c r="D213" s="219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19"/>
      <c r="AL213" s="219"/>
      <c r="AM213" s="219"/>
      <c r="AN213" s="219"/>
      <c r="AO213" s="219"/>
      <c r="AP213" s="219"/>
      <c r="AQ213" s="219"/>
      <c r="AR213" s="219"/>
      <c r="AS213" s="219"/>
      <c r="AT213" s="219"/>
      <c r="AU213" s="219"/>
      <c r="AV213" s="219"/>
      <c r="AW213" s="219"/>
    </row>
    <row r="214" spans="1:49">
      <c r="A214" s="219"/>
      <c r="B214" s="219"/>
      <c r="C214" s="219"/>
      <c r="D214" s="219"/>
      <c r="E214" s="219"/>
      <c r="F214" s="219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19"/>
      <c r="AL214" s="219"/>
      <c r="AM214" s="219"/>
      <c r="AN214" s="219"/>
      <c r="AO214" s="219"/>
      <c r="AP214" s="219"/>
      <c r="AQ214" s="219"/>
      <c r="AR214" s="219"/>
      <c r="AS214" s="219"/>
      <c r="AT214" s="219"/>
      <c r="AU214" s="219"/>
      <c r="AV214" s="219"/>
      <c r="AW214" s="219"/>
    </row>
    <row r="215" spans="1:49">
      <c r="A215" s="219"/>
      <c r="B215" s="219"/>
      <c r="C215" s="219"/>
      <c r="D215" s="219"/>
      <c r="E215" s="219"/>
      <c r="F215" s="219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19"/>
      <c r="AL215" s="219"/>
      <c r="AM215" s="219"/>
      <c r="AN215" s="219"/>
      <c r="AO215" s="219"/>
      <c r="AP215" s="219"/>
      <c r="AQ215" s="219"/>
      <c r="AR215" s="219"/>
      <c r="AS215" s="219"/>
      <c r="AT215" s="219"/>
      <c r="AU215" s="219"/>
      <c r="AV215" s="219"/>
      <c r="AW215" s="219"/>
    </row>
    <row r="216" spans="1:49">
      <c r="A216" s="219"/>
      <c r="B216" s="219"/>
      <c r="C216" s="219"/>
      <c r="D216" s="219"/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19"/>
      <c r="AL216" s="219"/>
      <c r="AM216" s="219"/>
      <c r="AN216" s="219"/>
      <c r="AO216" s="219"/>
      <c r="AP216" s="219"/>
      <c r="AQ216" s="219"/>
      <c r="AR216" s="219"/>
      <c r="AS216" s="219"/>
      <c r="AT216" s="219"/>
      <c r="AU216" s="219"/>
      <c r="AV216" s="219"/>
      <c r="AW216" s="219"/>
    </row>
    <row r="217" spans="1:49">
      <c r="A217" s="219"/>
      <c r="B217" s="219"/>
      <c r="C217" s="219"/>
      <c r="D217" s="219"/>
      <c r="E217" s="219"/>
      <c r="F217" s="219"/>
      <c r="G217" s="219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19"/>
      <c r="AL217" s="219"/>
      <c r="AM217" s="219"/>
      <c r="AN217" s="219"/>
      <c r="AO217" s="219"/>
      <c r="AP217" s="219"/>
      <c r="AQ217" s="219"/>
      <c r="AR217" s="219"/>
      <c r="AS217" s="219"/>
      <c r="AT217" s="219"/>
      <c r="AU217" s="219"/>
      <c r="AV217" s="219"/>
      <c r="AW217" s="219"/>
    </row>
    <row r="218" spans="1:49">
      <c r="A218" s="219"/>
      <c r="B218" s="219"/>
      <c r="C218" s="219"/>
      <c r="D218" s="219"/>
      <c r="E218" s="219"/>
      <c r="F218" s="219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19"/>
      <c r="AL218" s="219"/>
      <c r="AM218" s="219"/>
      <c r="AN218" s="219"/>
      <c r="AO218" s="219"/>
      <c r="AP218" s="219"/>
      <c r="AQ218" s="219"/>
      <c r="AR218" s="219"/>
      <c r="AS218" s="219"/>
      <c r="AT218" s="219"/>
      <c r="AU218" s="219"/>
      <c r="AV218" s="219"/>
      <c r="AW218" s="219"/>
    </row>
    <row r="219" spans="1:49">
      <c r="A219" s="219"/>
      <c r="B219" s="219"/>
      <c r="C219" s="219"/>
      <c r="D219" s="219"/>
      <c r="E219" s="219"/>
      <c r="F219" s="219"/>
      <c r="G219" s="219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19"/>
      <c r="AL219" s="219"/>
      <c r="AM219" s="219"/>
      <c r="AN219" s="219"/>
      <c r="AO219" s="219"/>
      <c r="AP219" s="219"/>
      <c r="AQ219" s="219"/>
      <c r="AR219" s="219"/>
      <c r="AS219" s="219"/>
      <c r="AT219" s="219"/>
      <c r="AU219" s="219"/>
      <c r="AV219" s="219"/>
      <c r="AW219" s="219"/>
    </row>
    <row r="220" spans="1:49">
      <c r="A220" s="219"/>
      <c r="B220" s="219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19"/>
      <c r="AL220" s="219"/>
      <c r="AM220" s="219"/>
      <c r="AN220" s="219"/>
      <c r="AO220" s="219"/>
      <c r="AP220" s="219"/>
      <c r="AQ220" s="219"/>
      <c r="AR220" s="219"/>
      <c r="AS220" s="219"/>
      <c r="AT220" s="219"/>
      <c r="AU220" s="219"/>
      <c r="AV220" s="219"/>
      <c r="AW220" s="219"/>
    </row>
    <row r="221" spans="1:49">
      <c r="A221" s="219"/>
      <c r="B221" s="219"/>
      <c r="C221" s="219"/>
      <c r="D221" s="219"/>
      <c r="E221" s="219"/>
      <c r="F221" s="219"/>
      <c r="G221" s="219"/>
      <c r="H221" s="219"/>
      <c r="I221" s="219"/>
      <c r="J221" s="219"/>
      <c r="K221" s="219"/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19"/>
      <c r="AL221" s="219"/>
      <c r="AM221" s="219"/>
      <c r="AN221" s="219"/>
      <c r="AO221" s="219"/>
      <c r="AP221" s="219"/>
      <c r="AQ221" s="219"/>
      <c r="AR221" s="219"/>
      <c r="AS221" s="219"/>
      <c r="AT221" s="219"/>
      <c r="AU221" s="219"/>
      <c r="AV221" s="219"/>
      <c r="AW221" s="219"/>
    </row>
    <row r="222" spans="1:49">
      <c r="A222" s="219"/>
      <c r="B222" s="219"/>
      <c r="C222" s="219"/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19"/>
      <c r="AL222" s="219"/>
      <c r="AM222" s="219"/>
      <c r="AN222" s="219"/>
      <c r="AO222" s="219"/>
      <c r="AP222" s="219"/>
      <c r="AQ222" s="219"/>
      <c r="AR222" s="219"/>
      <c r="AS222" s="219"/>
      <c r="AT222" s="219"/>
      <c r="AU222" s="219"/>
      <c r="AV222" s="219"/>
      <c r="AW222" s="219"/>
    </row>
    <row r="223" spans="1:49">
      <c r="A223" s="219"/>
      <c r="B223" s="219"/>
      <c r="C223" s="219"/>
      <c r="D223" s="219"/>
      <c r="E223" s="219"/>
      <c r="F223" s="219"/>
      <c r="G223" s="219"/>
      <c r="H223" s="219"/>
      <c r="I223" s="219"/>
      <c r="J223" s="219"/>
      <c r="K223" s="219"/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19"/>
      <c r="AL223" s="219"/>
      <c r="AM223" s="219"/>
      <c r="AN223" s="219"/>
      <c r="AO223" s="219"/>
      <c r="AP223" s="219"/>
      <c r="AQ223" s="219"/>
      <c r="AR223" s="219"/>
      <c r="AS223" s="219"/>
      <c r="AT223" s="219"/>
      <c r="AU223" s="219"/>
      <c r="AV223" s="219"/>
      <c r="AW223" s="219"/>
    </row>
    <row r="224" spans="1:49">
      <c r="A224" s="219"/>
      <c r="B224" s="219"/>
      <c r="C224" s="219"/>
      <c r="D224" s="219"/>
      <c r="E224" s="219"/>
      <c r="F224" s="219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19"/>
      <c r="AL224" s="219"/>
      <c r="AM224" s="219"/>
      <c r="AN224" s="219"/>
      <c r="AO224" s="219"/>
      <c r="AP224" s="219"/>
      <c r="AQ224" s="219"/>
      <c r="AR224" s="219"/>
      <c r="AS224" s="219"/>
      <c r="AT224" s="219"/>
      <c r="AU224" s="219"/>
      <c r="AV224" s="219"/>
      <c r="AW224" s="219"/>
    </row>
    <row r="225" spans="1:49">
      <c r="A225" s="219"/>
      <c r="B225" s="219"/>
      <c r="C225" s="219"/>
      <c r="D225" s="219"/>
      <c r="E225" s="219"/>
      <c r="F225" s="219"/>
      <c r="G225" s="219"/>
      <c r="H225" s="219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19"/>
      <c r="AL225" s="219"/>
      <c r="AM225" s="219"/>
      <c r="AN225" s="219"/>
      <c r="AO225" s="219"/>
      <c r="AP225" s="219"/>
      <c r="AQ225" s="219"/>
      <c r="AR225" s="219"/>
      <c r="AS225" s="219"/>
      <c r="AT225" s="219"/>
      <c r="AU225" s="219"/>
      <c r="AV225" s="219"/>
      <c r="AW225" s="219"/>
    </row>
    <row r="226" spans="1:49">
      <c r="A226" s="219"/>
      <c r="B226" s="219"/>
      <c r="C226" s="219"/>
      <c r="D226" s="219"/>
      <c r="E226" s="219"/>
      <c r="F226" s="219"/>
      <c r="G226" s="219"/>
      <c r="H226" s="219"/>
      <c r="I226" s="219"/>
      <c r="J226" s="219"/>
      <c r="K226" s="219"/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19"/>
      <c r="AL226" s="219"/>
      <c r="AM226" s="219"/>
      <c r="AN226" s="219"/>
      <c r="AO226" s="219"/>
      <c r="AP226" s="219"/>
      <c r="AQ226" s="219"/>
      <c r="AR226" s="219"/>
      <c r="AS226" s="219"/>
      <c r="AT226" s="219"/>
      <c r="AU226" s="219"/>
      <c r="AV226" s="219"/>
      <c r="AW226" s="219"/>
    </row>
    <row r="227" spans="1:49">
      <c r="A227" s="219"/>
      <c r="B227" s="219"/>
      <c r="C227" s="219"/>
      <c r="D227" s="219"/>
      <c r="E227" s="219"/>
      <c r="F227" s="219"/>
      <c r="G227" s="219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19"/>
      <c r="AL227" s="219"/>
      <c r="AM227" s="219"/>
      <c r="AN227" s="219"/>
      <c r="AO227" s="219"/>
      <c r="AP227" s="219"/>
      <c r="AQ227" s="219"/>
      <c r="AR227" s="219"/>
      <c r="AS227" s="219"/>
      <c r="AT227" s="219"/>
      <c r="AU227" s="219"/>
      <c r="AV227" s="219"/>
      <c r="AW227" s="219"/>
    </row>
    <row r="228" spans="1:49">
      <c r="A228" s="219"/>
      <c r="B228" s="219"/>
      <c r="C228" s="219"/>
      <c r="D228" s="219"/>
      <c r="E228" s="219"/>
      <c r="F228" s="219"/>
      <c r="G228" s="219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19"/>
      <c r="AL228" s="219"/>
      <c r="AM228" s="219"/>
      <c r="AN228" s="219"/>
      <c r="AO228" s="219"/>
      <c r="AP228" s="219"/>
      <c r="AQ228" s="219"/>
      <c r="AR228" s="219"/>
      <c r="AS228" s="219"/>
      <c r="AT228" s="219"/>
      <c r="AU228" s="219"/>
      <c r="AV228" s="219"/>
      <c r="AW228" s="219"/>
    </row>
    <row r="229" spans="1:49">
      <c r="A229" s="219"/>
      <c r="B229" s="219"/>
      <c r="C229" s="219"/>
      <c r="D229" s="219"/>
      <c r="E229" s="219"/>
      <c r="F229" s="219"/>
      <c r="G229" s="219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19"/>
      <c r="AL229" s="219"/>
      <c r="AM229" s="219"/>
      <c r="AN229" s="219"/>
      <c r="AO229" s="219"/>
      <c r="AP229" s="219"/>
      <c r="AQ229" s="219"/>
      <c r="AR229" s="219"/>
      <c r="AS229" s="219"/>
      <c r="AT229" s="219"/>
      <c r="AU229" s="219"/>
      <c r="AV229" s="219"/>
      <c r="AW229" s="219"/>
    </row>
    <row r="230" spans="1:49">
      <c r="A230" s="219"/>
      <c r="B230" s="219"/>
      <c r="C230" s="219"/>
      <c r="D230" s="219"/>
      <c r="E230" s="219"/>
      <c r="F230" s="219"/>
      <c r="G230" s="219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/>
      <c r="AU230" s="219"/>
      <c r="AV230" s="219"/>
      <c r="AW230" s="219"/>
    </row>
    <row r="231" spans="1:49">
      <c r="A231" s="219"/>
      <c r="B231" s="219"/>
      <c r="C231" s="219"/>
      <c r="D231" s="219"/>
      <c r="E231" s="219"/>
      <c r="F231" s="219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19"/>
      <c r="AL231" s="219"/>
      <c r="AM231" s="219"/>
      <c r="AN231" s="219"/>
      <c r="AO231" s="219"/>
      <c r="AP231" s="219"/>
      <c r="AQ231" s="219"/>
      <c r="AR231" s="219"/>
      <c r="AS231" s="219"/>
      <c r="AT231" s="219"/>
      <c r="AU231" s="219"/>
      <c r="AV231" s="219"/>
      <c r="AW231" s="219"/>
    </row>
    <row r="232" spans="1:49">
      <c r="A232" s="219"/>
      <c r="B232" s="219"/>
      <c r="C232" s="219"/>
      <c r="D232" s="219"/>
      <c r="E232" s="219"/>
      <c r="F232" s="219"/>
      <c r="G232" s="219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19"/>
      <c r="AL232" s="219"/>
      <c r="AM232" s="219"/>
      <c r="AN232" s="219"/>
      <c r="AO232" s="219"/>
      <c r="AP232" s="219"/>
      <c r="AQ232" s="219"/>
      <c r="AR232" s="219"/>
      <c r="AS232" s="219"/>
      <c r="AT232" s="219"/>
      <c r="AU232" s="219"/>
      <c r="AV232" s="219"/>
      <c r="AW232" s="219"/>
    </row>
    <row r="233" spans="1:49">
      <c r="A233" s="219"/>
      <c r="B233" s="219"/>
      <c r="C233" s="219"/>
      <c r="D233" s="219"/>
      <c r="E233" s="219"/>
      <c r="F233" s="219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19"/>
      <c r="AL233" s="219"/>
      <c r="AM233" s="219"/>
      <c r="AN233" s="219"/>
      <c r="AO233" s="219"/>
      <c r="AP233" s="219"/>
      <c r="AQ233" s="219"/>
      <c r="AR233" s="219"/>
      <c r="AS233" s="219"/>
      <c r="AT233" s="219"/>
      <c r="AU233" s="219"/>
      <c r="AV233" s="219"/>
      <c r="AW233" s="219"/>
    </row>
    <row r="234" spans="1:49">
      <c r="A234" s="219"/>
      <c r="B234" s="219"/>
      <c r="C234" s="219"/>
      <c r="D234" s="219"/>
      <c r="E234" s="219"/>
      <c r="F234" s="219"/>
      <c r="G234" s="219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19"/>
      <c r="AL234" s="219"/>
      <c r="AM234" s="219"/>
      <c r="AN234" s="219"/>
      <c r="AO234" s="219"/>
      <c r="AP234" s="219"/>
      <c r="AQ234" s="219"/>
      <c r="AR234" s="219"/>
      <c r="AS234" s="219"/>
      <c r="AT234" s="219"/>
      <c r="AU234" s="219"/>
      <c r="AV234" s="219"/>
      <c r="AW234" s="219"/>
    </row>
    <row r="235" spans="1:49">
      <c r="A235" s="219"/>
      <c r="B235" s="219"/>
      <c r="C235" s="219"/>
      <c r="D235" s="219"/>
      <c r="E235" s="219"/>
      <c r="F235" s="219"/>
      <c r="G235" s="219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19"/>
      <c r="AL235" s="219"/>
      <c r="AM235" s="219"/>
      <c r="AN235" s="219"/>
      <c r="AO235" s="219"/>
      <c r="AP235" s="219"/>
      <c r="AQ235" s="219"/>
      <c r="AR235" s="219"/>
      <c r="AS235" s="219"/>
      <c r="AT235" s="219"/>
      <c r="AU235" s="219"/>
      <c r="AV235" s="219"/>
      <c r="AW235" s="219"/>
    </row>
    <row r="236" spans="1:49">
      <c r="A236" s="219"/>
      <c r="B236" s="219"/>
      <c r="C236" s="219"/>
      <c r="D236" s="219"/>
      <c r="E236" s="219"/>
      <c r="F236" s="219"/>
      <c r="G236" s="219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19"/>
      <c r="AL236" s="219"/>
      <c r="AM236" s="219"/>
      <c r="AN236" s="219"/>
      <c r="AO236" s="219"/>
      <c r="AP236" s="219"/>
      <c r="AQ236" s="219"/>
      <c r="AR236" s="219"/>
      <c r="AS236" s="219"/>
      <c r="AT236" s="219"/>
      <c r="AU236" s="219"/>
      <c r="AV236" s="219"/>
      <c r="AW236" s="219"/>
    </row>
    <row r="237" spans="1:49">
      <c r="A237" s="219"/>
      <c r="B237" s="219"/>
      <c r="C237" s="219"/>
      <c r="D237" s="219"/>
      <c r="E237" s="219"/>
      <c r="F237" s="219"/>
      <c r="G237" s="219"/>
      <c r="H237" s="219"/>
      <c r="I237" s="219"/>
      <c r="J237" s="219"/>
      <c r="K237" s="219"/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19"/>
      <c r="AL237" s="219"/>
      <c r="AM237" s="219"/>
      <c r="AN237" s="219"/>
      <c r="AO237" s="219"/>
      <c r="AP237" s="219"/>
      <c r="AQ237" s="219"/>
      <c r="AR237" s="219"/>
      <c r="AS237" s="219"/>
      <c r="AT237" s="219"/>
      <c r="AU237" s="219"/>
      <c r="AV237" s="219"/>
      <c r="AW237" s="219"/>
    </row>
    <row r="238" spans="1:49">
      <c r="A238" s="219"/>
      <c r="B238" s="219"/>
      <c r="C238" s="219"/>
      <c r="D238" s="219"/>
      <c r="E238" s="219"/>
      <c r="F238" s="219"/>
      <c r="G238" s="219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19"/>
      <c r="AL238" s="219"/>
      <c r="AM238" s="219"/>
      <c r="AN238" s="219"/>
      <c r="AO238" s="219"/>
      <c r="AP238" s="219"/>
      <c r="AQ238" s="219"/>
      <c r="AR238" s="219"/>
      <c r="AS238" s="219"/>
      <c r="AT238" s="219"/>
      <c r="AU238" s="219"/>
      <c r="AV238" s="219"/>
      <c r="AW238" s="219"/>
    </row>
    <row r="239" spans="1:49">
      <c r="A239" s="219"/>
      <c r="B239" s="219"/>
      <c r="C239" s="219"/>
      <c r="D239" s="219"/>
      <c r="E239" s="219"/>
      <c r="F239" s="219"/>
      <c r="G239" s="219"/>
      <c r="H239" s="219"/>
      <c r="I239" s="219"/>
      <c r="J239" s="219"/>
      <c r="K239" s="219"/>
      <c r="L239" s="21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19"/>
      <c r="AL239" s="219"/>
      <c r="AM239" s="219"/>
      <c r="AN239" s="219"/>
      <c r="AO239" s="219"/>
      <c r="AP239" s="219"/>
      <c r="AQ239" s="219"/>
      <c r="AR239" s="219"/>
      <c r="AS239" s="219"/>
      <c r="AT239" s="219"/>
      <c r="AU239" s="219"/>
      <c r="AV239" s="219"/>
      <c r="AW239" s="219"/>
    </row>
    <row r="240" spans="1:49">
      <c r="A240" s="219"/>
      <c r="B240" s="219"/>
      <c r="C240" s="219"/>
      <c r="D240" s="219"/>
      <c r="E240" s="219"/>
      <c r="F240" s="219"/>
      <c r="G240" s="219"/>
      <c r="H240" s="219"/>
      <c r="I240" s="219"/>
      <c r="J240" s="219"/>
      <c r="K240" s="219"/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19"/>
      <c r="AL240" s="219"/>
      <c r="AM240" s="219"/>
      <c r="AN240" s="219"/>
      <c r="AO240" s="219"/>
      <c r="AP240" s="219"/>
      <c r="AQ240" s="219"/>
      <c r="AR240" s="219"/>
      <c r="AS240" s="219"/>
      <c r="AT240" s="219"/>
      <c r="AU240" s="219"/>
      <c r="AV240" s="219"/>
      <c r="AW240" s="219"/>
    </row>
    <row r="241" spans="1:49">
      <c r="A241" s="219"/>
      <c r="B241" s="219"/>
      <c r="C241" s="219"/>
      <c r="D241" s="219"/>
      <c r="E241" s="219"/>
      <c r="F241" s="219"/>
      <c r="G241" s="219"/>
      <c r="H241" s="219"/>
      <c r="I241" s="219"/>
      <c r="J241" s="219"/>
      <c r="K241" s="219"/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19"/>
      <c r="AL241" s="219"/>
      <c r="AM241" s="219"/>
      <c r="AN241" s="219"/>
      <c r="AO241" s="219"/>
      <c r="AP241" s="219"/>
      <c r="AQ241" s="219"/>
      <c r="AR241" s="219"/>
      <c r="AS241" s="219"/>
      <c r="AT241" s="219"/>
      <c r="AU241" s="219"/>
      <c r="AV241" s="219"/>
      <c r="AW241" s="219"/>
    </row>
    <row r="242" spans="1:49">
      <c r="A242" s="219"/>
      <c r="B242" s="219"/>
      <c r="C242" s="219"/>
      <c r="D242" s="219"/>
      <c r="E242" s="219"/>
      <c r="F242" s="219"/>
      <c r="G242" s="219"/>
      <c r="H242" s="219"/>
      <c r="I242" s="219"/>
      <c r="J242" s="219"/>
      <c r="K242" s="219"/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19"/>
      <c r="AL242" s="219"/>
      <c r="AM242" s="219"/>
      <c r="AN242" s="219"/>
      <c r="AO242" s="219"/>
      <c r="AP242" s="219"/>
      <c r="AQ242" s="219"/>
      <c r="AR242" s="219"/>
      <c r="AS242" s="219"/>
      <c r="AT242" s="219"/>
      <c r="AU242" s="219"/>
      <c r="AV242" s="219"/>
      <c r="AW242" s="219"/>
    </row>
    <row r="243" spans="1:49">
      <c r="A243" s="219"/>
      <c r="B243" s="219"/>
      <c r="C243" s="219"/>
      <c r="D243" s="219"/>
      <c r="E243" s="219"/>
      <c r="F243" s="219"/>
      <c r="G243" s="219"/>
      <c r="H243" s="219"/>
      <c r="I243" s="219"/>
      <c r="J243" s="219"/>
      <c r="K243" s="219"/>
      <c r="L243" s="219"/>
      <c r="M243" s="21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19"/>
      <c r="AL243" s="219"/>
      <c r="AM243" s="219"/>
      <c r="AN243" s="219"/>
      <c r="AO243" s="219"/>
      <c r="AP243" s="219"/>
      <c r="AQ243" s="219"/>
      <c r="AR243" s="219"/>
      <c r="AS243" s="219"/>
      <c r="AT243" s="219"/>
      <c r="AU243" s="219"/>
      <c r="AV243" s="219"/>
      <c r="AW243" s="219"/>
    </row>
    <row r="244" spans="1:49">
      <c r="A244" s="219"/>
      <c r="B244" s="219"/>
      <c r="C244" s="219"/>
      <c r="D244" s="219"/>
      <c r="E244" s="219"/>
      <c r="F244" s="219"/>
      <c r="G244" s="219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19"/>
      <c r="AL244" s="219"/>
      <c r="AM244" s="219"/>
      <c r="AN244" s="219"/>
      <c r="AO244" s="219"/>
      <c r="AP244" s="219"/>
      <c r="AQ244" s="219"/>
      <c r="AR244" s="219"/>
      <c r="AS244" s="219"/>
      <c r="AT244" s="219"/>
      <c r="AU244" s="219"/>
      <c r="AV244" s="219"/>
      <c r="AW244" s="219"/>
    </row>
    <row r="245" spans="1:49">
      <c r="A245" s="219"/>
      <c r="B245" s="219"/>
      <c r="C245" s="219"/>
      <c r="D245" s="219"/>
      <c r="E245" s="219"/>
      <c r="F245" s="219"/>
      <c r="G245" s="219"/>
      <c r="H245" s="219"/>
      <c r="I245" s="219"/>
      <c r="J245" s="219"/>
      <c r="K245" s="219"/>
      <c r="L245" s="219"/>
      <c r="M245" s="219"/>
      <c r="N245" s="21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19"/>
      <c r="AL245" s="219"/>
      <c r="AM245" s="219"/>
      <c r="AN245" s="219"/>
      <c r="AO245" s="219"/>
      <c r="AP245" s="219"/>
      <c r="AQ245" s="219"/>
      <c r="AR245" s="219"/>
      <c r="AS245" s="219"/>
      <c r="AT245" s="219"/>
      <c r="AU245" s="219"/>
      <c r="AV245" s="219"/>
      <c r="AW245" s="219"/>
    </row>
    <row r="246" spans="1:49">
      <c r="A246" s="219"/>
      <c r="B246" s="219"/>
      <c r="C246" s="219"/>
      <c r="D246" s="219"/>
      <c r="E246" s="219"/>
      <c r="F246" s="219"/>
      <c r="G246" s="219"/>
      <c r="H246" s="219"/>
      <c r="I246" s="219"/>
      <c r="J246" s="219"/>
      <c r="K246" s="219"/>
      <c r="L246" s="219"/>
      <c r="M246" s="219"/>
      <c r="N246" s="219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19"/>
      <c r="AL246" s="219"/>
      <c r="AM246" s="219"/>
      <c r="AN246" s="219"/>
      <c r="AO246" s="219"/>
      <c r="AP246" s="219"/>
      <c r="AQ246" s="219"/>
      <c r="AR246" s="219"/>
      <c r="AS246" s="219"/>
      <c r="AT246" s="219"/>
      <c r="AU246" s="219"/>
      <c r="AV246" s="219"/>
      <c r="AW246" s="219"/>
    </row>
    <row r="247" spans="1:49">
      <c r="A247" s="219"/>
      <c r="B247" s="219"/>
      <c r="C247" s="219"/>
      <c r="D247" s="219"/>
      <c r="E247" s="219"/>
      <c r="F247" s="219"/>
      <c r="G247" s="219"/>
      <c r="H247" s="219"/>
      <c r="I247" s="219"/>
      <c r="J247" s="219"/>
      <c r="K247" s="219"/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19"/>
      <c r="AL247" s="219"/>
      <c r="AM247" s="219"/>
      <c r="AN247" s="219"/>
      <c r="AO247" s="219"/>
      <c r="AP247" s="219"/>
      <c r="AQ247" s="219"/>
      <c r="AR247" s="219"/>
      <c r="AS247" s="219"/>
      <c r="AT247" s="219"/>
      <c r="AU247" s="219"/>
      <c r="AV247" s="219"/>
      <c r="AW247" s="219"/>
    </row>
    <row r="248" spans="1:49">
      <c r="A248" s="219"/>
      <c r="B248" s="219"/>
      <c r="C248" s="219"/>
      <c r="D248" s="219"/>
      <c r="E248" s="219"/>
      <c r="F248" s="219"/>
      <c r="G248" s="219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19"/>
      <c r="AL248" s="219"/>
      <c r="AM248" s="219"/>
      <c r="AN248" s="219"/>
      <c r="AO248" s="219"/>
      <c r="AP248" s="219"/>
      <c r="AQ248" s="219"/>
      <c r="AR248" s="219"/>
      <c r="AS248" s="219"/>
      <c r="AT248" s="219"/>
      <c r="AU248" s="219"/>
      <c r="AV248" s="219"/>
      <c r="AW248" s="219"/>
    </row>
    <row r="249" spans="1:49">
      <c r="A249" s="219"/>
      <c r="B249" s="219"/>
      <c r="C249" s="219"/>
      <c r="D249" s="219"/>
      <c r="E249" s="219"/>
      <c r="F249" s="219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19"/>
      <c r="AL249" s="219"/>
      <c r="AM249" s="219"/>
      <c r="AN249" s="219"/>
      <c r="AO249" s="219"/>
      <c r="AP249" s="219"/>
      <c r="AQ249" s="219"/>
      <c r="AR249" s="219"/>
      <c r="AS249" s="219"/>
      <c r="AT249" s="219"/>
      <c r="AU249" s="219"/>
      <c r="AV249" s="219"/>
      <c r="AW249" s="219"/>
    </row>
    <row r="250" spans="1:49">
      <c r="A250" s="219"/>
      <c r="B250" s="219"/>
      <c r="C250" s="219"/>
      <c r="D250" s="219"/>
      <c r="E250" s="219"/>
      <c r="F250" s="219"/>
      <c r="G250" s="219"/>
      <c r="H250" s="219"/>
      <c r="I250" s="219"/>
      <c r="J250" s="219"/>
      <c r="K250" s="219"/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19"/>
      <c r="AL250" s="219"/>
      <c r="AM250" s="219"/>
      <c r="AN250" s="219"/>
      <c r="AO250" s="219"/>
      <c r="AP250" s="219"/>
      <c r="AQ250" s="219"/>
      <c r="AR250" s="219"/>
      <c r="AS250" s="219"/>
      <c r="AT250" s="219"/>
      <c r="AU250" s="219"/>
      <c r="AV250" s="219"/>
      <c r="AW250" s="219"/>
    </row>
    <row r="251" spans="1:49">
      <c r="A251" s="219"/>
      <c r="B251" s="219"/>
      <c r="C251" s="219"/>
      <c r="D251" s="219"/>
      <c r="E251" s="219"/>
      <c r="F251" s="219"/>
      <c r="G251" s="219"/>
      <c r="H251" s="219"/>
      <c r="I251" s="219"/>
      <c r="J251" s="219"/>
      <c r="K251" s="219"/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19"/>
      <c r="AL251" s="219"/>
      <c r="AM251" s="219"/>
      <c r="AN251" s="219"/>
      <c r="AO251" s="219"/>
      <c r="AP251" s="219"/>
      <c r="AQ251" s="219"/>
      <c r="AR251" s="219"/>
      <c r="AS251" s="219"/>
      <c r="AT251" s="219"/>
      <c r="AU251" s="219"/>
      <c r="AV251" s="219"/>
      <c r="AW251" s="219"/>
    </row>
    <row r="252" spans="1:49">
      <c r="A252" s="219"/>
      <c r="B252" s="219"/>
      <c r="C252" s="219"/>
      <c r="D252" s="219"/>
      <c r="E252" s="219"/>
      <c r="F252" s="219"/>
      <c r="G252" s="219"/>
      <c r="H252" s="219"/>
      <c r="I252" s="219"/>
      <c r="J252" s="219"/>
      <c r="K252" s="219"/>
      <c r="L252" s="219"/>
      <c r="M252" s="219"/>
      <c r="N252" s="219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19"/>
      <c r="AL252" s="219"/>
      <c r="AM252" s="219"/>
      <c r="AN252" s="219"/>
      <c r="AO252" s="219"/>
      <c r="AP252" s="219"/>
      <c r="AQ252" s="219"/>
      <c r="AR252" s="219"/>
      <c r="AS252" s="219"/>
      <c r="AT252" s="219"/>
      <c r="AU252" s="219"/>
      <c r="AV252" s="219"/>
      <c r="AW252" s="219"/>
    </row>
    <row r="253" spans="1:49">
      <c r="A253" s="219"/>
      <c r="B253" s="219"/>
      <c r="C253" s="219"/>
      <c r="D253" s="219"/>
      <c r="E253" s="219"/>
      <c r="F253" s="219"/>
      <c r="G253" s="219"/>
      <c r="H253" s="219"/>
      <c r="I253" s="219"/>
      <c r="J253" s="219"/>
      <c r="K253" s="219"/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19"/>
      <c r="AL253" s="219"/>
      <c r="AM253" s="219"/>
      <c r="AN253" s="219"/>
      <c r="AO253" s="219"/>
      <c r="AP253" s="219"/>
      <c r="AQ253" s="219"/>
      <c r="AR253" s="219"/>
      <c r="AS253" s="219"/>
      <c r="AT253" s="219"/>
      <c r="AU253" s="219"/>
      <c r="AV253" s="219"/>
      <c r="AW253" s="219"/>
    </row>
    <row r="254" spans="1:49">
      <c r="A254" s="219"/>
      <c r="B254" s="219"/>
      <c r="C254" s="219"/>
      <c r="D254" s="219"/>
      <c r="E254" s="219"/>
      <c r="F254" s="219"/>
      <c r="G254" s="219"/>
      <c r="H254" s="219"/>
      <c r="I254" s="219"/>
      <c r="J254" s="219"/>
      <c r="K254" s="219"/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19"/>
      <c r="AL254" s="219"/>
      <c r="AM254" s="219"/>
      <c r="AN254" s="219"/>
      <c r="AO254" s="219"/>
      <c r="AP254" s="219"/>
      <c r="AQ254" s="219"/>
      <c r="AR254" s="219"/>
      <c r="AS254" s="219"/>
      <c r="AT254" s="219"/>
      <c r="AU254" s="219"/>
      <c r="AV254" s="219"/>
      <c r="AW254" s="219"/>
    </row>
    <row r="255" spans="1:49">
      <c r="A255" s="219"/>
      <c r="B255" s="219"/>
      <c r="C255" s="219"/>
      <c r="D255" s="219"/>
      <c r="E255" s="219"/>
      <c r="F255" s="219"/>
      <c r="G255" s="219"/>
      <c r="H255" s="219"/>
      <c r="I255" s="219"/>
      <c r="J255" s="219"/>
      <c r="K255" s="219"/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19"/>
      <c r="AL255" s="219"/>
      <c r="AM255" s="219"/>
      <c r="AN255" s="219"/>
      <c r="AO255" s="219"/>
      <c r="AP255" s="219"/>
      <c r="AQ255" s="219"/>
      <c r="AR255" s="219"/>
      <c r="AS255" s="219"/>
      <c r="AT255" s="219"/>
      <c r="AU255" s="219"/>
      <c r="AV255" s="219"/>
      <c r="AW255" s="219"/>
    </row>
    <row r="256" spans="1:49">
      <c r="A256" s="219"/>
      <c r="B256" s="219"/>
      <c r="C256" s="219"/>
      <c r="D256" s="219"/>
      <c r="E256" s="219"/>
      <c r="F256" s="219"/>
      <c r="G256" s="219"/>
      <c r="H256" s="219"/>
      <c r="I256" s="219"/>
      <c r="J256" s="219"/>
      <c r="K256" s="219"/>
      <c r="L256" s="219"/>
      <c r="M256" s="219"/>
      <c r="N256" s="219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  <c r="AO256" s="219"/>
      <c r="AP256" s="219"/>
      <c r="AQ256" s="219"/>
      <c r="AR256" s="219"/>
      <c r="AS256" s="219"/>
      <c r="AT256" s="219"/>
      <c r="AU256" s="219"/>
      <c r="AV256" s="219"/>
      <c r="AW256" s="219"/>
    </row>
    <row r="257" spans="1:49">
      <c r="A257" s="219"/>
      <c r="B257" s="219"/>
      <c r="C257" s="219"/>
      <c r="D257" s="219"/>
      <c r="E257" s="219"/>
      <c r="F257" s="219"/>
      <c r="G257" s="219"/>
      <c r="H257" s="219"/>
      <c r="I257" s="219"/>
      <c r="J257" s="219"/>
      <c r="K257" s="219"/>
      <c r="L257" s="219"/>
      <c r="M257" s="219"/>
      <c r="N257" s="219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  <c r="AO257" s="219"/>
      <c r="AP257" s="219"/>
      <c r="AQ257" s="219"/>
      <c r="AR257" s="219"/>
      <c r="AS257" s="219"/>
      <c r="AT257" s="219"/>
      <c r="AU257" s="219"/>
      <c r="AV257" s="219"/>
      <c r="AW257" s="219"/>
    </row>
    <row r="258" spans="1:49">
      <c r="A258" s="219"/>
      <c r="B258" s="219"/>
      <c r="C258" s="219"/>
      <c r="D258" s="219"/>
      <c r="E258" s="219"/>
      <c r="F258" s="219"/>
      <c r="G258" s="219"/>
      <c r="H258" s="219"/>
      <c r="I258" s="219"/>
      <c r="J258" s="219"/>
      <c r="K258" s="219"/>
      <c r="L258" s="219"/>
      <c r="M258" s="219"/>
      <c r="N258" s="219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  <c r="AO258" s="219"/>
      <c r="AP258" s="219"/>
      <c r="AQ258" s="219"/>
      <c r="AR258" s="219"/>
      <c r="AS258" s="219"/>
      <c r="AT258" s="219"/>
      <c r="AU258" s="219"/>
      <c r="AV258" s="219"/>
      <c r="AW258" s="219"/>
    </row>
    <row r="259" spans="1:49">
      <c r="A259" s="219"/>
      <c r="B259" s="219"/>
      <c r="C259" s="219"/>
      <c r="D259" s="219"/>
      <c r="E259" s="219"/>
      <c r="F259" s="219"/>
      <c r="G259" s="219"/>
      <c r="H259" s="219"/>
      <c r="I259" s="219"/>
      <c r="J259" s="219"/>
      <c r="K259" s="219"/>
      <c r="L259" s="219"/>
      <c r="M259" s="219"/>
      <c r="N259" s="219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19"/>
      <c r="AL259" s="219"/>
      <c r="AM259" s="219"/>
      <c r="AN259" s="219"/>
      <c r="AO259" s="219"/>
      <c r="AP259" s="219"/>
      <c r="AQ259" s="219"/>
      <c r="AR259" s="219"/>
      <c r="AS259" s="219"/>
      <c r="AT259" s="219"/>
      <c r="AU259" s="219"/>
      <c r="AV259" s="219"/>
      <c r="AW259" s="219"/>
    </row>
    <row r="260" spans="1:49">
      <c r="A260" s="219"/>
      <c r="B260" s="219"/>
      <c r="C260" s="219"/>
      <c r="D260" s="219"/>
      <c r="E260" s="219"/>
      <c r="F260" s="219"/>
      <c r="G260" s="219"/>
      <c r="H260" s="219"/>
      <c r="I260" s="219"/>
      <c r="J260" s="219"/>
      <c r="K260" s="219"/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  <c r="AO260" s="219"/>
      <c r="AP260" s="219"/>
      <c r="AQ260" s="219"/>
      <c r="AR260" s="219"/>
      <c r="AS260" s="219"/>
      <c r="AT260" s="219"/>
      <c r="AU260" s="219"/>
      <c r="AV260" s="219"/>
      <c r="AW260" s="219"/>
    </row>
    <row r="261" spans="1:49">
      <c r="A261" s="219"/>
      <c r="B261" s="219"/>
      <c r="C261" s="219"/>
      <c r="D261" s="219"/>
      <c r="E261" s="219"/>
      <c r="F261" s="219"/>
      <c r="G261" s="219"/>
      <c r="H261" s="219"/>
      <c r="I261" s="219"/>
      <c r="J261" s="219"/>
      <c r="K261" s="219"/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19"/>
      <c r="AL261" s="219"/>
      <c r="AM261" s="219"/>
      <c r="AN261" s="219"/>
      <c r="AO261" s="219"/>
      <c r="AP261" s="219"/>
      <c r="AQ261" s="219"/>
      <c r="AR261" s="219"/>
      <c r="AS261" s="219"/>
      <c r="AT261" s="219"/>
      <c r="AU261" s="219"/>
      <c r="AV261" s="219"/>
      <c r="AW261" s="219"/>
    </row>
    <row r="262" spans="1:49">
      <c r="A262" s="219"/>
      <c r="B262" s="219"/>
      <c r="C262" s="219"/>
      <c r="D262" s="219"/>
      <c r="E262" s="219"/>
      <c r="F262" s="219"/>
      <c r="G262" s="219"/>
      <c r="H262" s="219"/>
      <c r="I262" s="219"/>
      <c r="J262" s="219"/>
      <c r="K262" s="219"/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19"/>
      <c r="AL262" s="219"/>
      <c r="AM262" s="219"/>
      <c r="AN262" s="219"/>
      <c r="AO262" s="219"/>
      <c r="AP262" s="219"/>
      <c r="AQ262" s="219"/>
      <c r="AR262" s="219"/>
      <c r="AS262" s="219"/>
      <c r="AT262" s="219"/>
      <c r="AU262" s="219"/>
      <c r="AV262" s="219"/>
      <c r="AW262" s="219"/>
    </row>
    <row r="263" spans="1:49">
      <c r="A263" s="219"/>
      <c r="B263" s="219"/>
      <c r="C263" s="219"/>
      <c r="D263" s="219"/>
      <c r="E263" s="219"/>
      <c r="F263" s="219"/>
      <c r="G263" s="219"/>
      <c r="H263" s="219"/>
      <c r="I263" s="219"/>
      <c r="J263" s="219"/>
      <c r="K263" s="219"/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19"/>
      <c r="AL263" s="219"/>
      <c r="AM263" s="219"/>
      <c r="AN263" s="219"/>
      <c r="AO263" s="219"/>
      <c r="AP263" s="219"/>
      <c r="AQ263" s="219"/>
      <c r="AR263" s="219"/>
      <c r="AS263" s="219"/>
      <c r="AT263" s="219"/>
      <c r="AU263" s="219"/>
      <c r="AV263" s="219"/>
      <c r="AW263" s="219"/>
    </row>
    <row r="264" spans="1:49">
      <c r="A264" s="219"/>
      <c r="B264" s="219"/>
      <c r="C264" s="219"/>
      <c r="D264" s="219"/>
      <c r="E264" s="219"/>
      <c r="F264" s="219"/>
      <c r="G264" s="219"/>
      <c r="H264" s="219"/>
      <c r="I264" s="219"/>
      <c r="J264" s="219"/>
      <c r="K264" s="219"/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19"/>
      <c r="AL264" s="219"/>
      <c r="AM264" s="219"/>
      <c r="AN264" s="219"/>
      <c r="AO264" s="219"/>
      <c r="AP264" s="219"/>
      <c r="AQ264" s="219"/>
      <c r="AR264" s="219"/>
      <c r="AS264" s="219"/>
      <c r="AT264" s="219"/>
      <c r="AU264" s="219"/>
      <c r="AV264" s="219"/>
      <c r="AW264" s="219"/>
    </row>
    <row r="265" spans="1:49">
      <c r="A265" s="219"/>
      <c r="B265" s="219"/>
      <c r="C265" s="219"/>
      <c r="D265" s="219"/>
      <c r="E265" s="219"/>
      <c r="F265" s="219"/>
      <c r="G265" s="219"/>
      <c r="H265" s="219"/>
      <c r="I265" s="219"/>
      <c r="J265" s="219"/>
      <c r="K265" s="219"/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19"/>
      <c r="AQ265" s="219"/>
      <c r="AR265" s="219"/>
      <c r="AS265" s="219"/>
      <c r="AT265" s="219"/>
      <c r="AU265" s="219"/>
      <c r="AV265" s="219"/>
      <c r="AW265" s="219"/>
    </row>
    <row r="266" spans="1:49">
      <c r="A266" s="219"/>
      <c r="B266" s="219"/>
      <c r="C266" s="219"/>
      <c r="D266" s="219"/>
      <c r="E266" s="219"/>
      <c r="F266" s="219"/>
      <c r="G266" s="219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19"/>
      <c r="AL266" s="219"/>
      <c r="AM266" s="219"/>
      <c r="AN266" s="219"/>
      <c r="AO266" s="219"/>
      <c r="AP266" s="219"/>
      <c r="AQ266" s="219"/>
      <c r="AR266" s="219"/>
      <c r="AS266" s="219"/>
      <c r="AT266" s="219"/>
      <c r="AU266" s="219"/>
      <c r="AV266" s="219"/>
      <c r="AW266" s="219"/>
    </row>
    <row r="267" spans="1:49">
      <c r="A267" s="219"/>
      <c r="B267" s="219"/>
      <c r="C267" s="219"/>
      <c r="D267" s="219"/>
      <c r="E267" s="219"/>
      <c r="F267" s="219"/>
      <c r="G267" s="219"/>
      <c r="H267" s="219"/>
      <c r="I267" s="219"/>
      <c r="J267" s="219"/>
      <c r="K267" s="219"/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219"/>
      <c r="AR267" s="219"/>
      <c r="AS267" s="219"/>
      <c r="AT267" s="219"/>
      <c r="AU267" s="219"/>
      <c r="AV267" s="219"/>
      <c r="AW267" s="219"/>
    </row>
    <row r="268" spans="1:49">
      <c r="A268" s="219"/>
      <c r="B268" s="219"/>
      <c r="C268" s="219"/>
      <c r="D268" s="219"/>
      <c r="E268" s="219"/>
      <c r="F268" s="219"/>
      <c r="G268" s="219"/>
      <c r="H268" s="219"/>
      <c r="I268" s="219"/>
      <c r="J268" s="219"/>
      <c r="K268" s="219"/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  <c r="AO268" s="219"/>
      <c r="AP268" s="219"/>
      <c r="AQ268" s="219"/>
      <c r="AR268" s="219"/>
      <c r="AS268" s="219"/>
      <c r="AT268" s="219"/>
      <c r="AU268" s="219"/>
      <c r="AV268" s="219"/>
      <c r="AW268" s="219"/>
    </row>
    <row r="269" spans="1:49">
      <c r="A269" s="219"/>
      <c r="B269" s="219"/>
      <c r="C269" s="219"/>
      <c r="D269" s="219"/>
      <c r="E269" s="219"/>
      <c r="F269" s="219"/>
      <c r="G269" s="219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219"/>
      <c r="AV269" s="219"/>
      <c r="AW269" s="219"/>
    </row>
    <row r="270" spans="1:49">
      <c r="A270" s="219"/>
      <c r="B270" s="219"/>
      <c r="C270" s="219"/>
      <c r="D270" s="219"/>
      <c r="E270" s="219"/>
      <c r="F270" s="219"/>
      <c r="G270" s="219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  <c r="AO270" s="219"/>
      <c r="AP270" s="219"/>
      <c r="AQ270" s="219"/>
      <c r="AR270" s="219"/>
      <c r="AS270" s="219"/>
      <c r="AT270" s="219"/>
      <c r="AU270" s="219"/>
      <c r="AV270" s="219"/>
      <c r="AW270" s="219"/>
    </row>
    <row r="271" spans="1:49">
      <c r="A271" s="219"/>
      <c r="B271" s="219"/>
      <c r="C271" s="219"/>
      <c r="D271" s="219"/>
      <c r="E271" s="219"/>
      <c r="F271" s="219"/>
      <c r="G271" s="219"/>
      <c r="H271" s="219"/>
      <c r="I271" s="219"/>
      <c r="J271" s="219"/>
      <c r="K271" s="219"/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219"/>
      <c r="AR271" s="219"/>
      <c r="AS271" s="219"/>
      <c r="AT271" s="219"/>
      <c r="AU271" s="219"/>
      <c r="AV271" s="219"/>
      <c r="AW271" s="219"/>
    </row>
    <row r="272" spans="1:49">
      <c r="A272" s="219"/>
      <c r="B272" s="219"/>
      <c r="C272" s="219"/>
      <c r="D272" s="219"/>
      <c r="E272" s="219"/>
      <c r="F272" s="219"/>
      <c r="G272" s="219"/>
      <c r="H272" s="219"/>
      <c r="I272" s="219"/>
      <c r="J272" s="219"/>
      <c r="K272" s="219"/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  <c r="AO272" s="219"/>
      <c r="AP272" s="219"/>
      <c r="AQ272" s="219"/>
      <c r="AR272" s="219"/>
      <c r="AS272" s="219"/>
      <c r="AT272" s="219"/>
      <c r="AU272" s="219"/>
      <c r="AV272" s="219"/>
      <c r="AW272" s="219"/>
    </row>
    <row r="273" spans="1:49">
      <c r="A273" s="219"/>
      <c r="B273" s="219"/>
      <c r="C273" s="219"/>
      <c r="D273" s="219"/>
      <c r="E273" s="219"/>
      <c r="F273" s="219"/>
      <c r="G273" s="219"/>
      <c r="H273" s="219"/>
      <c r="I273" s="219"/>
      <c r="J273" s="219"/>
      <c r="K273" s="219"/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  <c r="AO273" s="219"/>
      <c r="AP273" s="219"/>
      <c r="AQ273" s="219"/>
      <c r="AR273" s="219"/>
      <c r="AS273" s="219"/>
      <c r="AT273" s="219"/>
      <c r="AU273" s="219"/>
      <c r="AV273" s="219"/>
      <c r="AW273" s="219"/>
    </row>
    <row r="274" spans="1:49">
      <c r="A274" s="219"/>
      <c r="B274" s="219"/>
      <c r="C274" s="219"/>
      <c r="D274" s="219"/>
      <c r="E274" s="219"/>
      <c r="F274" s="219"/>
      <c r="G274" s="219"/>
      <c r="H274" s="219"/>
      <c r="I274" s="219"/>
      <c r="J274" s="219"/>
      <c r="K274" s="219"/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19"/>
      <c r="AL274" s="219"/>
      <c r="AM274" s="219"/>
      <c r="AN274" s="219"/>
      <c r="AO274" s="219"/>
      <c r="AP274" s="219"/>
      <c r="AQ274" s="219"/>
      <c r="AR274" s="219"/>
      <c r="AS274" s="219"/>
      <c r="AT274" s="219"/>
      <c r="AU274" s="219"/>
      <c r="AV274" s="219"/>
      <c r="AW274" s="219"/>
    </row>
    <row r="275" spans="1:49">
      <c r="A275" s="219"/>
      <c r="B275" s="219"/>
      <c r="C275" s="219"/>
      <c r="D275" s="219"/>
      <c r="E275" s="219"/>
      <c r="F275" s="219"/>
      <c r="G275" s="219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  <c r="AO275" s="219"/>
      <c r="AP275" s="219"/>
      <c r="AQ275" s="219"/>
      <c r="AR275" s="219"/>
      <c r="AS275" s="219"/>
      <c r="AT275" s="219"/>
      <c r="AU275" s="219"/>
      <c r="AV275" s="219"/>
      <c r="AW275" s="219"/>
    </row>
    <row r="276" spans="1:49">
      <c r="A276" s="219"/>
      <c r="B276" s="219"/>
      <c r="C276" s="219"/>
      <c r="D276" s="219"/>
      <c r="E276" s="219"/>
      <c r="F276" s="219"/>
      <c r="G276" s="219"/>
      <c r="H276" s="219"/>
      <c r="I276" s="219"/>
      <c r="J276" s="219"/>
      <c r="K276" s="219"/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  <c r="AO276" s="219"/>
      <c r="AP276" s="219"/>
      <c r="AQ276" s="219"/>
      <c r="AR276" s="219"/>
      <c r="AS276" s="219"/>
      <c r="AT276" s="219"/>
      <c r="AU276" s="219"/>
      <c r="AV276" s="219"/>
      <c r="AW276" s="219"/>
    </row>
    <row r="277" spans="1:49">
      <c r="A277" s="219"/>
      <c r="B277" s="219"/>
      <c r="C277" s="219"/>
      <c r="D277" s="219"/>
      <c r="E277" s="219"/>
      <c r="F277" s="219"/>
      <c r="G277" s="219"/>
      <c r="H277" s="219"/>
      <c r="I277" s="219"/>
      <c r="J277" s="219"/>
      <c r="K277" s="219"/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  <c r="AO277" s="219"/>
      <c r="AP277" s="219"/>
      <c r="AQ277" s="219"/>
      <c r="AR277" s="219"/>
      <c r="AS277" s="219"/>
      <c r="AT277" s="219"/>
      <c r="AU277" s="219"/>
      <c r="AV277" s="219"/>
      <c r="AW277" s="219"/>
    </row>
    <row r="278" spans="1:49">
      <c r="A278" s="219"/>
      <c r="B278" s="219"/>
      <c r="C278" s="219"/>
      <c r="D278" s="219"/>
      <c r="E278" s="219"/>
      <c r="F278" s="219"/>
      <c r="G278" s="219"/>
      <c r="H278" s="219"/>
      <c r="I278" s="219"/>
      <c r="J278" s="219"/>
      <c r="K278" s="219"/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19"/>
      <c r="AL278" s="219"/>
      <c r="AM278" s="219"/>
      <c r="AN278" s="219"/>
      <c r="AO278" s="219"/>
      <c r="AP278" s="219"/>
      <c r="AQ278" s="219"/>
      <c r="AR278" s="219"/>
      <c r="AS278" s="219"/>
      <c r="AT278" s="219"/>
      <c r="AU278" s="219"/>
      <c r="AV278" s="219"/>
      <c r="AW278" s="219"/>
    </row>
    <row r="279" spans="1:49">
      <c r="A279" s="219"/>
      <c r="B279" s="219"/>
      <c r="C279" s="219"/>
      <c r="D279" s="219"/>
      <c r="E279" s="219"/>
      <c r="F279" s="219"/>
      <c r="G279" s="219"/>
      <c r="H279" s="219"/>
      <c r="I279" s="219"/>
      <c r="J279" s="219"/>
      <c r="K279" s="219"/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19"/>
      <c r="AL279" s="219"/>
      <c r="AM279" s="219"/>
      <c r="AN279" s="219"/>
      <c r="AO279" s="219"/>
      <c r="AP279" s="219"/>
      <c r="AQ279" s="219"/>
      <c r="AR279" s="219"/>
      <c r="AS279" s="219"/>
      <c r="AT279" s="219"/>
      <c r="AU279" s="219"/>
      <c r="AV279" s="219"/>
      <c r="AW279" s="219"/>
    </row>
    <row r="280" spans="1:49">
      <c r="A280" s="219"/>
      <c r="B280" s="219"/>
      <c r="C280" s="219"/>
      <c r="D280" s="219"/>
      <c r="E280" s="219"/>
      <c r="F280" s="219"/>
      <c r="G280" s="219"/>
      <c r="H280" s="219"/>
      <c r="I280" s="219"/>
      <c r="J280" s="219"/>
      <c r="K280" s="219"/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  <c r="AO280" s="219"/>
      <c r="AP280" s="219"/>
      <c r="AQ280" s="219"/>
      <c r="AR280" s="219"/>
      <c r="AS280" s="219"/>
      <c r="AT280" s="219"/>
      <c r="AU280" s="219"/>
      <c r="AV280" s="219"/>
      <c r="AW280" s="219"/>
    </row>
    <row r="281" spans="1:49">
      <c r="A281" s="219"/>
      <c r="B281" s="219"/>
      <c r="C281" s="219"/>
      <c r="D281" s="219"/>
      <c r="E281" s="219"/>
      <c r="F281" s="219"/>
      <c r="G281" s="219"/>
      <c r="H281" s="219"/>
      <c r="I281" s="219"/>
      <c r="J281" s="219"/>
      <c r="K281" s="219"/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19"/>
      <c r="AL281" s="219"/>
      <c r="AM281" s="219"/>
      <c r="AN281" s="219"/>
      <c r="AO281" s="219"/>
      <c r="AP281" s="219"/>
      <c r="AQ281" s="219"/>
      <c r="AR281" s="219"/>
      <c r="AS281" s="219"/>
      <c r="AT281" s="219"/>
      <c r="AU281" s="219"/>
      <c r="AV281" s="219"/>
      <c r="AW281" s="219"/>
    </row>
    <row r="282" spans="1:49">
      <c r="A282" s="219"/>
      <c r="B282" s="219"/>
      <c r="C282" s="219"/>
      <c r="D282" s="219"/>
      <c r="E282" s="219"/>
      <c r="F282" s="219"/>
      <c r="G282" s="219"/>
      <c r="H282" s="219"/>
      <c r="I282" s="219"/>
      <c r="J282" s="219"/>
      <c r="K282" s="219"/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19"/>
      <c r="AL282" s="219"/>
      <c r="AM282" s="219"/>
      <c r="AN282" s="219"/>
      <c r="AO282" s="219"/>
      <c r="AP282" s="219"/>
      <c r="AQ282" s="219"/>
      <c r="AR282" s="219"/>
      <c r="AS282" s="219"/>
      <c r="AT282" s="219"/>
      <c r="AU282" s="219"/>
      <c r="AV282" s="219"/>
      <c r="AW282" s="219"/>
    </row>
    <row r="283" spans="1:49">
      <c r="A283" s="219"/>
      <c r="B283" s="219"/>
      <c r="C283" s="219"/>
      <c r="D283" s="219"/>
      <c r="E283" s="219"/>
      <c r="F283" s="219"/>
      <c r="G283" s="219"/>
      <c r="H283" s="219"/>
      <c r="I283" s="219"/>
      <c r="J283" s="219"/>
      <c r="K283" s="219"/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19"/>
      <c r="AL283" s="219"/>
      <c r="AM283" s="219"/>
      <c r="AN283" s="219"/>
      <c r="AO283" s="219"/>
      <c r="AP283" s="219"/>
      <c r="AQ283" s="219"/>
      <c r="AR283" s="219"/>
      <c r="AS283" s="219"/>
      <c r="AT283" s="219"/>
      <c r="AU283" s="219"/>
      <c r="AV283" s="219"/>
      <c r="AW283" s="219"/>
    </row>
    <row r="284" spans="1:49">
      <c r="A284" s="219"/>
      <c r="B284" s="219"/>
      <c r="C284" s="219"/>
      <c r="D284" s="219"/>
      <c r="E284" s="219"/>
      <c r="F284" s="219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19"/>
      <c r="AL284" s="219"/>
      <c r="AM284" s="219"/>
      <c r="AN284" s="219"/>
      <c r="AO284" s="219"/>
      <c r="AP284" s="219"/>
      <c r="AQ284" s="219"/>
      <c r="AR284" s="219"/>
      <c r="AS284" s="219"/>
      <c r="AT284" s="219"/>
      <c r="AU284" s="219"/>
      <c r="AV284" s="219"/>
      <c r="AW284" s="219"/>
    </row>
    <row r="285" spans="1:49">
      <c r="A285" s="219"/>
      <c r="B285" s="219"/>
      <c r="C285" s="219"/>
      <c r="D285" s="219"/>
      <c r="E285" s="219"/>
      <c r="F285" s="219"/>
      <c r="G285" s="219"/>
      <c r="H285" s="219"/>
      <c r="I285" s="219"/>
      <c r="J285" s="219"/>
      <c r="K285" s="219"/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19"/>
      <c r="AL285" s="219"/>
      <c r="AM285" s="219"/>
      <c r="AN285" s="219"/>
      <c r="AO285" s="219"/>
      <c r="AP285" s="219"/>
      <c r="AQ285" s="219"/>
      <c r="AR285" s="219"/>
      <c r="AS285" s="219"/>
      <c r="AT285" s="219"/>
      <c r="AU285" s="219"/>
      <c r="AV285" s="219"/>
      <c r="AW285" s="219"/>
    </row>
    <row r="286" spans="1:49">
      <c r="A286" s="219"/>
      <c r="B286" s="219"/>
      <c r="C286" s="219"/>
      <c r="D286" s="219"/>
      <c r="E286" s="219"/>
      <c r="F286" s="219"/>
      <c r="G286" s="219"/>
      <c r="H286" s="219"/>
      <c r="I286" s="219"/>
      <c r="J286" s="219"/>
      <c r="K286" s="219"/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19"/>
      <c r="AL286" s="219"/>
      <c r="AM286" s="219"/>
      <c r="AN286" s="219"/>
      <c r="AO286" s="219"/>
      <c r="AP286" s="219"/>
      <c r="AQ286" s="219"/>
      <c r="AR286" s="219"/>
      <c r="AS286" s="219"/>
      <c r="AT286" s="219"/>
      <c r="AU286" s="219"/>
      <c r="AV286" s="219"/>
      <c r="AW286" s="219"/>
    </row>
    <row r="287" spans="1:49">
      <c r="A287" s="219"/>
      <c r="B287" s="219"/>
      <c r="C287" s="219"/>
      <c r="D287" s="219"/>
      <c r="E287" s="219"/>
      <c r="F287" s="219"/>
      <c r="G287" s="219"/>
      <c r="H287" s="219"/>
      <c r="I287" s="219"/>
      <c r="J287" s="219"/>
      <c r="K287" s="219"/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19"/>
      <c r="AL287" s="219"/>
      <c r="AM287" s="219"/>
      <c r="AN287" s="219"/>
      <c r="AO287" s="219"/>
      <c r="AP287" s="219"/>
      <c r="AQ287" s="219"/>
      <c r="AR287" s="219"/>
      <c r="AS287" s="219"/>
      <c r="AT287" s="219"/>
      <c r="AU287" s="219"/>
      <c r="AV287" s="219"/>
      <c r="AW287" s="219"/>
    </row>
    <row r="288" spans="1:49">
      <c r="A288" s="219"/>
      <c r="B288" s="219"/>
      <c r="C288" s="219"/>
      <c r="D288" s="219"/>
      <c r="E288" s="219"/>
      <c r="F288" s="219"/>
      <c r="G288" s="219"/>
      <c r="H288" s="219"/>
      <c r="I288" s="219"/>
      <c r="J288" s="219"/>
      <c r="K288" s="219"/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19"/>
      <c r="AL288" s="219"/>
      <c r="AM288" s="219"/>
      <c r="AN288" s="219"/>
      <c r="AO288" s="219"/>
      <c r="AP288" s="219"/>
      <c r="AQ288" s="219"/>
      <c r="AR288" s="219"/>
      <c r="AS288" s="219"/>
      <c r="AT288" s="219"/>
      <c r="AU288" s="219"/>
      <c r="AV288" s="219"/>
      <c r="AW288" s="219"/>
    </row>
    <row r="289" spans="1:49">
      <c r="A289" s="219"/>
      <c r="B289" s="219"/>
      <c r="C289" s="219"/>
      <c r="D289" s="219"/>
      <c r="E289" s="219"/>
      <c r="F289" s="219"/>
      <c r="G289" s="219"/>
      <c r="H289" s="219"/>
      <c r="I289" s="219"/>
      <c r="J289" s="219"/>
      <c r="K289" s="219"/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19"/>
      <c r="AL289" s="219"/>
      <c r="AM289" s="219"/>
      <c r="AN289" s="219"/>
      <c r="AO289" s="219"/>
      <c r="AP289" s="219"/>
      <c r="AQ289" s="219"/>
      <c r="AR289" s="219"/>
      <c r="AS289" s="219"/>
      <c r="AT289" s="219"/>
      <c r="AU289" s="219"/>
      <c r="AV289" s="219"/>
      <c r="AW289" s="219"/>
    </row>
    <row r="290" spans="1:49">
      <c r="A290" s="219"/>
      <c r="B290" s="219"/>
      <c r="C290" s="219"/>
      <c r="D290" s="219"/>
      <c r="E290" s="219"/>
      <c r="F290" s="219"/>
      <c r="G290" s="219"/>
      <c r="H290" s="219"/>
      <c r="I290" s="219"/>
      <c r="J290" s="219"/>
      <c r="K290" s="219"/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19"/>
      <c r="AL290" s="219"/>
      <c r="AM290" s="219"/>
      <c r="AN290" s="219"/>
      <c r="AO290" s="219"/>
      <c r="AP290" s="219"/>
      <c r="AQ290" s="219"/>
      <c r="AR290" s="219"/>
      <c r="AS290" s="219"/>
      <c r="AT290" s="219"/>
      <c r="AU290" s="219"/>
      <c r="AV290" s="219"/>
      <c r="AW290" s="219"/>
    </row>
    <row r="291" spans="1:49">
      <c r="A291" s="219"/>
      <c r="B291" s="219"/>
      <c r="C291" s="219"/>
      <c r="D291" s="219"/>
      <c r="E291" s="219"/>
      <c r="F291" s="219"/>
      <c r="G291" s="219"/>
      <c r="H291" s="219"/>
      <c r="I291" s="219"/>
      <c r="J291" s="219"/>
      <c r="K291" s="219"/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19"/>
      <c r="AL291" s="219"/>
      <c r="AM291" s="219"/>
      <c r="AN291" s="219"/>
      <c r="AO291" s="219"/>
      <c r="AP291" s="219"/>
      <c r="AQ291" s="219"/>
      <c r="AR291" s="219"/>
      <c r="AS291" s="219"/>
      <c r="AT291" s="219"/>
      <c r="AU291" s="219"/>
      <c r="AV291" s="219"/>
      <c r="AW291" s="219"/>
    </row>
    <row r="292" spans="1:49">
      <c r="A292" s="219"/>
      <c r="B292" s="219"/>
      <c r="C292" s="219"/>
      <c r="D292" s="219"/>
      <c r="E292" s="219"/>
      <c r="F292" s="219"/>
      <c r="G292" s="219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19"/>
      <c r="AL292" s="219"/>
      <c r="AM292" s="219"/>
      <c r="AN292" s="219"/>
      <c r="AO292" s="219"/>
      <c r="AP292" s="219"/>
      <c r="AQ292" s="219"/>
      <c r="AR292" s="219"/>
      <c r="AS292" s="219"/>
      <c r="AT292" s="219"/>
      <c r="AU292" s="219"/>
      <c r="AV292" s="219"/>
      <c r="AW292" s="219"/>
    </row>
    <row r="293" spans="1:49">
      <c r="A293" s="219"/>
      <c r="B293" s="219"/>
      <c r="C293" s="219"/>
      <c r="D293" s="219"/>
      <c r="E293" s="219"/>
      <c r="F293" s="219"/>
      <c r="G293" s="219"/>
      <c r="H293" s="219"/>
      <c r="I293" s="219"/>
      <c r="J293" s="219"/>
      <c r="K293" s="219"/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19"/>
      <c r="AL293" s="219"/>
      <c r="AM293" s="219"/>
      <c r="AN293" s="219"/>
      <c r="AO293" s="219"/>
      <c r="AP293" s="219"/>
      <c r="AQ293" s="219"/>
      <c r="AR293" s="219"/>
      <c r="AS293" s="219"/>
      <c r="AT293" s="219"/>
      <c r="AU293" s="219"/>
      <c r="AV293" s="219"/>
      <c r="AW293" s="219"/>
    </row>
    <row r="294" spans="1:49">
      <c r="A294" s="219"/>
      <c r="B294" s="219"/>
      <c r="C294" s="219"/>
      <c r="D294" s="219"/>
      <c r="E294" s="219"/>
      <c r="F294" s="219"/>
      <c r="G294" s="219"/>
      <c r="H294" s="219"/>
      <c r="I294" s="219"/>
      <c r="J294" s="219"/>
      <c r="K294" s="219"/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19"/>
      <c r="AL294" s="219"/>
      <c r="AM294" s="219"/>
      <c r="AN294" s="219"/>
      <c r="AO294" s="219"/>
      <c r="AP294" s="219"/>
      <c r="AQ294" s="219"/>
      <c r="AR294" s="219"/>
      <c r="AS294" s="219"/>
      <c r="AT294" s="219"/>
      <c r="AU294" s="219"/>
      <c r="AV294" s="219"/>
      <c r="AW294" s="219"/>
    </row>
    <row r="295" spans="1:49">
      <c r="A295" s="219"/>
      <c r="B295" s="219"/>
      <c r="C295" s="219"/>
      <c r="D295" s="219"/>
      <c r="E295" s="219"/>
      <c r="F295" s="219"/>
      <c r="G295" s="219"/>
      <c r="H295" s="219"/>
      <c r="I295" s="219"/>
      <c r="J295" s="219"/>
      <c r="K295" s="219"/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19"/>
      <c r="AL295" s="219"/>
      <c r="AM295" s="219"/>
      <c r="AN295" s="219"/>
      <c r="AO295" s="219"/>
      <c r="AP295" s="219"/>
      <c r="AQ295" s="219"/>
      <c r="AR295" s="219"/>
      <c r="AS295" s="219"/>
      <c r="AT295" s="219"/>
      <c r="AU295" s="219"/>
      <c r="AV295" s="219"/>
      <c r="AW295" s="219"/>
    </row>
    <row r="296" spans="1:49">
      <c r="A296" s="219"/>
      <c r="B296" s="219"/>
      <c r="C296" s="219"/>
      <c r="D296" s="219"/>
      <c r="E296" s="219"/>
      <c r="F296" s="219"/>
      <c r="G296" s="219"/>
      <c r="H296" s="219"/>
      <c r="I296" s="219"/>
      <c r="J296" s="219"/>
      <c r="K296" s="219"/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19"/>
      <c r="AL296" s="219"/>
      <c r="AM296" s="219"/>
      <c r="AN296" s="219"/>
      <c r="AO296" s="219"/>
      <c r="AP296" s="219"/>
      <c r="AQ296" s="219"/>
      <c r="AR296" s="219"/>
      <c r="AS296" s="219"/>
      <c r="AT296" s="219"/>
      <c r="AU296" s="219"/>
      <c r="AV296" s="219"/>
      <c r="AW296" s="219"/>
    </row>
    <row r="297" spans="1:49">
      <c r="A297" s="219"/>
      <c r="B297" s="219"/>
      <c r="C297" s="219"/>
      <c r="D297" s="219"/>
      <c r="E297" s="219"/>
      <c r="F297" s="219"/>
      <c r="G297" s="219"/>
      <c r="H297" s="219"/>
      <c r="I297" s="219"/>
      <c r="J297" s="219"/>
      <c r="K297" s="219"/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219"/>
      <c r="AR297" s="219"/>
      <c r="AS297" s="219"/>
      <c r="AT297" s="219"/>
      <c r="AU297" s="219"/>
      <c r="AV297" s="219"/>
      <c r="AW297" s="219"/>
    </row>
    <row r="298" spans="1:49">
      <c r="A298" s="219"/>
      <c r="B298" s="219"/>
      <c r="C298" s="219"/>
      <c r="D298" s="219"/>
      <c r="E298" s="219"/>
      <c r="F298" s="219"/>
      <c r="G298" s="219"/>
      <c r="H298" s="219"/>
      <c r="I298" s="219"/>
      <c r="J298" s="219"/>
      <c r="K298" s="219"/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  <c r="AO298" s="219"/>
      <c r="AP298" s="219"/>
      <c r="AQ298" s="219"/>
      <c r="AR298" s="219"/>
      <c r="AS298" s="219"/>
      <c r="AT298" s="219"/>
      <c r="AU298" s="219"/>
      <c r="AV298" s="219"/>
      <c r="AW298" s="219"/>
    </row>
    <row r="299" spans="1:49">
      <c r="A299" s="219"/>
      <c r="B299" s="219"/>
      <c r="C299" s="219"/>
      <c r="D299" s="219"/>
      <c r="E299" s="219"/>
      <c r="F299" s="219"/>
      <c r="G299" s="219"/>
      <c r="H299" s="219"/>
      <c r="I299" s="219"/>
      <c r="J299" s="219"/>
      <c r="K299" s="219"/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  <c r="AO299" s="219"/>
      <c r="AP299" s="219"/>
      <c r="AQ299" s="219"/>
      <c r="AR299" s="219"/>
      <c r="AS299" s="219"/>
      <c r="AT299" s="219"/>
      <c r="AU299" s="219"/>
      <c r="AV299" s="219"/>
      <c r="AW299" s="219"/>
    </row>
    <row r="300" spans="1:49">
      <c r="A300" s="219"/>
      <c r="B300" s="219"/>
      <c r="C300" s="219"/>
      <c r="D300" s="219"/>
      <c r="E300" s="219"/>
      <c r="F300" s="219"/>
      <c r="G300" s="219"/>
      <c r="H300" s="219"/>
      <c r="I300" s="219"/>
      <c r="J300" s="219"/>
      <c r="K300" s="219"/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  <c r="AO300" s="219"/>
      <c r="AP300" s="219"/>
      <c r="AQ300" s="219"/>
      <c r="AR300" s="219"/>
      <c r="AS300" s="219"/>
      <c r="AT300" s="219"/>
      <c r="AU300" s="219"/>
      <c r="AV300" s="219"/>
      <c r="AW300" s="219"/>
    </row>
    <row r="301" spans="1:49">
      <c r="A301" s="219"/>
      <c r="B301" s="219"/>
      <c r="C301" s="219"/>
      <c r="D301" s="219"/>
      <c r="E301" s="219"/>
      <c r="F301" s="219"/>
      <c r="G301" s="219"/>
      <c r="H301" s="219"/>
      <c r="I301" s="219"/>
      <c r="J301" s="219"/>
      <c r="K301" s="219"/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  <c r="AO301" s="219"/>
      <c r="AP301" s="219"/>
      <c r="AQ301" s="219"/>
      <c r="AR301" s="219"/>
      <c r="AS301" s="219"/>
      <c r="AT301" s="219"/>
      <c r="AU301" s="219"/>
      <c r="AV301" s="219"/>
      <c r="AW301" s="219"/>
    </row>
    <row r="302" spans="1:49">
      <c r="A302" s="219"/>
      <c r="B302" s="219"/>
      <c r="C302" s="219"/>
      <c r="D302" s="219"/>
      <c r="E302" s="219"/>
      <c r="F302" s="219"/>
      <c r="G302" s="219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  <c r="AO302" s="219"/>
      <c r="AP302" s="219"/>
      <c r="AQ302" s="219"/>
      <c r="AR302" s="219"/>
      <c r="AS302" s="219"/>
      <c r="AT302" s="219"/>
      <c r="AU302" s="219"/>
      <c r="AV302" s="219"/>
      <c r="AW302" s="219"/>
    </row>
    <row r="303" spans="1:49">
      <c r="A303" s="219"/>
      <c r="B303" s="219"/>
      <c r="C303" s="219"/>
      <c r="D303" s="219"/>
      <c r="E303" s="219"/>
      <c r="F303" s="219"/>
      <c r="G303" s="219"/>
      <c r="H303" s="219"/>
      <c r="I303" s="219"/>
      <c r="J303" s="219"/>
      <c r="K303" s="219"/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  <c r="AO303" s="219"/>
      <c r="AP303" s="219"/>
      <c r="AQ303" s="219"/>
      <c r="AR303" s="219"/>
      <c r="AS303" s="219"/>
      <c r="AT303" s="219"/>
      <c r="AU303" s="219"/>
      <c r="AV303" s="219"/>
      <c r="AW303" s="219"/>
    </row>
    <row r="304" spans="1:49">
      <c r="A304" s="219"/>
      <c r="B304" s="219"/>
      <c r="C304" s="219"/>
      <c r="D304" s="219"/>
      <c r="E304" s="219"/>
      <c r="F304" s="219"/>
      <c r="G304" s="219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  <c r="AO304" s="219"/>
      <c r="AP304" s="219"/>
      <c r="AQ304" s="219"/>
      <c r="AR304" s="219"/>
      <c r="AS304" s="219"/>
      <c r="AT304" s="219"/>
      <c r="AU304" s="219"/>
      <c r="AV304" s="219"/>
      <c r="AW304" s="219"/>
    </row>
    <row r="305" spans="1:49">
      <c r="A305" s="219"/>
      <c r="B305" s="219"/>
      <c r="C305" s="219"/>
      <c r="D305" s="219"/>
      <c r="E305" s="219"/>
      <c r="F305" s="219"/>
      <c r="G305" s="219"/>
      <c r="H305" s="219"/>
      <c r="I305" s="219"/>
      <c r="J305" s="219"/>
      <c r="K305" s="219"/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  <c r="AO305" s="219"/>
      <c r="AP305" s="219"/>
      <c r="AQ305" s="219"/>
      <c r="AR305" s="219"/>
      <c r="AS305" s="219"/>
      <c r="AT305" s="219"/>
      <c r="AU305" s="219"/>
      <c r="AV305" s="219"/>
      <c r="AW305" s="219"/>
    </row>
    <row r="306" spans="1:49">
      <c r="A306" s="219"/>
      <c r="B306" s="219"/>
      <c r="C306" s="219"/>
      <c r="D306" s="219"/>
      <c r="E306" s="219"/>
      <c r="F306" s="219"/>
      <c r="G306" s="219"/>
      <c r="H306" s="219"/>
      <c r="I306" s="219"/>
      <c r="J306" s="219"/>
      <c r="K306" s="219"/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  <c r="AO306" s="219"/>
      <c r="AP306" s="219"/>
      <c r="AQ306" s="219"/>
      <c r="AR306" s="219"/>
      <c r="AS306" s="219"/>
      <c r="AT306" s="219"/>
      <c r="AU306" s="219"/>
      <c r="AV306" s="219"/>
      <c r="AW306" s="219"/>
    </row>
    <row r="307" spans="1:49">
      <c r="A307" s="219"/>
      <c r="B307" s="219"/>
      <c r="C307" s="219"/>
      <c r="D307" s="219"/>
      <c r="E307" s="219"/>
      <c r="F307" s="219"/>
      <c r="G307" s="219"/>
      <c r="H307" s="219"/>
      <c r="I307" s="219"/>
      <c r="J307" s="219"/>
      <c r="K307" s="219"/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  <c r="AO307" s="219"/>
      <c r="AP307" s="219"/>
      <c r="AQ307" s="219"/>
      <c r="AR307" s="219"/>
      <c r="AS307" s="219"/>
      <c r="AT307" s="219"/>
      <c r="AU307" s="219"/>
      <c r="AV307" s="219"/>
      <c r="AW307" s="219"/>
    </row>
    <row r="308" spans="1:49">
      <c r="A308" s="219"/>
      <c r="B308" s="219"/>
      <c r="C308" s="219"/>
      <c r="D308" s="219"/>
      <c r="E308" s="219"/>
      <c r="F308" s="219"/>
      <c r="G308" s="219"/>
      <c r="H308" s="219"/>
      <c r="I308" s="219"/>
      <c r="J308" s="219"/>
      <c r="K308" s="219"/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  <c r="AO308" s="219"/>
      <c r="AP308" s="219"/>
      <c r="AQ308" s="219"/>
      <c r="AR308" s="219"/>
      <c r="AS308" s="219"/>
      <c r="AT308" s="219"/>
      <c r="AU308" s="219"/>
      <c r="AV308" s="219"/>
      <c r="AW308" s="219"/>
    </row>
    <row r="309" spans="1:49">
      <c r="A309" s="219"/>
      <c r="B309" s="219"/>
      <c r="C309" s="219"/>
      <c r="D309" s="219"/>
      <c r="E309" s="219"/>
      <c r="F309" s="219"/>
      <c r="G309" s="219"/>
      <c r="H309" s="219"/>
      <c r="I309" s="219"/>
      <c r="J309" s="219"/>
      <c r="K309" s="219"/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  <c r="AO309" s="219"/>
      <c r="AP309" s="219"/>
      <c r="AQ309" s="219"/>
      <c r="AR309" s="219"/>
      <c r="AS309" s="219"/>
      <c r="AT309" s="219"/>
      <c r="AU309" s="219"/>
      <c r="AV309" s="219"/>
      <c r="AW309" s="219"/>
    </row>
    <row r="310" spans="1:49">
      <c r="A310" s="219"/>
      <c r="B310" s="219"/>
      <c r="C310" s="219"/>
      <c r="D310" s="219"/>
      <c r="E310" s="219"/>
      <c r="F310" s="219"/>
      <c r="G310" s="219"/>
      <c r="H310" s="219"/>
      <c r="I310" s="219"/>
      <c r="J310" s="219"/>
      <c r="K310" s="219"/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  <c r="AO310" s="219"/>
      <c r="AP310" s="219"/>
      <c r="AQ310" s="219"/>
      <c r="AR310" s="219"/>
      <c r="AS310" s="219"/>
      <c r="AT310" s="219"/>
      <c r="AU310" s="219"/>
      <c r="AV310" s="219"/>
      <c r="AW310" s="219"/>
    </row>
    <row r="311" spans="1:49">
      <c r="A311" s="219"/>
      <c r="B311" s="219"/>
      <c r="C311" s="219"/>
      <c r="D311" s="219"/>
      <c r="E311" s="219"/>
      <c r="F311" s="219"/>
      <c r="G311" s="219"/>
      <c r="H311" s="219"/>
      <c r="I311" s="219"/>
      <c r="J311" s="219"/>
      <c r="K311" s="219"/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219"/>
      <c r="AV311" s="219"/>
      <c r="AW311" s="219"/>
    </row>
    <row r="312" spans="1:49">
      <c r="A312" s="219"/>
      <c r="B312" s="219"/>
      <c r="C312" s="219"/>
      <c r="D312" s="219"/>
      <c r="E312" s="219"/>
      <c r="F312" s="219"/>
      <c r="G312" s="219"/>
      <c r="H312" s="219"/>
      <c r="I312" s="219"/>
      <c r="J312" s="219"/>
      <c r="K312" s="219"/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  <c r="AO312" s="219"/>
      <c r="AP312" s="219"/>
      <c r="AQ312" s="219"/>
      <c r="AR312" s="219"/>
      <c r="AS312" s="219"/>
      <c r="AT312" s="219"/>
      <c r="AU312" s="219"/>
      <c r="AV312" s="219"/>
      <c r="AW312" s="219"/>
    </row>
    <row r="313" spans="1:49">
      <c r="A313" s="219"/>
      <c r="B313" s="219"/>
      <c r="C313" s="219"/>
      <c r="D313" s="219"/>
      <c r="E313" s="219"/>
      <c r="F313" s="219"/>
      <c r="G313" s="219"/>
      <c r="H313" s="219"/>
      <c r="I313" s="219"/>
      <c r="J313" s="219"/>
      <c r="K313" s="219"/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  <c r="AO313" s="219"/>
      <c r="AP313" s="219"/>
      <c r="AQ313" s="219"/>
      <c r="AR313" s="219"/>
      <c r="AS313" s="219"/>
      <c r="AT313" s="219"/>
      <c r="AU313" s="219"/>
      <c r="AV313" s="219"/>
      <c r="AW313" s="219"/>
    </row>
    <row r="314" spans="1:49">
      <c r="A314" s="219"/>
      <c r="B314" s="219"/>
      <c r="C314" s="219"/>
      <c r="D314" s="219"/>
      <c r="E314" s="219"/>
      <c r="F314" s="219"/>
      <c r="G314" s="219"/>
      <c r="H314" s="219"/>
      <c r="I314" s="219"/>
      <c r="J314" s="219"/>
      <c r="K314" s="219"/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19"/>
      <c r="AL314" s="219"/>
      <c r="AM314" s="219"/>
      <c r="AN314" s="219"/>
      <c r="AO314" s="219"/>
      <c r="AP314" s="219"/>
      <c r="AQ314" s="219"/>
      <c r="AR314" s="219"/>
      <c r="AS314" s="219"/>
      <c r="AT314" s="219"/>
      <c r="AU314" s="219"/>
      <c r="AV314" s="219"/>
      <c r="AW314" s="219"/>
    </row>
    <row r="315" spans="1:49">
      <c r="A315" s="219"/>
      <c r="B315" s="219"/>
      <c r="C315" s="219"/>
      <c r="D315" s="219"/>
      <c r="E315" s="219"/>
      <c r="F315" s="219"/>
      <c r="G315" s="219"/>
      <c r="H315" s="219"/>
      <c r="I315" s="219"/>
      <c r="J315" s="219"/>
      <c r="K315" s="219"/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19"/>
      <c r="Z315" s="219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19"/>
      <c r="AL315" s="219"/>
      <c r="AM315" s="219"/>
      <c r="AN315" s="219"/>
      <c r="AO315" s="219"/>
      <c r="AP315" s="219"/>
      <c r="AQ315" s="219"/>
      <c r="AR315" s="219"/>
      <c r="AS315" s="219"/>
      <c r="AT315" s="219"/>
      <c r="AU315" s="219"/>
      <c r="AV315" s="219"/>
      <c r="AW315" s="219"/>
    </row>
    <row r="316" spans="1:49">
      <c r="A316" s="219"/>
      <c r="B316" s="219"/>
      <c r="C316" s="219"/>
      <c r="D316" s="219"/>
      <c r="E316" s="219"/>
      <c r="F316" s="219"/>
      <c r="G316" s="219"/>
      <c r="H316" s="219"/>
      <c r="I316" s="219"/>
      <c r="J316" s="219"/>
      <c r="K316" s="219"/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19"/>
      <c r="Z316" s="219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19"/>
      <c r="AL316" s="219"/>
      <c r="AM316" s="219"/>
      <c r="AN316" s="219"/>
      <c r="AO316" s="219"/>
      <c r="AP316" s="219"/>
      <c r="AQ316" s="219"/>
      <c r="AR316" s="219"/>
      <c r="AS316" s="219"/>
      <c r="AT316" s="219"/>
      <c r="AU316" s="219"/>
      <c r="AV316" s="219"/>
      <c r="AW316" s="219"/>
    </row>
    <row r="317" spans="1:49">
      <c r="A317" s="219"/>
      <c r="B317" s="219"/>
      <c r="C317" s="219"/>
      <c r="D317" s="219"/>
      <c r="E317" s="219"/>
      <c r="F317" s="219"/>
      <c r="G317" s="219"/>
      <c r="H317" s="219"/>
      <c r="I317" s="219"/>
      <c r="J317" s="219"/>
      <c r="K317" s="219"/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19"/>
      <c r="AL317" s="219"/>
      <c r="AM317" s="219"/>
      <c r="AN317" s="219"/>
      <c r="AO317" s="219"/>
      <c r="AP317" s="219"/>
      <c r="AQ317" s="219"/>
      <c r="AR317" s="219"/>
      <c r="AS317" s="219"/>
      <c r="AT317" s="219"/>
      <c r="AU317" s="219"/>
      <c r="AV317" s="219"/>
      <c r="AW317" s="219"/>
    </row>
    <row r="318" spans="1:49">
      <c r="A318" s="219"/>
      <c r="B318" s="219"/>
      <c r="C318" s="219"/>
      <c r="D318" s="219"/>
      <c r="E318" s="219"/>
      <c r="F318" s="219"/>
      <c r="G318" s="219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  <c r="AO318" s="219"/>
      <c r="AP318" s="219"/>
      <c r="AQ318" s="219"/>
      <c r="AR318" s="219"/>
      <c r="AS318" s="219"/>
      <c r="AT318" s="219"/>
      <c r="AU318" s="219"/>
      <c r="AV318" s="219"/>
      <c r="AW318" s="219"/>
    </row>
    <row r="319" spans="1:49">
      <c r="A319" s="219"/>
      <c r="B319" s="219"/>
      <c r="C319" s="219"/>
      <c r="D319" s="219"/>
      <c r="E319" s="219"/>
      <c r="F319" s="219"/>
      <c r="G319" s="219"/>
      <c r="H319" s="219"/>
      <c r="I319" s="219"/>
      <c r="J319" s="219"/>
      <c r="K319" s="219"/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  <c r="AO319" s="219"/>
      <c r="AP319" s="219"/>
      <c r="AQ319" s="219"/>
      <c r="AR319" s="219"/>
      <c r="AS319" s="219"/>
      <c r="AT319" s="219"/>
      <c r="AU319" s="219"/>
      <c r="AV319" s="219"/>
      <c r="AW319" s="219"/>
    </row>
    <row r="320" spans="1:49">
      <c r="A320" s="219"/>
      <c r="B320" s="219"/>
      <c r="C320" s="219"/>
      <c r="D320" s="219"/>
      <c r="E320" s="219"/>
      <c r="F320" s="219"/>
      <c r="G320" s="219"/>
      <c r="H320" s="219"/>
      <c r="I320" s="219"/>
      <c r="J320" s="219"/>
      <c r="K320" s="219"/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19"/>
      <c r="Z320" s="219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19"/>
      <c r="AL320" s="219"/>
      <c r="AM320" s="219"/>
      <c r="AN320" s="219"/>
      <c r="AO320" s="219"/>
      <c r="AP320" s="219"/>
      <c r="AQ320" s="219"/>
      <c r="AR320" s="219"/>
      <c r="AS320" s="219"/>
      <c r="AT320" s="219"/>
      <c r="AU320" s="219"/>
      <c r="AV320" s="219"/>
      <c r="AW320" s="219"/>
    </row>
    <row r="321" spans="1:49">
      <c r="A321" s="219"/>
      <c r="B321" s="219"/>
      <c r="C321" s="219"/>
      <c r="D321" s="219"/>
      <c r="E321" s="219"/>
      <c r="F321" s="219"/>
      <c r="G321" s="219"/>
      <c r="H321" s="219"/>
      <c r="I321" s="219"/>
      <c r="J321" s="219"/>
      <c r="K321" s="219"/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19"/>
      <c r="Z321" s="219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19"/>
      <c r="AL321" s="219"/>
      <c r="AM321" s="219"/>
      <c r="AN321" s="219"/>
      <c r="AO321" s="219"/>
      <c r="AP321" s="219"/>
      <c r="AQ321" s="219"/>
      <c r="AR321" s="219"/>
      <c r="AS321" s="219"/>
      <c r="AT321" s="219"/>
      <c r="AU321" s="219"/>
      <c r="AV321" s="219"/>
      <c r="AW321" s="219"/>
    </row>
    <row r="322" spans="1:49">
      <c r="A322" s="219"/>
      <c r="B322" s="219"/>
      <c r="C322" s="219"/>
      <c r="D322" s="219"/>
      <c r="E322" s="219"/>
      <c r="F322" s="219"/>
      <c r="G322" s="219"/>
      <c r="H322" s="219"/>
      <c r="I322" s="219"/>
      <c r="J322" s="219"/>
      <c r="K322" s="219"/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19"/>
      <c r="AL322" s="219"/>
      <c r="AM322" s="219"/>
      <c r="AN322" s="219"/>
      <c r="AO322" s="219"/>
      <c r="AP322" s="219"/>
      <c r="AQ322" s="219"/>
      <c r="AR322" s="219"/>
      <c r="AS322" s="219"/>
      <c r="AT322" s="219"/>
      <c r="AU322" s="219"/>
      <c r="AV322" s="219"/>
      <c r="AW322" s="219"/>
    </row>
    <row r="323" spans="1:49">
      <c r="A323" s="219"/>
      <c r="B323" s="219"/>
      <c r="C323" s="219"/>
      <c r="D323" s="219"/>
      <c r="E323" s="219"/>
      <c r="F323" s="219"/>
      <c r="G323" s="219"/>
      <c r="H323" s="219"/>
      <c r="I323" s="219"/>
      <c r="J323" s="219"/>
      <c r="K323" s="219"/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19"/>
      <c r="Z323" s="219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19"/>
      <c r="AL323" s="219"/>
      <c r="AM323" s="219"/>
      <c r="AN323" s="219"/>
      <c r="AO323" s="219"/>
      <c r="AP323" s="219"/>
      <c r="AQ323" s="219"/>
      <c r="AR323" s="219"/>
      <c r="AS323" s="219"/>
      <c r="AT323" s="219"/>
      <c r="AU323" s="219"/>
      <c r="AV323" s="219"/>
      <c r="AW323" s="219"/>
    </row>
    <row r="324" spans="1:49">
      <c r="A324" s="219"/>
      <c r="B324" s="219"/>
      <c r="C324" s="219"/>
      <c r="D324" s="219"/>
      <c r="E324" s="219"/>
      <c r="F324" s="219"/>
      <c r="G324" s="219"/>
      <c r="H324" s="219"/>
      <c r="I324" s="219"/>
      <c r="J324" s="219"/>
      <c r="K324" s="219"/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19"/>
      <c r="AL324" s="219"/>
      <c r="AM324" s="219"/>
      <c r="AN324" s="219"/>
      <c r="AO324" s="219"/>
      <c r="AP324" s="219"/>
      <c r="AQ324" s="219"/>
      <c r="AR324" s="219"/>
      <c r="AS324" s="219"/>
      <c r="AT324" s="219"/>
      <c r="AU324" s="219"/>
      <c r="AV324" s="219"/>
      <c r="AW324" s="219"/>
    </row>
    <row r="325" spans="1:49">
      <c r="A325" s="219"/>
      <c r="B325" s="219"/>
      <c r="C325" s="219"/>
      <c r="D325" s="219"/>
      <c r="E325" s="219"/>
      <c r="F325" s="219"/>
      <c r="G325" s="219"/>
      <c r="H325" s="219"/>
      <c r="I325" s="219"/>
      <c r="J325" s="219"/>
      <c r="K325" s="219"/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19"/>
      <c r="AL325" s="219"/>
      <c r="AM325" s="219"/>
      <c r="AN325" s="219"/>
      <c r="AO325" s="219"/>
      <c r="AP325" s="219"/>
      <c r="AQ325" s="219"/>
      <c r="AR325" s="219"/>
      <c r="AS325" s="219"/>
      <c r="AT325" s="219"/>
      <c r="AU325" s="219"/>
      <c r="AV325" s="219"/>
      <c r="AW325" s="219"/>
    </row>
    <row r="326" spans="1:49">
      <c r="A326" s="219"/>
      <c r="B326" s="219"/>
      <c r="C326" s="219"/>
      <c r="D326" s="219"/>
      <c r="E326" s="219"/>
      <c r="F326" s="219"/>
      <c r="G326" s="219"/>
      <c r="H326" s="219"/>
      <c r="I326" s="219"/>
      <c r="J326" s="219"/>
      <c r="K326" s="219"/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19"/>
      <c r="AL326" s="219"/>
      <c r="AM326" s="219"/>
      <c r="AN326" s="219"/>
      <c r="AO326" s="219"/>
      <c r="AP326" s="219"/>
      <c r="AQ326" s="219"/>
      <c r="AR326" s="219"/>
      <c r="AS326" s="219"/>
      <c r="AT326" s="219"/>
      <c r="AU326" s="219"/>
      <c r="AV326" s="219"/>
      <c r="AW326" s="219"/>
    </row>
    <row r="327" spans="1:49">
      <c r="A327" s="219"/>
      <c r="B327" s="219"/>
      <c r="C327" s="219"/>
      <c r="D327" s="219"/>
      <c r="E327" s="219"/>
      <c r="F327" s="219"/>
      <c r="G327" s="219"/>
      <c r="H327" s="219"/>
      <c r="I327" s="219"/>
      <c r="J327" s="219"/>
      <c r="K327" s="219"/>
      <c r="L327" s="219"/>
      <c r="M327" s="219"/>
      <c r="N327" s="219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19"/>
      <c r="AL327" s="219"/>
      <c r="AM327" s="219"/>
      <c r="AN327" s="219"/>
      <c r="AO327" s="219"/>
      <c r="AP327" s="219"/>
      <c r="AQ327" s="219"/>
      <c r="AR327" s="219"/>
      <c r="AS327" s="219"/>
      <c r="AT327" s="219"/>
      <c r="AU327" s="219"/>
      <c r="AV327" s="219"/>
      <c r="AW327" s="219"/>
    </row>
    <row r="328" spans="1:49">
      <c r="A328" s="219"/>
      <c r="B328" s="219"/>
      <c r="C328" s="219"/>
      <c r="D328" s="219"/>
      <c r="E328" s="219"/>
      <c r="F328" s="219"/>
      <c r="G328" s="219"/>
      <c r="H328" s="219"/>
      <c r="I328" s="219"/>
      <c r="J328" s="219"/>
      <c r="K328" s="219"/>
      <c r="L328" s="219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19"/>
      <c r="AL328" s="219"/>
      <c r="AM328" s="219"/>
      <c r="AN328" s="219"/>
      <c r="AO328" s="219"/>
      <c r="AP328" s="219"/>
      <c r="AQ328" s="219"/>
      <c r="AR328" s="219"/>
      <c r="AS328" s="219"/>
      <c r="AT328" s="219"/>
      <c r="AU328" s="219"/>
      <c r="AV328" s="219"/>
      <c r="AW328" s="219"/>
    </row>
    <row r="329" spans="1:49">
      <c r="A329" s="219"/>
      <c r="B329" s="219"/>
      <c r="C329" s="219"/>
      <c r="D329" s="219"/>
      <c r="E329" s="219"/>
      <c r="F329" s="219"/>
      <c r="G329" s="219"/>
      <c r="H329" s="219"/>
      <c r="I329" s="219"/>
      <c r="J329" s="219"/>
      <c r="K329" s="219"/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19"/>
      <c r="Z329" s="219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19"/>
      <c r="AL329" s="219"/>
      <c r="AM329" s="219"/>
      <c r="AN329" s="219"/>
      <c r="AO329" s="219"/>
      <c r="AP329" s="219"/>
      <c r="AQ329" s="219"/>
      <c r="AR329" s="219"/>
      <c r="AS329" s="219"/>
      <c r="AT329" s="219"/>
      <c r="AU329" s="219"/>
      <c r="AV329" s="219"/>
      <c r="AW329" s="219"/>
    </row>
    <row r="330" spans="1:49">
      <c r="A330" s="219"/>
      <c r="B330" s="219"/>
      <c r="C330" s="219"/>
      <c r="D330" s="219"/>
      <c r="E330" s="219"/>
      <c r="F330" s="219"/>
      <c r="G330" s="219"/>
      <c r="H330" s="219"/>
      <c r="I330" s="219"/>
      <c r="J330" s="219"/>
      <c r="K330" s="219"/>
      <c r="L330" s="219"/>
      <c r="M330" s="219"/>
      <c r="N330" s="219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19"/>
      <c r="Z330" s="219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19"/>
      <c r="AL330" s="219"/>
      <c r="AM330" s="219"/>
      <c r="AN330" s="219"/>
      <c r="AO330" s="219"/>
      <c r="AP330" s="219"/>
      <c r="AQ330" s="219"/>
      <c r="AR330" s="219"/>
      <c r="AS330" s="219"/>
      <c r="AT330" s="219"/>
      <c r="AU330" s="219"/>
      <c r="AV330" s="219"/>
      <c r="AW330" s="219"/>
    </row>
    <row r="331" spans="1:49">
      <c r="A331" s="219"/>
      <c r="B331" s="219"/>
      <c r="C331" s="219"/>
      <c r="D331" s="219"/>
      <c r="E331" s="219"/>
      <c r="F331" s="219"/>
      <c r="G331" s="219"/>
      <c r="H331" s="219"/>
      <c r="I331" s="219"/>
      <c r="J331" s="219"/>
      <c r="K331" s="219"/>
      <c r="L331" s="219"/>
      <c r="M331" s="219"/>
      <c r="N331" s="219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19"/>
      <c r="Z331" s="219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19"/>
      <c r="AL331" s="219"/>
      <c r="AM331" s="219"/>
      <c r="AN331" s="219"/>
      <c r="AO331" s="219"/>
      <c r="AP331" s="219"/>
      <c r="AQ331" s="219"/>
      <c r="AR331" s="219"/>
      <c r="AS331" s="219"/>
      <c r="AT331" s="219"/>
      <c r="AU331" s="219"/>
      <c r="AV331" s="219"/>
      <c r="AW331" s="219"/>
    </row>
    <row r="332" spans="1:49">
      <c r="A332" s="219"/>
      <c r="B332" s="219"/>
      <c r="C332" s="219"/>
      <c r="D332" s="219"/>
      <c r="E332" s="219"/>
      <c r="F332" s="219"/>
      <c r="G332" s="219"/>
      <c r="H332" s="219"/>
      <c r="I332" s="219"/>
      <c r="J332" s="219"/>
      <c r="K332" s="219"/>
      <c r="L332" s="219"/>
      <c r="M332" s="219"/>
      <c r="N332" s="219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19"/>
      <c r="Z332" s="219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19"/>
      <c r="AL332" s="219"/>
      <c r="AM332" s="219"/>
      <c r="AN332" s="219"/>
      <c r="AO332" s="219"/>
      <c r="AP332" s="219"/>
      <c r="AQ332" s="219"/>
      <c r="AR332" s="219"/>
      <c r="AS332" s="219"/>
      <c r="AT332" s="219"/>
      <c r="AU332" s="219"/>
      <c r="AV332" s="219"/>
      <c r="AW332" s="219"/>
    </row>
    <row r="333" spans="1:49">
      <c r="A333" s="219"/>
      <c r="B333" s="219"/>
      <c r="C333" s="219"/>
      <c r="D333" s="219"/>
      <c r="E333" s="219"/>
      <c r="F333" s="219"/>
      <c r="G333" s="219"/>
      <c r="H333" s="219"/>
      <c r="I333" s="219"/>
      <c r="J333" s="219"/>
      <c r="K333" s="219"/>
      <c r="L333" s="219"/>
      <c r="M333" s="219"/>
      <c r="N333" s="219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19"/>
      <c r="Z333" s="219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19"/>
      <c r="AL333" s="219"/>
      <c r="AM333" s="219"/>
      <c r="AN333" s="219"/>
      <c r="AO333" s="219"/>
      <c r="AP333" s="219"/>
      <c r="AQ333" s="219"/>
      <c r="AR333" s="219"/>
      <c r="AS333" s="219"/>
      <c r="AT333" s="219"/>
      <c r="AU333" s="219"/>
      <c r="AV333" s="219"/>
      <c r="AW333" s="219"/>
    </row>
    <row r="334" spans="1:49">
      <c r="A334" s="219"/>
      <c r="B334" s="219"/>
      <c r="C334" s="219"/>
      <c r="D334" s="219"/>
      <c r="E334" s="219"/>
      <c r="F334" s="219"/>
      <c r="G334" s="219"/>
      <c r="H334" s="219"/>
      <c r="I334" s="219"/>
      <c r="J334" s="219"/>
      <c r="K334" s="219"/>
      <c r="L334" s="219"/>
      <c r="M334" s="219"/>
      <c r="N334" s="219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19"/>
      <c r="Z334" s="219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19"/>
      <c r="AL334" s="219"/>
      <c r="AM334" s="219"/>
      <c r="AN334" s="219"/>
      <c r="AO334" s="219"/>
      <c r="AP334" s="219"/>
      <c r="AQ334" s="219"/>
      <c r="AR334" s="219"/>
      <c r="AS334" s="219"/>
      <c r="AT334" s="219"/>
      <c r="AU334" s="219"/>
      <c r="AV334" s="219"/>
      <c r="AW334" s="219"/>
    </row>
    <row r="335" spans="1:49">
      <c r="A335" s="219"/>
      <c r="B335" s="219"/>
      <c r="C335" s="219"/>
      <c r="D335" s="219"/>
      <c r="E335" s="219"/>
      <c r="F335" s="219"/>
      <c r="G335" s="219"/>
      <c r="H335" s="219"/>
      <c r="I335" s="219"/>
      <c r="J335" s="219"/>
      <c r="K335" s="219"/>
      <c r="L335" s="219"/>
      <c r="M335" s="219"/>
      <c r="N335" s="219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19"/>
      <c r="Z335" s="219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19"/>
      <c r="AL335" s="219"/>
      <c r="AM335" s="219"/>
      <c r="AN335" s="219"/>
      <c r="AO335" s="219"/>
      <c r="AP335" s="219"/>
      <c r="AQ335" s="219"/>
      <c r="AR335" s="219"/>
      <c r="AS335" s="219"/>
      <c r="AT335" s="219"/>
      <c r="AU335" s="219"/>
      <c r="AV335" s="219"/>
      <c r="AW335" s="219"/>
    </row>
    <row r="336" spans="1:49">
      <c r="A336" s="219"/>
      <c r="B336" s="219"/>
      <c r="C336" s="219"/>
      <c r="D336" s="219"/>
      <c r="E336" s="219"/>
      <c r="F336" s="219"/>
      <c r="G336" s="219"/>
      <c r="H336" s="219"/>
      <c r="I336" s="219"/>
      <c r="J336" s="219"/>
      <c r="K336" s="219"/>
      <c r="L336" s="219"/>
      <c r="M336" s="219"/>
      <c r="N336" s="219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19"/>
      <c r="Z336" s="219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19"/>
      <c r="AL336" s="219"/>
      <c r="AM336" s="219"/>
      <c r="AN336" s="219"/>
      <c r="AO336" s="219"/>
      <c r="AP336" s="219"/>
      <c r="AQ336" s="219"/>
      <c r="AR336" s="219"/>
      <c r="AS336" s="219"/>
      <c r="AT336" s="219"/>
      <c r="AU336" s="219"/>
      <c r="AV336" s="219"/>
      <c r="AW336" s="219"/>
    </row>
    <row r="337" spans="1:49">
      <c r="A337" s="219"/>
      <c r="B337" s="219"/>
      <c r="C337" s="219"/>
      <c r="D337" s="219"/>
      <c r="E337" s="219"/>
      <c r="F337" s="219"/>
      <c r="G337" s="219"/>
      <c r="H337" s="219"/>
      <c r="I337" s="219"/>
      <c r="J337" s="219"/>
      <c r="K337" s="219"/>
      <c r="L337" s="219"/>
      <c r="M337" s="219"/>
      <c r="N337" s="219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19"/>
      <c r="Z337" s="219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19"/>
      <c r="AL337" s="219"/>
      <c r="AM337" s="219"/>
      <c r="AN337" s="219"/>
      <c r="AO337" s="219"/>
      <c r="AP337" s="219"/>
      <c r="AQ337" s="219"/>
      <c r="AR337" s="219"/>
      <c r="AS337" s="219"/>
      <c r="AT337" s="219"/>
      <c r="AU337" s="219"/>
      <c r="AV337" s="219"/>
      <c r="AW337" s="219"/>
    </row>
    <row r="338" spans="1:49">
      <c r="A338" s="219"/>
      <c r="B338" s="219"/>
      <c r="C338" s="219"/>
      <c r="D338" s="219"/>
      <c r="E338" s="219"/>
      <c r="F338" s="219"/>
      <c r="G338" s="219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19"/>
      <c r="Z338" s="219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19"/>
      <c r="AL338" s="219"/>
      <c r="AM338" s="219"/>
      <c r="AN338" s="219"/>
      <c r="AO338" s="219"/>
      <c r="AP338" s="219"/>
      <c r="AQ338" s="219"/>
      <c r="AR338" s="219"/>
      <c r="AS338" s="219"/>
      <c r="AT338" s="219"/>
      <c r="AU338" s="219"/>
      <c r="AV338" s="219"/>
      <c r="AW338" s="219"/>
    </row>
    <row r="339" spans="1:49">
      <c r="A339" s="219"/>
      <c r="B339" s="219"/>
      <c r="C339" s="219"/>
      <c r="D339" s="219"/>
      <c r="E339" s="219"/>
      <c r="F339" s="219"/>
      <c r="G339" s="219"/>
      <c r="H339" s="219"/>
      <c r="I339" s="219"/>
      <c r="J339" s="219"/>
      <c r="K339" s="219"/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19"/>
      <c r="AL339" s="219"/>
      <c r="AM339" s="219"/>
      <c r="AN339" s="219"/>
      <c r="AO339" s="219"/>
      <c r="AP339" s="219"/>
      <c r="AQ339" s="219"/>
      <c r="AR339" s="219"/>
      <c r="AS339" s="219"/>
      <c r="AT339" s="219"/>
      <c r="AU339" s="219"/>
      <c r="AV339" s="219"/>
      <c r="AW339" s="219"/>
    </row>
    <row r="340" spans="1:49">
      <c r="A340" s="219"/>
      <c r="B340" s="219"/>
      <c r="C340" s="219"/>
      <c r="D340" s="219"/>
      <c r="E340" s="219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19"/>
      <c r="Z340" s="219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19"/>
      <c r="AL340" s="219"/>
      <c r="AM340" s="219"/>
      <c r="AN340" s="219"/>
      <c r="AO340" s="219"/>
      <c r="AP340" s="219"/>
      <c r="AQ340" s="219"/>
      <c r="AR340" s="219"/>
      <c r="AS340" s="219"/>
      <c r="AT340" s="219"/>
      <c r="AU340" s="219"/>
      <c r="AV340" s="219"/>
      <c r="AW340" s="219"/>
    </row>
    <row r="341" spans="1:49">
      <c r="A341" s="219"/>
      <c r="B341" s="219"/>
      <c r="C341" s="219"/>
      <c r="D341" s="219"/>
      <c r="E341" s="219"/>
      <c r="F341" s="219"/>
      <c r="G341" s="219"/>
      <c r="H341" s="219"/>
      <c r="I341" s="219"/>
      <c r="J341" s="219"/>
      <c r="K341" s="219"/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19"/>
      <c r="Z341" s="219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19"/>
      <c r="AL341" s="219"/>
      <c r="AM341" s="219"/>
      <c r="AN341" s="219"/>
      <c r="AO341" s="219"/>
      <c r="AP341" s="219"/>
      <c r="AQ341" s="219"/>
      <c r="AR341" s="219"/>
      <c r="AS341" s="219"/>
      <c r="AT341" s="219"/>
      <c r="AU341" s="219"/>
      <c r="AV341" s="219"/>
      <c r="AW341" s="219"/>
    </row>
    <row r="342" spans="1:49">
      <c r="A342" s="219"/>
      <c r="B342" s="219"/>
      <c r="C342" s="219"/>
      <c r="D342" s="219"/>
      <c r="E342" s="219"/>
      <c r="F342" s="219"/>
      <c r="G342" s="219"/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19"/>
      <c r="Z342" s="219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19"/>
      <c r="AL342" s="219"/>
      <c r="AM342" s="219"/>
      <c r="AN342" s="219"/>
      <c r="AO342" s="219"/>
      <c r="AP342" s="219"/>
      <c r="AQ342" s="219"/>
      <c r="AR342" s="219"/>
      <c r="AS342" s="219"/>
      <c r="AT342" s="219"/>
      <c r="AU342" s="219"/>
      <c r="AV342" s="219"/>
      <c r="AW342" s="219"/>
    </row>
    <row r="343" spans="1:49">
      <c r="A343" s="219"/>
      <c r="B343" s="219"/>
      <c r="C343" s="219"/>
      <c r="D343" s="219"/>
      <c r="E343" s="219"/>
      <c r="F343" s="219"/>
      <c r="G343" s="219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19"/>
      <c r="Z343" s="219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19"/>
      <c r="AL343" s="219"/>
      <c r="AM343" s="219"/>
      <c r="AN343" s="219"/>
      <c r="AO343" s="219"/>
      <c r="AP343" s="219"/>
      <c r="AQ343" s="219"/>
      <c r="AR343" s="219"/>
      <c r="AS343" s="219"/>
      <c r="AT343" s="219"/>
      <c r="AU343" s="219"/>
      <c r="AV343" s="219"/>
      <c r="AW343" s="219"/>
    </row>
    <row r="344" spans="1:49">
      <c r="A344" s="219"/>
      <c r="B344" s="219"/>
      <c r="C344" s="219"/>
      <c r="D344" s="219"/>
      <c r="E344" s="219"/>
      <c r="F344" s="219"/>
      <c r="G344" s="219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19"/>
      <c r="Z344" s="219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19"/>
      <c r="AL344" s="219"/>
      <c r="AM344" s="219"/>
      <c r="AN344" s="219"/>
      <c r="AO344" s="219"/>
      <c r="AP344" s="219"/>
      <c r="AQ344" s="219"/>
      <c r="AR344" s="219"/>
      <c r="AS344" s="219"/>
      <c r="AT344" s="219"/>
      <c r="AU344" s="219"/>
      <c r="AV344" s="219"/>
      <c r="AW344" s="219"/>
    </row>
    <row r="345" spans="1:49">
      <c r="A345" s="219"/>
      <c r="B345" s="219"/>
      <c r="C345" s="219"/>
      <c r="D345" s="219"/>
      <c r="E345" s="219"/>
      <c r="F345" s="219"/>
      <c r="G345" s="219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19"/>
      <c r="Z345" s="219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19"/>
      <c r="AL345" s="219"/>
      <c r="AM345" s="219"/>
      <c r="AN345" s="219"/>
      <c r="AO345" s="219"/>
      <c r="AP345" s="219"/>
      <c r="AQ345" s="219"/>
      <c r="AR345" s="219"/>
      <c r="AS345" s="219"/>
      <c r="AT345" s="219"/>
      <c r="AU345" s="219"/>
      <c r="AV345" s="219"/>
      <c r="AW345" s="219"/>
    </row>
    <row r="346" spans="1:49">
      <c r="A346" s="219"/>
      <c r="B346" s="219"/>
      <c r="C346" s="219"/>
      <c r="D346" s="219"/>
      <c r="E346" s="219"/>
      <c r="F346" s="219"/>
      <c r="G346" s="219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19"/>
      <c r="Z346" s="219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19"/>
      <c r="AL346" s="219"/>
      <c r="AM346" s="219"/>
      <c r="AN346" s="219"/>
      <c r="AO346" s="219"/>
      <c r="AP346" s="219"/>
      <c r="AQ346" s="219"/>
      <c r="AR346" s="219"/>
      <c r="AS346" s="219"/>
      <c r="AT346" s="219"/>
      <c r="AU346" s="219"/>
      <c r="AV346" s="219"/>
      <c r="AW346" s="219"/>
    </row>
    <row r="347" spans="1:49">
      <c r="A347" s="219"/>
      <c r="B347" s="219"/>
      <c r="C347" s="219"/>
      <c r="D347" s="219"/>
      <c r="E347" s="219"/>
      <c r="F347" s="219"/>
      <c r="G347" s="219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19"/>
      <c r="Z347" s="219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19"/>
      <c r="AL347" s="219"/>
      <c r="AM347" s="219"/>
      <c r="AN347" s="219"/>
      <c r="AO347" s="219"/>
      <c r="AP347" s="219"/>
      <c r="AQ347" s="219"/>
      <c r="AR347" s="219"/>
      <c r="AS347" s="219"/>
      <c r="AT347" s="219"/>
      <c r="AU347" s="219"/>
      <c r="AV347" s="219"/>
      <c r="AW347" s="219"/>
    </row>
    <row r="348" spans="1:49">
      <c r="A348" s="219"/>
      <c r="B348" s="219"/>
      <c r="C348" s="219"/>
      <c r="D348" s="219"/>
      <c r="E348" s="219"/>
      <c r="F348" s="219"/>
      <c r="G348" s="219"/>
      <c r="H348" s="219"/>
      <c r="I348" s="219"/>
      <c r="J348" s="219"/>
      <c r="K348" s="219"/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19"/>
      <c r="Z348" s="219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19"/>
      <c r="AL348" s="219"/>
      <c r="AM348" s="219"/>
      <c r="AN348" s="219"/>
      <c r="AO348" s="219"/>
      <c r="AP348" s="219"/>
      <c r="AQ348" s="219"/>
      <c r="AR348" s="219"/>
      <c r="AS348" s="219"/>
      <c r="AT348" s="219"/>
      <c r="AU348" s="219"/>
      <c r="AV348" s="219"/>
      <c r="AW348" s="219"/>
    </row>
    <row r="349" spans="1:49">
      <c r="A349" s="219"/>
      <c r="B349" s="219"/>
      <c r="C349" s="219"/>
      <c r="D349" s="219"/>
      <c r="E349" s="219"/>
      <c r="F349" s="219"/>
      <c r="G349" s="219"/>
      <c r="H349" s="219"/>
      <c r="I349" s="219"/>
      <c r="J349" s="219"/>
      <c r="K349" s="219"/>
      <c r="L349" s="219"/>
      <c r="M349" s="219"/>
      <c r="N349" s="219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19"/>
      <c r="Z349" s="219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19"/>
      <c r="AL349" s="219"/>
      <c r="AM349" s="219"/>
      <c r="AN349" s="219"/>
      <c r="AO349" s="219"/>
      <c r="AP349" s="219"/>
      <c r="AQ349" s="219"/>
      <c r="AR349" s="219"/>
      <c r="AS349" s="219"/>
      <c r="AT349" s="219"/>
      <c r="AU349" s="219"/>
      <c r="AV349" s="219"/>
      <c r="AW349" s="219"/>
    </row>
    <row r="350" spans="1:49">
      <c r="A350" s="219"/>
      <c r="B350" s="219"/>
      <c r="C350" s="219"/>
      <c r="D350" s="219"/>
      <c r="E350" s="219"/>
      <c r="F350" s="219"/>
      <c r="G350" s="219"/>
      <c r="H350" s="219"/>
      <c r="I350" s="219"/>
      <c r="J350" s="219"/>
      <c r="K350" s="219"/>
      <c r="L350" s="219"/>
      <c r="M350" s="219"/>
      <c r="N350" s="219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19"/>
      <c r="Z350" s="219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19"/>
      <c r="AL350" s="219"/>
      <c r="AM350" s="219"/>
      <c r="AN350" s="219"/>
      <c r="AO350" s="219"/>
      <c r="AP350" s="219"/>
      <c r="AQ350" s="219"/>
      <c r="AR350" s="219"/>
      <c r="AS350" s="219"/>
      <c r="AT350" s="219"/>
      <c r="AU350" s="219"/>
      <c r="AV350" s="219"/>
      <c r="AW350" s="219"/>
    </row>
    <row r="351" spans="1:49">
      <c r="A351" s="219"/>
      <c r="B351" s="219"/>
      <c r="C351" s="219"/>
      <c r="D351" s="219"/>
      <c r="E351" s="219"/>
      <c r="F351" s="219"/>
      <c r="G351" s="219"/>
      <c r="H351" s="219"/>
      <c r="I351" s="219"/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19"/>
      <c r="AL351" s="219"/>
      <c r="AM351" s="219"/>
      <c r="AN351" s="219"/>
      <c r="AO351" s="219"/>
      <c r="AP351" s="219"/>
      <c r="AQ351" s="219"/>
      <c r="AR351" s="219"/>
      <c r="AS351" s="219"/>
      <c r="AT351" s="219"/>
      <c r="AU351" s="219"/>
      <c r="AV351" s="219"/>
      <c r="AW351" s="219"/>
    </row>
    <row r="352" spans="1:49">
      <c r="A352" s="219"/>
      <c r="B352" s="219"/>
      <c r="C352" s="219"/>
      <c r="D352" s="219"/>
      <c r="E352" s="219"/>
      <c r="F352" s="219"/>
      <c r="G352" s="219"/>
      <c r="H352" s="219"/>
      <c r="I352" s="219"/>
      <c r="J352" s="219"/>
      <c r="K352" s="219"/>
      <c r="L352" s="219"/>
      <c r="M352" s="219"/>
      <c r="N352" s="219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19"/>
      <c r="Z352" s="219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19"/>
      <c r="AL352" s="219"/>
      <c r="AM352" s="219"/>
      <c r="AN352" s="219"/>
      <c r="AO352" s="219"/>
      <c r="AP352" s="219"/>
      <c r="AQ352" s="219"/>
      <c r="AR352" s="219"/>
      <c r="AS352" s="219"/>
      <c r="AT352" s="219"/>
      <c r="AU352" s="219"/>
      <c r="AV352" s="219"/>
      <c r="AW352" s="219"/>
    </row>
    <row r="353" spans="1:49">
      <c r="A353" s="219"/>
      <c r="B353" s="219"/>
      <c r="C353" s="219"/>
      <c r="D353" s="219"/>
      <c r="E353" s="219"/>
      <c r="F353" s="219"/>
      <c r="G353" s="219"/>
      <c r="H353" s="219"/>
      <c r="I353" s="219"/>
      <c r="J353" s="219"/>
      <c r="K353" s="219"/>
      <c r="L353" s="219"/>
      <c r="M353" s="219"/>
      <c r="N353" s="219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19"/>
      <c r="Z353" s="219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19"/>
      <c r="AL353" s="219"/>
      <c r="AM353" s="219"/>
      <c r="AN353" s="219"/>
      <c r="AO353" s="219"/>
      <c r="AP353" s="219"/>
      <c r="AQ353" s="219"/>
      <c r="AR353" s="219"/>
      <c r="AS353" s="219"/>
      <c r="AT353" s="219"/>
      <c r="AU353" s="219"/>
      <c r="AV353" s="219"/>
      <c r="AW353" s="219"/>
    </row>
    <row r="354" spans="1:49">
      <c r="A354" s="219"/>
      <c r="B354" s="219"/>
      <c r="C354" s="219"/>
      <c r="D354" s="219"/>
      <c r="E354" s="219"/>
      <c r="F354" s="219"/>
      <c r="G354" s="219"/>
      <c r="H354" s="219"/>
      <c r="I354" s="219"/>
      <c r="J354" s="219"/>
      <c r="K354" s="219"/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19"/>
      <c r="Z354" s="219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19"/>
      <c r="AL354" s="219"/>
      <c r="AM354" s="219"/>
      <c r="AN354" s="219"/>
      <c r="AO354" s="219"/>
      <c r="AP354" s="219"/>
      <c r="AQ354" s="219"/>
      <c r="AR354" s="219"/>
      <c r="AS354" s="219"/>
      <c r="AT354" s="219"/>
      <c r="AU354" s="219"/>
      <c r="AV354" s="219"/>
      <c r="AW354" s="219"/>
    </row>
    <row r="355" spans="1:49">
      <c r="A355" s="219"/>
      <c r="B355" s="219"/>
      <c r="C355" s="219"/>
      <c r="D355" s="219"/>
      <c r="E355" s="219"/>
      <c r="F355" s="219"/>
      <c r="G355" s="219"/>
      <c r="H355" s="219"/>
      <c r="I355" s="219"/>
      <c r="J355" s="219"/>
      <c r="K355" s="219"/>
      <c r="L355" s="219"/>
      <c r="M355" s="219"/>
      <c r="N355" s="219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19"/>
      <c r="Z355" s="219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19"/>
      <c r="AL355" s="219"/>
      <c r="AM355" s="219"/>
      <c r="AN355" s="219"/>
      <c r="AO355" s="219"/>
      <c r="AP355" s="219"/>
      <c r="AQ355" s="219"/>
      <c r="AR355" s="219"/>
      <c r="AS355" s="219"/>
      <c r="AT355" s="219"/>
      <c r="AU355" s="219"/>
      <c r="AV355" s="219"/>
      <c r="AW355" s="219"/>
    </row>
    <row r="356" spans="1:49">
      <c r="A356" s="219"/>
      <c r="B356" s="219"/>
      <c r="C356" s="219"/>
      <c r="D356" s="219"/>
      <c r="E356" s="219"/>
      <c r="F356" s="219"/>
      <c r="G356" s="219"/>
      <c r="H356" s="219"/>
      <c r="I356" s="219"/>
      <c r="J356" s="219"/>
      <c r="K356" s="219"/>
      <c r="L356" s="219"/>
      <c r="M356" s="219"/>
      <c r="N356" s="219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19"/>
      <c r="Z356" s="219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19"/>
      <c r="AL356" s="219"/>
      <c r="AM356" s="219"/>
      <c r="AN356" s="219"/>
      <c r="AO356" s="219"/>
      <c r="AP356" s="219"/>
      <c r="AQ356" s="219"/>
      <c r="AR356" s="219"/>
      <c r="AS356" s="219"/>
      <c r="AT356" s="219"/>
      <c r="AU356" s="219"/>
      <c r="AV356" s="219"/>
      <c r="AW356" s="219"/>
    </row>
    <row r="357" spans="1:49">
      <c r="A357" s="219"/>
      <c r="B357" s="219"/>
      <c r="C357" s="219"/>
      <c r="D357" s="219"/>
      <c r="E357" s="219"/>
      <c r="F357" s="219"/>
      <c r="G357" s="219"/>
      <c r="H357" s="219"/>
      <c r="I357" s="219"/>
      <c r="J357" s="219"/>
      <c r="K357" s="219"/>
      <c r="L357" s="219"/>
      <c r="M357" s="219"/>
      <c r="N357" s="219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19"/>
      <c r="Z357" s="219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19"/>
      <c r="AL357" s="219"/>
      <c r="AM357" s="219"/>
      <c r="AN357" s="219"/>
      <c r="AO357" s="219"/>
      <c r="AP357" s="219"/>
      <c r="AQ357" s="219"/>
      <c r="AR357" s="219"/>
      <c r="AS357" s="219"/>
      <c r="AT357" s="219"/>
      <c r="AU357" s="219"/>
      <c r="AV357" s="219"/>
      <c r="AW357" s="219"/>
    </row>
    <row r="358" spans="1:49">
      <c r="A358" s="219"/>
      <c r="B358" s="219"/>
      <c r="C358" s="219"/>
      <c r="D358" s="219"/>
      <c r="E358" s="219"/>
      <c r="F358" s="219"/>
      <c r="G358" s="219"/>
      <c r="H358" s="219"/>
      <c r="I358" s="219"/>
      <c r="J358" s="219"/>
      <c r="K358" s="219"/>
      <c r="L358" s="219"/>
      <c r="M358" s="219"/>
      <c r="N358" s="219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19"/>
      <c r="Z358" s="219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19"/>
      <c r="AL358" s="219"/>
      <c r="AM358" s="219"/>
      <c r="AN358" s="219"/>
      <c r="AO358" s="219"/>
      <c r="AP358" s="219"/>
      <c r="AQ358" s="219"/>
      <c r="AR358" s="219"/>
      <c r="AS358" s="219"/>
      <c r="AT358" s="219"/>
      <c r="AU358" s="219"/>
      <c r="AV358" s="219"/>
      <c r="AW358" s="219"/>
    </row>
    <row r="359" spans="1:49">
      <c r="A359" s="219"/>
      <c r="B359" s="219"/>
      <c r="C359" s="219"/>
      <c r="D359" s="219"/>
      <c r="E359" s="219"/>
      <c r="F359" s="219"/>
      <c r="G359" s="219"/>
      <c r="H359" s="219"/>
      <c r="I359" s="219"/>
      <c r="J359" s="219"/>
      <c r="K359" s="219"/>
      <c r="L359" s="219"/>
      <c r="M359" s="219"/>
      <c r="N359" s="219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19"/>
      <c r="Z359" s="219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19"/>
      <c r="AL359" s="219"/>
      <c r="AM359" s="219"/>
      <c r="AN359" s="219"/>
      <c r="AO359" s="219"/>
      <c r="AP359" s="219"/>
      <c r="AQ359" s="219"/>
      <c r="AR359" s="219"/>
      <c r="AS359" s="219"/>
      <c r="AT359" s="219"/>
      <c r="AU359" s="219"/>
      <c r="AV359" s="219"/>
      <c r="AW359" s="219"/>
    </row>
    <row r="360" spans="1:49">
      <c r="A360" s="219"/>
      <c r="B360" s="219"/>
      <c r="C360" s="219"/>
      <c r="D360" s="219"/>
      <c r="E360" s="219"/>
      <c r="F360" s="219"/>
      <c r="G360" s="219"/>
      <c r="H360" s="219"/>
      <c r="I360" s="219"/>
      <c r="J360" s="219"/>
      <c r="K360" s="219"/>
      <c r="L360" s="219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19"/>
      <c r="AL360" s="219"/>
      <c r="AM360" s="219"/>
      <c r="AN360" s="219"/>
      <c r="AO360" s="219"/>
      <c r="AP360" s="219"/>
      <c r="AQ360" s="219"/>
      <c r="AR360" s="219"/>
      <c r="AS360" s="219"/>
      <c r="AT360" s="219"/>
      <c r="AU360" s="219"/>
      <c r="AV360" s="219"/>
      <c r="AW360" s="219"/>
    </row>
    <row r="361" spans="1:49">
      <c r="A361" s="219"/>
      <c r="B361" s="219"/>
      <c r="C361" s="219"/>
      <c r="D361" s="219"/>
      <c r="E361" s="219"/>
      <c r="F361" s="219"/>
      <c r="G361" s="219"/>
      <c r="H361" s="219"/>
      <c r="I361" s="219"/>
      <c r="J361" s="219"/>
      <c r="K361" s="219"/>
      <c r="L361" s="219"/>
      <c r="M361" s="219"/>
      <c r="N361" s="219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19"/>
      <c r="Z361" s="219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19"/>
      <c r="AL361" s="219"/>
      <c r="AM361" s="219"/>
      <c r="AN361" s="219"/>
      <c r="AO361" s="219"/>
      <c r="AP361" s="219"/>
      <c r="AQ361" s="219"/>
      <c r="AR361" s="219"/>
      <c r="AS361" s="219"/>
      <c r="AT361" s="219"/>
      <c r="AU361" s="219"/>
      <c r="AV361" s="219"/>
      <c r="AW361" s="219"/>
    </row>
    <row r="362" spans="1:49">
      <c r="A362" s="219"/>
      <c r="B362" s="219"/>
      <c r="C362" s="219"/>
      <c r="D362" s="219"/>
      <c r="E362" s="219"/>
      <c r="F362" s="219"/>
      <c r="G362" s="219"/>
      <c r="H362" s="219"/>
      <c r="I362" s="219"/>
      <c r="J362" s="219"/>
      <c r="K362" s="219"/>
      <c r="L362" s="219"/>
      <c r="M362" s="219"/>
      <c r="N362" s="219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19"/>
      <c r="Z362" s="219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19"/>
      <c r="AL362" s="219"/>
      <c r="AM362" s="219"/>
      <c r="AN362" s="219"/>
      <c r="AO362" s="219"/>
      <c r="AP362" s="219"/>
      <c r="AQ362" s="219"/>
      <c r="AR362" s="219"/>
      <c r="AS362" s="219"/>
      <c r="AT362" s="219"/>
      <c r="AU362" s="219"/>
      <c r="AV362" s="219"/>
      <c r="AW362" s="219"/>
    </row>
    <row r="363" spans="1:49">
      <c r="A363" s="219"/>
      <c r="B363" s="219"/>
      <c r="C363" s="219"/>
      <c r="D363" s="219"/>
      <c r="E363" s="219"/>
      <c r="F363" s="219"/>
      <c r="G363" s="219"/>
      <c r="H363" s="219"/>
      <c r="I363" s="219"/>
      <c r="J363" s="219"/>
      <c r="K363" s="219"/>
      <c r="L363" s="219"/>
      <c r="M363" s="219"/>
      <c r="N363" s="219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19"/>
      <c r="Z363" s="219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19"/>
      <c r="AL363" s="219"/>
      <c r="AM363" s="219"/>
      <c r="AN363" s="219"/>
      <c r="AO363" s="219"/>
      <c r="AP363" s="219"/>
      <c r="AQ363" s="219"/>
      <c r="AR363" s="219"/>
      <c r="AS363" s="219"/>
      <c r="AT363" s="219"/>
      <c r="AU363" s="219"/>
      <c r="AV363" s="219"/>
      <c r="AW363" s="219"/>
    </row>
    <row r="364" spans="1:49">
      <c r="A364" s="219"/>
      <c r="B364" s="219"/>
      <c r="C364" s="219"/>
      <c r="D364" s="219"/>
      <c r="E364" s="219"/>
      <c r="F364" s="219"/>
      <c r="G364" s="219"/>
      <c r="H364" s="219"/>
      <c r="I364" s="219"/>
      <c r="J364" s="219"/>
      <c r="K364" s="219"/>
      <c r="L364" s="219"/>
      <c r="M364" s="219"/>
      <c r="N364" s="219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19"/>
      <c r="Z364" s="219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19"/>
      <c r="AL364" s="219"/>
      <c r="AM364" s="219"/>
      <c r="AN364" s="219"/>
      <c r="AO364" s="219"/>
      <c r="AP364" s="219"/>
      <c r="AQ364" s="219"/>
      <c r="AR364" s="219"/>
      <c r="AS364" s="219"/>
      <c r="AT364" s="219"/>
      <c r="AU364" s="219"/>
      <c r="AV364" s="219"/>
      <c r="AW364" s="219"/>
    </row>
    <row r="365" spans="1:49">
      <c r="A365" s="219"/>
      <c r="B365" s="219"/>
      <c r="C365" s="219"/>
      <c r="D365" s="219"/>
      <c r="E365" s="219"/>
      <c r="F365" s="219"/>
      <c r="G365" s="219"/>
      <c r="H365" s="219"/>
      <c r="I365" s="219"/>
      <c r="J365" s="219"/>
      <c r="K365" s="219"/>
      <c r="L365" s="219"/>
      <c r="M365" s="219"/>
      <c r="N365" s="219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19"/>
      <c r="Z365" s="219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19"/>
      <c r="AL365" s="219"/>
      <c r="AM365" s="219"/>
      <c r="AN365" s="219"/>
      <c r="AO365" s="219"/>
      <c r="AP365" s="219"/>
      <c r="AQ365" s="219"/>
      <c r="AR365" s="219"/>
      <c r="AS365" s="219"/>
      <c r="AT365" s="219"/>
      <c r="AU365" s="219"/>
      <c r="AV365" s="219"/>
      <c r="AW365" s="219"/>
    </row>
    <row r="366" spans="1:49">
      <c r="A366" s="219"/>
      <c r="B366" s="219"/>
      <c r="C366" s="219"/>
      <c r="D366" s="219"/>
      <c r="E366" s="219"/>
      <c r="F366" s="219"/>
      <c r="G366" s="219"/>
      <c r="H366" s="219"/>
      <c r="I366" s="219"/>
      <c r="J366" s="219"/>
      <c r="K366" s="219"/>
      <c r="L366" s="219"/>
      <c r="M366" s="219"/>
      <c r="N366" s="219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19"/>
      <c r="Z366" s="219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19"/>
      <c r="AL366" s="219"/>
      <c r="AM366" s="219"/>
      <c r="AN366" s="219"/>
      <c r="AO366" s="219"/>
      <c r="AP366" s="219"/>
      <c r="AQ366" s="219"/>
      <c r="AR366" s="219"/>
      <c r="AS366" s="219"/>
      <c r="AT366" s="219"/>
      <c r="AU366" s="219"/>
      <c r="AV366" s="219"/>
      <c r="AW366" s="219"/>
    </row>
    <row r="367" spans="1:49">
      <c r="A367" s="219"/>
      <c r="B367" s="219"/>
      <c r="C367" s="219"/>
      <c r="D367" s="219"/>
      <c r="E367" s="219"/>
      <c r="F367" s="219"/>
      <c r="G367" s="219"/>
      <c r="H367" s="219"/>
      <c r="I367" s="219"/>
      <c r="J367" s="219"/>
      <c r="K367" s="219"/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19"/>
      <c r="Z367" s="219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19"/>
      <c r="AL367" s="219"/>
      <c r="AM367" s="219"/>
      <c r="AN367" s="219"/>
      <c r="AO367" s="219"/>
      <c r="AP367" s="219"/>
      <c r="AQ367" s="219"/>
      <c r="AR367" s="219"/>
      <c r="AS367" s="219"/>
      <c r="AT367" s="219"/>
      <c r="AU367" s="219"/>
      <c r="AV367" s="219"/>
      <c r="AW367" s="219"/>
    </row>
    <row r="368" spans="1:49">
      <c r="A368" s="219"/>
      <c r="B368" s="219"/>
      <c r="C368" s="219"/>
      <c r="D368" s="219"/>
      <c r="E368" s="219"/>
      <c r="F368" s="219"/>
      <c r="G368" s="219"/>
      <c r="H368" s="219"/>
      <c r="I368" s="219"/>
      <c r="J368" s="219"/>
      <c r="K368" s="219"/>
      <c r="L368" s="219"/>
      <c r="M368" s="219"/>
      <c r="N368" s="219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19"/>
      <c r="Z368" s="219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19"/>
      <c r="AL368" s="219"/>
      <c r="AM368" s="219"/>
      <c r="AN368" s="219"/>
      <c r="AO368" s="219"/>
      <c r="AP368" s="219"/>
      <c r="AQ368" s="219"/>
      <c r="AR368" s="219"/>
      <c r="AS368" s="219"/>
      <c r="AT368" s="219"/>
      <c r="AU368" s="219"/>
      <c r="AV368" s="219"/>
      <c r="AW368" s="219"/>
    </row>
    <row r="369" spans="1:49">
      <c r="A369" s="219"/>
      <c r="B369" s="219"/>
      <c r="C369" s="219"/>
      <c r="D369" s="219"/>
      <c r="E369" s="219"/>
      <c r="F369" s="219"/>
      <c r="G369" s="219"/>
      <c r="H369" s="219"/>
      <c r="I369" s="219"/>
      <c r="J369" s="219"/>
      <c r="K369" s="219"/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19"/>
      <c r="Z369" s="219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19"/>
      <c r="AL369" s="219"/>
      <c r="AM369" s="219"/>
      <c r="AN369" s="219"/>
      <c r="AO369" s="219"/>
      <c r="AP369" s="219"/>
      <c r="AQ369" s="219"/>
      <c r="AR369" s="219"/>
      <c r="AS369" s="219"/>
      <c r="AT369" s="219"/>
      <c r="AU369" s="219"/>
      <c r="AV369" s="219"/>
      <c r="AW369" s="219"/>
    </row>
    <row r="370" spans="1:49">
      <c r="A370" s="219"/>
      <c r="B370" s="219"/>
      <c r="C370" s="219"/>
      <c r="D370" s="219"/>
      <c r="E370" s="219"/>
      <c r="F370" s="219"/>
      <c r="G370" s="219"/>
      <c r="H370" s="219"/>
      <c r="I370" s="219"/>
      <c r="J370" s="219"/>
      <c r="K370" s="219"/>
      <c r="L370" s="219"/>
      <c r="M370" s="219"/>
      <c r="N370" s="219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19"/>
      <c r="AL370" s="219"/>
      <c r="AM370" s="219"/>
      <c r="AN370" s="219"/>
      <c r="AO370" s="219"/>
      <c r="AP370" s="219"/>
      <c r="AQ370" s="219"/>
      <c r="AR370" s="219"/>
      <c r="AS370" s="219"/>
      <c r="AT370" s="219"/>
      <c r="AU370" s="219"/>
      <c r="AV370" s="219"/>
      <c r="AW370" s="219"/>
    </row>
    <row r="371" spans="1:49">
      <c r="A371" s="219"/>
      <c r="B371" s="219"/>
      <c r="C371" s="219"/>
      <c r="D371" s="219"/>
      <c r="E371" s="219"/>
      <c r="F371" s="219"/>
      <c r="G371" s="219"/>
      <c r="H371" s="219"/>
      <c r="I371" s="219"/>
      <c r="J371" s="219"/>
      <c r="K371" s="219"/>
      <c r="L371" s="219"/>
      <c r="M371" s="219"/>
      <c r="N371" s="219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19"/>
      <c r="Z371" s="219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19"/>
      <c r="AL371" s="219"/>
      <c r="AM371" s="219"/>
      <c r="AN371" s="219"/>
      <c r="AO371" s="219"/>
      <c r="AP371" s="219"/>
      <c r="AQ371" s="219"/>
      <c r="AR371" s="219"/>
      <c r="AS371" s="219"/>
      <c r="AT371" s="219"/>
      <c r="AU371" s="219"/>
      <c r="AV371" s="219"/>
      <c r="AW371" s="219"/>
    </row>
    <row r="372" spans="1:49">
      <c r="A372" s="219"/>
      <c r="B372" s="219"/>
      <c r="C372" s="219"/>
      <c r="D372" s="219"/>
      <c r="E372" s="219"/>
      <c r="F372" s="219"/>
      <c r="G372" s="219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19"/>
      <c r="Z372" s="219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19"/>
      <c r="AL372" s="219"/>
      <c r="AM372" s="219"/>
      <c r="AN372" s="219"/>
      <c r="AO372" s="219"/>
      <c r="AP372" s="219"/>
      <c r="AQ372" s="219"/>
      <c r="AR372" s="219"/>
      <c r="AS372" s="219"/>
      <c r="AT372" s="219"/>
      <c r="AU372" s="219"/>
      <c r="AV372" s="219"/>
      <c r="AW372" s="219"/>
    </row>
    <row r="373" spans="1:49">
      <c r="A373" s="219"/>
      <c r="B373" s="219"/>
      <c r="C373" s="219"/>
      <c r="D373" s="219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19"/>
      <c r="Z373" s="219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19"/>
      <c r="AL373" s="219"/>
      <c r="AM373" s="219"/>
      <c r="AN373" s="219"/>
      <c r="AO373" s="219"/>
      <c r="AP373" s="219"/>
      <c r="AQ373" s="219"/>
      <c r="AR373" s="219"/>
      <c r="AS373" s="219"/>
      <c r="AT373" s="219"/>
      <c r="AU373" s="219"/>
      <c r="AV373" s="219"/>
      <c r="AW373" s="219"/>
    </row>
    <row r="374" spans="1:49">
      <c r="A374" s="219"/>
      <c r="B374" s="219"/>
      <c r="C374" s="219"/>
      <c r="D374" s="219"/>
      <c r="E374" s="219"/>
      <c r="F374" s="219"/>
      <c r="G374" s="219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19"/>
      <c r="Z374" s="219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19"/>
      <c r="AL374" s="219"/>
      <c r="AM374" s="219"/>
      <c r="AN374" s="219"/>
      <c r="AO374" s="219"/>
      <c r="AP374" s="219"/>
      <c r="AQ374" s="219"/>
      <c r="AR374" s="219"/>
      <c r="AS374" s="219"/>
      <c r="AT374" s="219"/>
      <c r="AU374" s="219"/>
      <c r="AV374" s="219"/>
      <c r="AW374" s="219"/>
    </row>
    <row r="375" spans="1:49">
      <c r="A375" s="219"/>
      <c r="B375" s="219"/>
      <c r="C375" s="219"/>
      <c r="D375" s="219"/>
      <c r="E375" s="219"/>
      <c r="F375" s="219"/>
      <c r="G375" s="219"/>
      <c r="H375" s="219"/>
      <c r="I375" s="219"/>
      <c r="J375" s="219"/>
      <c r="K375" s="219"/>
      <c r="L375" s="219"/>
      <c r="M375" s="219"/>
      <c r="N375" s="219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19"/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19"/>
      <c r="AL375" s="219"/>
      <c r="AM375" s="219"/>
      <c r="AN375" s="219"/>
      <c r="AO375" s="219"/>
      <c r="AP375" s="219"/>
      <c r="AQ375" s="219"/>
      <c r="AR375" s="219"/>
      <c r="AS375" s="219"/>
      <c r="AT375" s="219"/>
      <c r="AU375" s="219"/>
      <c r="AV375" s="219"/>
      <c r="AW375" s="219"/>
    </row>
    <row r="376" spans="1:49">
      <c r="A376" s="219"/>
      <c r="B376" s="219"/>
      <c r="C376" s="219"/>
      <c r="D376" s="219"/>
      <c r="E376" s="219"/>
      <c r="F376" s="219"/>
      <c r="G376" s="219"/>
      <c r="H376" s="219"/>
      <c r="I376" s="219"/>
      <c r="J376" s="219"/>
      <c r="K376" s="219"/>
      <c r="L376" s="219"/>
      <c r="M376" s="219"/>
      <c r="N376" s="219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19"/>
      <c r="Z376" s="219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19"/>
      <c r="AL376" s="219"/>
      <c r="AM376" s="219"/>
      <c r="AN376" s="219"/>
      <c r="AO376" s="219"/>
      <c r="AP376" s="219"/>
      <c r="AQ376" s="219"/>
      <c r="AR376" s="219"/>
      <c r="AS376" s="219"/>
      <c r="AT376" s="219"/>
      <c r="AU376" s="219"/>
      <c r="AV376" s="219"/>
      <c r="AW376" s="219"/>
    </row>
    <row r="377" spans="1:49">
      <c r="A377" s="219"/>
      <c r="B377" s="219"/>
      <c r="C377" s="219"/>
      <c r="D377" s="219"/>
      <c r="E377" s="219"/>
      <c r="F377" s="219"/>
      <c r="G377" s="219"/>
      <c r="H377" s="219"/>
      <c r="I377" s="219"/>
      <c r="J377" s="219"/>
      <c r="K377" s="219"/>
      <c r="L377" s="219"/>
      <c r="M377" s="219"/>
      <c r="N377" s="219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19"/>
      <c r="Z377" s="219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19"/>
      <c r="AL377" s="219"/>
      <c r="AM377" s="219"/>
      <c r="AN377" s="219"/>
      <c r="AO377" s="219"/>
      <c r="AP377" s="219"/>
      <c r="AQ377" s="219"/>
      <c r="AR377" s="219"/>
      <c r="AS377" s="219"/>
      <c r="AT377" s="219"/>
      <c r="AU377" s="219"/>
      <c r="AV377" s="219"/>
      <c r="AW377" s="219"/>
    </row>
    <row r="378" spans="1:49">
      <c r="A378" s="219"/>
      <c r="B378" s="219"/>
      <c r="C378" s="219"/>
      <c r="D378" s="219"/>
      <c r="E378" s="219"/>
      <c r="F378" s="219"/>
      <c r="G378" s="219"/>
      <c r="H378" s="219"/>
      <c r="I378" s="219"/>
      <c r="J378" s="219"/>
      <c r="K378" s="219"/>
      <c r="L378" s="219"/>
      <c r="M378" s="219"/>
      <c r="N378" s="219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19"/>
      <c r="Z378" s="219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19"/>
      <c r="AL378" s="219"/>
      <c r="AM378" s="219"/>
      <c r="AN378" s="219"/>
      <c r="AO378" s="219"/>
      <c r="AP378" s="219"/>
      <c r="AQ378" s="219"/>
      <c r="AR378" s="219"/>
      <c r="AS378" s="219"/>
      <c r="AT378" s="219"/>
      <c r="AU378" s="219"/>
      <c r="AV378" s="219"/>
      <c r="AW378" s="219"/>
    </row>
    <row r="379" spans="1:49">
      <c r="A379" s="219"/>
      <c r="B379" s="219"/>
      <c r="C379" s="219"/>
      <c r="D379" s="219"/>
      <c r="E379" s="219"/>
      <c r="F379" s="219"/>
      <c r="G379" s="219"/>
      <c r="H379" s="219"/>
      <c r="I379" s="219"/>
      <c r="J379" s="219"/>
      <c r="K379" s="219"/>
      <c r="L379" s="219"/>
      <c r="M379" s="219"/>
      <c r="N379" s="219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19"/>
      <c r="Z379" s="219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19"/>
      <c r="AL379" s="219"/>
      <c r="AM379" s="219"/>
      <c r="AN379" s="219"/>
      <c r="AO379" s="219"/>
      <c r="AP379" s="219"/>
      <c r="AQ379" s="219"/>
      <c r="AR379" s="219"/>
      <c r="AS379" s="219"/>
      <c r="AT379" s="219"/>
      <c r="AU379" s="219"/>
      <c r="AV379" s="219"/>
      <c r="AW379" s="219"/>
    </row>
    <row r="380" spans="1:49">
      <c r="A380" s="219"/>
      <c r="B380" s="219"/>
      <c r="C380" s="219"/>
      <c r="D380" s="219"/>
      <c r="E380" s="219"/>
      <c r="F380" s="219"/>
      <c r="G380" s="219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19"/>
      <c r="Z380" s="219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19"/>
      <c r="AL380" s="219"/>
      <c r="AM380" s="219"/>
      <c r="AN380" s="219"/>
      <c r="AO380" s="219"/>
      <c r="AP380" s="219"/>
      <c r="AQ380" s="219"/>
      <c r="AR380" s="219"/>
      <c r="AS380" s="219"/>
      <c r="AT380" s="219"/>
      <c r="AU380" s="219"/>
      <c r="AV380" s="219"/>
      <c r="AW380" s="219"/>
    </row>
    <row r="381" spans="1:49">
      <c r="A381" s="219"/>
      <c r="B381" s="219"/>
      <c r="C381" s="219"/>
      <c r="D381" s="219"/>
      <c r="E381" s="219"/>
      <c r="F381" s="219"/>
      <c r="G381" s="219"/>
      <c r="H381" s="219"/>
      <c r="I381" s="219"/>
      <c r="J381" s="219"/>
      <c r="K381" s="219"/>
      <c r="L381" s="219"/>
      <c r="M381" s="219"/>
      <c r="N381" s="219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19"/>
      <c r="Z381" s="219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19"/>
      <c r="AL381" s="219"/>
      <c r="AM381" s="219"/>
      <c r="AN381" s="219"/>
      <c r="AO381" s="219"/>
      <c r="AP381" s="219"/>
      <c r="AQ381" s="219"/>
      <c r="AR381" s="219"/>
      <c r="AS381" s="219"/>
      <c r="AT381" s="219"/>
      <c r="AU381" s="219"/>
      <c r="AV381" s="219"/>
      <c r="AW381" s="219"/>
    </row>
    <row r="382" spans="1:49">
      <c r="A382" s="219"/>
      <c r="B382" s="219"/>
      <c r="C382" s="219"/>
      <c r="D382" s="219"/>
      <c r="E382" s="219"/>
      <c r="F382" s="219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19"/>
      <c r="Z382" s="219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19"/>
      <c r="AL382" s="219"/>
      <c r="AM382" s="219"/>
      <c r="AN382" s="219"/>
      <c r="AO382" s="219"/>
      <c r="AP382" s="219"/>
      <c r="AQ382" s="219"/>
      <c r="AR382" s="219"/>
      <c r="AS382" s="219"/>
      <c r="AT382" s="219"/>
      <c r="AU382" s="219"/>
      <c r="AV382" s="219"/>
      <c r="AW382" s="219"/>
    </row>
    <row r="383" spans="1:49">
      <c r="A383" s="219"/>
      <c r="B383" s="219"/>
      <c r="C383" s="219"/>
      <c r="D383" s="219"/>
      <c r="E383" s="219"/>
      <c r="F383" s="219"/>
      <c r="G383" s="219"/>
      <c r="H383" s="219"/>
      <c r="I383" s="219"/>
      <c r="J383" s="219"/>
      <c r="K383" s="219"/>
      <c r="L383" s="219"/>
      <c r="M383" s="219"/>
      <c r="N383" s="219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19"/>
      <c r="Z383" s="219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19"/>
      <c r="AL383" s="219"/>
      <c r="AM383" s="219"/>
      <c r="AN383" s="219"/>
      <c r="AO383" s="219"/>
      <c r="AP383" s="219"/>
      <c r="AQ383" s="219"/>
      <c r="AR383" s="219"/>
      <c r="AS383" s="219"/>
      <c r="AT383" s="219"/>
      <c r="AU383" s="219"/>
      <c r="AV383" s="219"/>
      <c r="AW383" s="219"/>
    </row>
    <row r="384" spans="1:49">
      <c r="A384" s="219"/>
      <c r="B384" s="219"/>
      <c r="C384" s="219"/>
      <c r="D384" s="219"/>
      <c r="E384" s="219"/>
      <c r="F384" s="219"/>
      <c r="G384" s="219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19"/>
      <c r="Z384" s="219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19"/>
      <c r="AL384" s="219"/>
      <c r="AM384" s="219"/>
      <c r="AN384" s="219"/>
      <c r="AO384" s="219"/>
      <c r="AP384" s="219"/>
      <c r="AQ384" s="219"/>
      <c r="AR384" s="219"/>
      <c r="AS384" s="219"/>
      <c r="AT384" s="219"/>
      <c r="AU384" s="219"/>
      <c r="AV384" s="219"/>
      <c r="AW384" s="219"/>
    </row>
    <row r="385" spans="1:49">
      <c r="A385" s="219"/>
      <c r="B385" s="219"/>
      <c r="C385" s="219"/>
      <c r="D385" s="219"/>
      <c r="E385" s="219"/>
      <c r="F385" s="219"/>
      <c r="G385" s="219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19"/>
      <c r="Z385" s="219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19"/>
      <c r="AL385" s="219"/>
      <c r="AM385" s="219"/>
      <c r="AN385" s="219"/>
      <c r="AO385" s="219"/>
      <c r="AP385" s="219"/>
      <c r="AQ385" s="219"/>
      <c r="AR385" s="219"/>
      <c r="AS385" s="219"/>
      <c r="AT385" s="219"/>
      <c r="AU385" s="219"/>
      <c r="AV385" s="219"/>
      <c r="AW385" s="219"/>
    </row>
    <row r="386" spans="1:49">
      <c r="A386" s="219"/>
      <c r="B386" s="219"/>
      <c r="C386" s="219"/>
      <c r="D386" s="219"/>
      <c r="E386" s="219"/>
      <c r="F386" s="219"/>
      <c r="G386" s="219"/>
      <c r="H386" s="219"/>
      <c r="I386" s="219"/>
      <c r="J386" s="219"/>
      <c r="K386" s="219"/>
      <c r="L386" s="219"/>
      <c r="M386" s="219"/>
      <c r="N386" s="219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19"/>
      <c r="Z386" s="219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19"/>
      <c r="AL386" s="219"/>
      <c r="AM386" s="219"/>
      <c r="AN386" s="219"/>
      <c r="AO386" s="219"/>
      <c r="AP386" s="219"/>
      <c r="AQ386" s="219"/>
      <c r="AR386" s="219"/>
      <c r="AS386" s="219"/>
      <c r="AT386" s="219"/>
      <c r="AU386" s="219"/>
      <c r="AV386" s="219"/>
      <c r="AW386" s="219"/>
    </row>
    <row r="387" spans="1:49">
      <c r="A387" s="219"/>
      <c r="B387" s="219"/>
      <c r="C387" s="219"/>
      <c r="D387" s="219"/>
      <c r="E387" s="219"/>
      <c r="F387" s="219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19"/>
      <c r="AL387" s="219"/>
      <c r="AM387" s="219"/>
      <c r="AN387" s="219"/>
      <c r="AO387" s="219"/>
      <c r="AP387" s="219"/>
      <c r="AQ387" s="219"/>
      <c r="AR387" s="219"/>
      <c r="AS387" s="219"/>
      <c r="AT387" s="219"/>
      <c r="AU387" s="219"/>
      <c r="AV387" s="219"/>
      <c r="AW387" s="219"/>
    </row>
    <row r="388" spans="1:49">
      <c r="A388" s="219"/>
      <c r="B388" s="219"/>
      <c r="C388" s="219"/>
      <c r="D388" s="219"/>
      <c r="E388" s="219"/>
      <c r="F388" s="219"/>
      <c r="G388" s="219"/>
      <c r="H388" s="219"/>
      <c r="I388" s="219"/>
      <c r="J388" s="219"/>
      <c r="K388" s="219"/>
      <c r="L388" s="219"/>
      <c r="M388" s="219"/>
      <c r="N388" s="219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19"/>
      <c r="Z388" s="219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19"/>
      <c r="AL388" s="219"/>
      <c r="AM388" s="219"/>
      <c r="AN388" s="219"/>
      <c r="AO388" s="219"/>
      <c r="AP388" s="219"/>
      <c r="AQ388" s="219"/>
      <c r="AR388" s="219"/>
      <c r="AS388" s="219"/>
      <c r="AT388" s="219"/>
      <c r="AU388" s="219"/>
      <c r="AV388" s="219"/>
      <c r="AW388" s="219"/>
    </row>
    <row r="389" spans="1:49">
      <c r="A389" s="219"/>
      <c r="B389" s="219"/>
      <c r="C389" s="219"/>
      <c r="D389" s="219"/>
      <c r="E389" s="219"/>
      <c r="F389" s="219"/>
      <c r="G389" s="219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19"/>
      <c r="Z389" s="219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19"/>
      <c r="AL389" s="219"/>
      <c r="AM389" s="219"/>
      <c r="AN389" s="219"/>
      <c r="AO389" s="219"/>
      <c r="AP389" s="219"/>
      <c r="AQ389" s="219"/>
      <c r="AR389" s="219"/>
      <c r="AS389" s="219"/>
      <c r="AT389" s="219"/>
      <c r="AU389" s="219"/>
      <c r="AV389" s="219"/>
      <c r="AW389" s="219"/>
    </row>
    <row r="390" spans="1:49">
      <c r="A390" s="219"/>
      <c r="B390" s="219"/>
      <c r="C390" s="219"/>
      <c r="D390" s="219"/>
      <c r="E390" s="219"/>
      <c r="F390" s="219"/>
      <c r="G390" s="219"/>
      <c r="H390" s="219"/>
      <c r="I390" s="219"/>
      <c r="J390" s="219"/>
      <c r="K390" s="219"/>
      <c r="L390" s="219"/>
      <c r="M390" s="219"/>
      <c r="N390" s="219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19"/>
      <c r="Z390" s="219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19"/>
      <c r="AL390" s="219"/>
      <c r="AM390" s="219"/>
      <c r="AN390" s="219"/>
      <c r="AO390" s="219"/>
      <c r="AP390" s="219"/>
      <c r="AQ390" s="219"/>
      <c r="AR390" s="219"/>
      <c r="AS390" s="219"/>
      <c r="AT390" s="219"/>
      <c r="AU390" s="219"/>
      <c r="AV390" s="219"/>
      <c r="AW390" s="219"/>
    </row>
    <row r="391" spans="1:49">
      <c r="A391" s="219"/>
      <c r="B391" s="219"/>
      <c r="C391" s="219"/>
      <c r="D391" s="219"/>
      <c r="E391" s="219"/>
      <c r="F391" s="219"/>
      <c r="G391" s="219"/>
      <c r="H391" s="219"/>
      <c r="I391" s="219"/>
      <c r="J391" s="219"/>
      <c r="K391" s="219"/>
      <c r="L391" s="219"/>
      <c r="M391" s="219"/>
      <c r="N391" s="219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19"/>
      <c r="Z391" s="219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19"/>
      <c r="AL391" s="219"/>
      <c r="AM391" s="219"/>
      <c r="AN391" s="219"/>
      <c r="AO391" s="219"/>
      <c r="AP391" s="219"/>
      <c r="AQ391" s="219"/>
      <c r="AR391" s="219"/>
      <c r="AS391" s="219"/>
      <c r="AT391" s="219"/>
      <c r="AU391" s="219"/>
      <c r="AV391" s="219"/>
      <c r="AW391" s="219"/>
    </row>
    <row r="392" spans="1:49">
      <c r="A392" s="219"/>
      <c r="B392" s="219"/>
      <c r="C392" s="219"/>
      <c r="D392" s="219"/>
      <c r="E392" s="219"/>
      <c r="F392" s="219"/>
      <c r="G392" s="219"/>
      <c r="H392" s="219"/>
      <c r="I392" s="219"/>
      <c r="J392" s="219"/>
      <c r="K392" s="219"/>
      <c r="L392" s="219"/>
      <c r="M392" s="219"/>
      <c r="N392" s="219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19"/>
      <c r="Z392" s="219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19"/>
      <c r="AL392" s="219"/>
      <c r="AM392" s="219"/>
      <c r="AN392" s="219"/>
      <c r="AO392" s="219"/>
      <c r="AP392" s="219"/>
      <c r="AQ392" s="219"/>
      <c r="AR392" s="219"/>
      <c r="AS392" s="219"/>
      <c r="AT392" s="219"/>
      <c r="AU392" s="219"/>
      <c r="AV392" s="219"/>
      <c r="AW392" s="219"/>
    </row>
    <row r="393" spans="1:49">
      <c r="A393" s="219"/>
      <c r="B393" s="219"/>
      <c r="C393" s="219"/>
      <c r="D393" s="219"/>
      <c r="E393" s="219"/>
      <c r="F393" s="219"/>
      <c r="G393" s="219"/>
      <c r="H393" s="219"/>
      <c r="I393" s="219"/>
      <c r="J393" s="219"/>
      <c r="K393" s="219"/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19"/>
      <c r="AL393" s="219"/>
      <c r="AM393" s="219"/>
      <c r="AN393" s="219"/>
      <c r="AO393" s="219"/>
      <c r="AP393" s="219"/>
      <c r="AQ393" s="219"/>
      <c r="AR393" s="219"/>
      <c r="AS393" s="219"/>
      <c r="AT393" s="219"/>
      <c r="AU393" s="219"/>
      <c r="AV393" s="219"/>
      <c r="AW393" s="219"/>
    </row>
    <row r="394" spans="1:49">
      <c r="A394" s="219"/>
      <c r="B394" s="219"/>
      <c r="C394" s="219"/>
      <c r="D394" s="219"/>
      <c r="E394" s="219"/>
      <c r="F394" s="219"/>
      <c r="G394" s="219"/>
      <c r="H394" s="219"/>
      <c r="I394" s="219"/>
      <c r="J394" s="219"/>
      <c r="K394" s="219"/>
      <c r="L394" s="219"/>
      <c r="M394" s="219"/>
      <c r="N394" s="219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19"/>
      <c r="AL394" s="219"/>
      <c r="AM394" s="219"/>
      <c r="AN394" s="219"/>
      <c r="AO394" s="219"/>
      <c r="AP394" s="219"/>
      <c r="AQ394" s="219"/>
      <c r="AR394" s="219"/>
      <c r="AS394" s="219"/>
      <c r="AT394" s="219"/>
      <c r="AU394" s="219"/>
      <c r="AV394" s="219"/>
      <c r="AW394" s="219"/>
    </row>
    <row r="395" spans="1:49">
      <c r="A395" s="219"/>
      <c r="B395" s="219"/>
      <c r="C395" s="219"/>
      <c r="D395" s="219"/>
      <c r="E395" s="219"/>
      <c r="F395" s="219"/>
      <c r="G395" s="219"/>
      <c r="H395" s="219"/>
      <c r="I395" s="219"/>
      <c r="J395" s="219"/>
      <c r="K395" s="219"/>
      <c r="L395" s="219"/>
      <c r="M395" s="219"/>
      <c r="N395" s="219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19"/>
      <c r="Z395" s="219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19"/>
      <c r="AL395" s="219"/>
      <c r="AM395" s="219"/>
      <c r="AN395" s="219"/>
      <c r="AO395" s="219"/>
      <c r="AP395" s="219"/>
      <c r="AQ395" s="219"/>
      <c r="AR395" s="219"/>
      <c r="AS395" s="219"/>
      <c r="AT395" s="219"/>
      <c r="AU395" s="219"/>
      <c r="AV395" s="219"/>
      <c r="AW395" s="219"/>
    </row>
    <row r="396" spans="1:49">
      <c r="A396" s="219"/>
      <c r="B396" s="219"/>
      <c r="C396" s="219"/>
      <c r="D396" s="219"/>
      <c r="E396" s="219"/>
      <c r="F396" s="219"/>
      <c r="G396" s="219"/>
      <c r="H396" s="219"/>
      <c r="I396" s="219"/>
      <c r="J396" s="219"/>
      <c r="K396" s="219"/>
      <c r="L396" s="219"/>
      <c r="M396" s="219"/>
      <c r="N396" s="219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19"/>
      <c r="Z396" s="219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19"/>
      <c r="AL396" s="219"/>
      <c r="AM396" s="219"/>
      <c r="AN396" s="219"/>
      <c r="AO396" s="219"/>
      <c r="AP396" s="219"/>
      <c r="AQ396" s="219"/>
      <c r="AR396" s="219"/>
      <c r="AS396" s="219"/>
      <c r="AT396" s="219"/>
      <c r="AU396" s="219"/>
      <c r="AV396" s="219"/>
      <c r="AW396" s="219"/>
    </row>
    <row r="397" spans="1:49">
      <c r="A397" s="219"/>
      <c r="B397" s="219"/>
      <c r="C397" s="219"/>
      <c r="D397" s="219"/>
      <c r="E397" s="219"/>
      <c r="F397" s="219"/>
      <c r="G397" s="219"/>
      <c r="H397" s="219"/>
      <c r="I397" s="219"/>
      <c r="J397" s="219"/>
      <c r="K397" s="219"/>
      <c r="L397" s="219"/>
      <c r="M397" s="219"/>
      <c r="N397" s="219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19"/>
      <c r="Z397" s="219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19"/>
      <c r="AL397" s="219"/>
      <c r="AM397" s="219"/>
      <c r="AN397" s="219"/>
      <c r="AO397" s="219"/>
      <c r="AP397" s="219"/>
      <c r="AQ397" s="219"/>
      <c r="AR397" s="219"/>
      <c r="AS397" s="219"/>
      <c r="AT397" s="219"/>
      <c r="AU397" s="219"/>
      <c r="AV397" s="219"/>
      <c r="AW397" s="219"/>
    </row>
    <row r="398" spans="1:49">
      <c r="A398" s="219"/>
      <c r="B398" s="219"/>
      <c r="C398" s="219"/>
      <c r="D398" s="219"/>
      <c r="E398" s="219"/>
      <c r="F398" s="219"/>
      <c r="G398" s="219"/>
      <c r="H398" s="219"/>
      <c r="I398" s="219"/>
      <c r="J398" s="219"/>
      <c r="K398" s="219"/>
      <c r="L398" s="219"/>
      <c r="M398" s="219"/>
      <c r="N398" s="219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19"/>
      <c r="Z398" s="219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19"/>
      <c r="AL398" s="219"/>
      <c r="AM398" s="219"/>
      <c r="AN398" s="219"/>
      <c r="AO398" s="219"/>
      <c r="AP398" s="219"/>
      <c r="AQ398" s="219"/>
      <c r="AR398" s="219"/>
      <c r="AS398" s="219"/>
      <c r="AT398" s="219"/>
      <c r="AU398" s="219"/>
      <c r="AV398" s="219"/>
      <c r="AW398" s="219"/>
    </row>
    <row r="399" spans="1:49">
      <c r="A399" s="219"/>
      <c r="B399" s="219"/>
      <c r="C399" s="219"/>
      <c r="D399" s="219"/>
      <c r="E399" s="219"/>
      <c r="F399" s="219"/>
      <c r="G399" s="219"/>
      <c r="H399" s="219"/>
      <c r="I399" s="219"/>
      <c r="J399" s="219"/>
      <c r="K399" s="219"/>
      <c r="L399" s="219"/>
      <c r="M399" s="219"/>
      <c r="N399" s="219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19"/>
      <c r="Z399" s="219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19"/>
      <c r="AL399" s="219"/>
      <c r="AM399" s="219"/>
      <c r="AN399" s="219"/>
      <c r="AO399" s="219"/>
      <c r="AP399" s="219"/>
      <c r="AQ399" s="219"/>
      <c r="AR399" s="219"/>
      <c r="AS399" s="219"/>
      <c r="AT399" s="219"/>
      <c r="AU399" s="219"/>
      <c r="AV399" s="219"/>
      <c r="AW399" s="219"/>
    </row>
    <row r="400" spans="1:49">
      <c r="A400" s="219"/>
      <c r="B400" s="219"/>
      <c r="C400" s="219"/>
      <c r="D400" s="219"/>
      <c r="E400" s="219"/>
      <c r="F400" s="219"/>
      <c r="G400" s="219"/>
      <c r="H400" s="219"/>
      <c r="I400" s="219"/>
      <c r="J400" s="219"/>
      <c r="K400" s="219"/>
      <c r="L400" s="219"/>
      <c r="M400" s="219"/>
      <c r="N400" s="219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19"/>
      <c r="Z400" s="219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19"/>
      <c r="AL400" s="219"/>
      <c r="AM400" s="219"/>
      <c r="AN400" s="219"/>
      <c r="AO400" s="219"/>
      <c r="AP400" s="219"/>
      <c r="AQ400" s="219"/>
      <c r="AR400" s="219"/>
      <c r="AS400" s="219"/>
      <c r="AT400" s="219"/>
      <c r="AU400" s="219"/>
      <c r="AV400" s="219"/>
      <c r="AW400" s="219"/>
    </row>
    <row r="401" spans="1:49">
      <c r="A401" s="219"/>
      <c r="B401" s="219"/>
      <c r="C401" s="219"/>
      <c r="D401" s="219"/>
      <c r="E401" s="219"/>
      <c r="F401" s="219"/>
      <c r="G401" s="219"/>
      <c r="H401" s="219"/>
      <c r="I401" s="219"/>
      <c r="J401" s="219"/>
      <c r="K401" s="219"/>
      <c r="L401" s="219"/>
      <c r="M401" s="219"/>
      <c r="N401" s="219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19"/>
      <c r="Z401" s="219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19"/>
      <c r="AL401" s="219"/>
      <c r="AM401" s="219"/>
      <c r="AN401" s="219"/>
      <c r="AO401" s="219"/>
      <c r="AP401" s="219"/>
      <c r="AQ401" s="219"/>
      <c r="AR401" s="219"/>
      <c r="AS401" s="219"/>
      <c r="AT401" s="219"/>
      <c r="AU401" s="219"/>
      <c r="AV401" s="219"/>
      <c r="AW401" s="219"/>
    </row>
    <row r="402" spans="1:49">
      <c r="A402" s="219"/>
      <c r="B402" s="219"/>
      <c r="C402" s="219"/>
      <c r="D402" s="219"/>
      <c r="E402" s="219"/>
      <c r="F402" s="219"/>
      <c r="G402" s="219"/>
      <c r="H402" s="219"/>
      <c r="I402" s="219"/>
      <c r="J402" s="219"/>
      <c r="K402" s="219"/>
      <c r="L402" s="219"/>
      <c r="M402" s="219"/>
      <c r="N402" s="219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19"/>
      <c r="Z402" s="219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19"/>
      <c r="AL402" s="219"/>
      <c r="AM402" s="219"/>
      <c r="AN402" s="219"/>
      <c r="AO402" s="219"/>
      <c r="AP402" s="219"/>
      <c r="AQ402" s="219"/>
      <c r="AR402" s="219"/>
      <c r="AS402" s="219"/>
      <c r="AT402" s="219"/>
      <c r="AU402" s="219"/>
      <c r="AV402" s="219"/>
      <c r="AW402" s="219"/>
    </row>
    <row r="403" spans="1:49">
      <c r="A403" s="219"/>
      <c r="B403" s="219"/>
      <c r="C403" s="219"/>
      <c r="D403" s="219"/>
      <c r="E403" s="219"/>
      <c r="F403" s="219"/>
      <c r="G403" s="219"/>
      <c r="H403" s="219"/>
      <c r="I403" s="219"/>
      <c r="J403" s="219"/>
      <c r="K403" s="219"/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19"/>
      <c r="AL403" s="219"/>
      <c r="AM403" s="219"/>
      <c r="AN403" s="219"/>
      <c r="AO403" s="219"/>
      <c r="AP403" s="219"/>
      <c r="AQ403" s="219"/>
      <c r="AR403" s="219"/>
      <c r="AS403" s="219"/>
      <c r="AT403" s="219"/>
      <c r="AU403" s="219"/>
      <c r="AV403" s="219"/>
      <c r="AW403" s="219"/>
    </row>
    <row r="404" spans="1:49">
      <c r="A404" s="219"/>
      <c r="B404" s="219"/>
      <c r="C404" s="219"/>
      <c r="D404" s="219"/>
      <c r="E404" s="219"/>
      <c r="F404" s="219"/>
      <c r="G404" s="219"/>
      <c r="H404" s="219"/>
      <c r="I404" s="219"/>
      <c r="J404" s="219"/>
      <c r="K404" s="219"/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19"/>
      <c r="Z404" s="219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19"/>
      <c r="AL404" s="219"/>
      <c r="AM404" s="219"/>
      <c r="AN404" s="219"/>
      <c r="AO404" s="219"/>
      <c r="AP404" s="219"/>
      <c r="AQ404" s="219"/>
      <c r="AR404" s="219"/>
      <c r="AS404" s="219"/>
      <c r="AT404" s="219"/>
      <c r="AU404" s="219"/>
      <c r="AV404" s="219"/>
      <c r="AW404" s="219"/>
    </row>
    <row r="405" spans="1:49">
      <c r="A405" s="219"/>
      <c r="B405" s="219"/>
      <c r="C405" s="219"/>
      <c r="D405" s="219"/>
      <c r="E405" s="219"/>
      <c r="F405" s="219"/>
      <c r="G405" s="219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19"/>
      <c r="Z405" s="219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19"/>
      <c r="AL405" s="219"/>
      <c r="AM405" s="219"/>
      <c r="AN405" s="219"/>
      <c r="AO405" s="219"/>
      <c r="AP405" s="219"/>
      <c r="AQ405" s="219"/>
      <c r="AR405" s="219"/>
      <c r="AS405" s="219"/>
      <c r="AT405" s="219"/>
      <c r="AU405" s="219"/>
      <c r="AV405" s="219"/>
      <c r="AW405" s="219"/>
    </row>
    <row r="406" spans="1:49">
      <c r="A406" s="219"/>
      <c r="B406" s="219"/>
      <c r="C406" s="219"/>
      <c r="D406" s="219"/>
      <c r="E406" s="219"/>
      <c r="F406" s="219"/>
      <c r="G406" s="219"/>
      <c r="H406" s="219"/>
      <c r="I406" s="219"/>
      <c r="J406" s="219"/>
      <c r="K406" s="219"/>
      <c r="L406" s="219"/>
      <c r="M406" s="219"/>
      <c r="N406" s="219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19"/>
      <c r="Z406" s="219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19"/>
      <c r="AL406" s="219"/>
      <c r="AM406" s="219"/>
      <c r="AN406" s="219"/>
      <c r="AO406" s="219"/>
      <c r="AP406" s="219"/>
      <c r="AQ406" s="219"/>
      <c r="AR406" s="219"/>
      <c r="AS406" s="219"/>
      <c r="AT406" s="219"/>
      <c r="AU406" s="219"/>
      <c r="AV406" s="219"/>
      <c r="AW406" s="219"/>
    </row>
    <row r="407" spans="1:49">
      <c r="A407" s="219"/>
      <c r="B407" s="219"/>
      <c r="C407" s="219"/>
      <c r="D407" s="219"/>
      <c r="E407" s="219"/>
      <c r="F407" s="219"/>
      <c r="G407" s="219"/>
      <c r="H407" s="219"/>
      <c r="I407" s="219"/>
      <c r="J407" s="219"/>
      <c r="K407" s="219"/>
      <c r="L407" s="219"/>
      <c r="M407" s="219"/>
      <c r="N407" s="219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19"/>
      <c r="Z407" s="219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19"/>
      <c r="AL407" s="219"/>
      <c r="AM407" s="219"/>
      <c r="AN407" s="219"/>
      <c r="AO407" s="219"/>
      <c r="AP407" s="219"/>
      <c r="AQ407" s="219"/>
      <c r="AR407" s="219"/>
      <c r="AS407" s="219"/>
      <c r="AT407" s="219"/>
      <c r="AU407" s="219"/>
      <c r="AV407" s="219"/>
      <c r="AW407" s="219"/>
    </row>
    <row r="408" spans="1:49">
      <c r="A408" s="219"/>
      <c r="B408" s="219"/>
      <c r="C408" s="219"/>
      <c r="D408" s="219"/>
      <c r="E408" s="219"/>
      <c r="F408" s="219"/>
      <c r="G408" s="219"/>
      <c r="H408" s="219"/>
      <c r="I408" s="219"/>
      <c r="J408" s="219"/>
      <c r="K408" s="219"/>
      <c r="L408" s="219"/>
      <c r="M408" s="219"/>
      <c r="N408" s="219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19"/>
      <c r="Z408" s="219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19"/>
      <c r="AL408" s="219"/>
      <c r="AM408" s="219"/>
      <c r="AN408" s="219"/>
      <c r="AO408" s="219"/>
      <c r="AP408" s="219"/>
      <c r="AQ408" s="219"/>
      <c r="AR408" s="219"/>
      <c r="AS408" s="219"/>
      <c r="AT408" s="219"/>
      <c r="AU408" s="219"/>
      <c r="AV408" s="219"/>
      <c r="AW408" s="219"/>
    </row>
    <row r="409" spans="1:49">
      <c r="A409" s="219"/>
      <c r="B409" s="219"/>
      <c r="C409" s="219"/>
      <c r="D409" s="219"/>
      <c r="E409" s="219"/>
      <c r="F409" s="219"/>
      <c r="G409" s="219"/>
      <c r="H409" s="219"/>
      <c r="I409" s="219"/>
      <c r="J409" s="219"/>
      <c r="K409" s="219"/>
      <c r="L409" s="219"/>
      <c r="M409" s="219"/>
      <c r="N409" s="219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19"/>
      <c r="Z409" s="219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19"/>
      <c r="AL409" s="219"/>
      <c r="AM409" s="219"/>
      <c r="AN409" s="219"/>
      <c r="AO409" s="219"/>
      <c r="AP409" s="219"/>
      <c r="AQ409" s="219"/>
      <c r="AR409" s="219"/>
      <c r="AS409" s="219"/>
      <c r="AT409" s="219"/>
      <c r="AU409" s="219"/>
      <c r="AV409" s="219"/>
      <c r="AW409" s="219"/>
    </row>
    <row r="410" spans="1:49">
      <c r="A410" s="219"/>
      <c r="B410" s="219"/>
      <c r="C410" s="219"/>
      <c r="D410" s="219"/>
      <c r="E410" s="219"/>
      <c r="F410" s="219"/>
      <c r="G410" s="219"/>
      <c r="H410" s="219"/>
      <c r="I410" s="219"/>
      <c r="J410" s="219"/>
      <c r="K410" s="219"/>
      <c r="L410" s="219"/>
      <c r="M410" s="219"/>
      <c r="N410" s="219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19"/>
      <c r="Z410" s="219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19"/>
      <c r="AL410" s="219"/>
      <c r="AM410" s="219"/>
      <c r="AN410" s="219"/>
      <c r="AO410" s="219"/>
      <c r="AP410" s="219"/>
      <c r="AQ410" s="219"/>
      <c r="AR410" s="219"/>
      <c r="AS410" s="219"/>
      <c r="AT410" s="219"/>
      <c r="AU410" s="219"/>
      <c r="AV410" s="219"/>
      <c r="AW410" s="219"/>
    </row>
    <row r="411" spans="1:49">
      <c r="A411" s="219"/>
      <c r="B411" s="219"/>
      <c r="C411" s="219"/>
      <c r="D411" s="219"/>
      <c r="E411" s="219"/>
      <c r="F411" s="219"/>
      <c r="G411" s="219"/>
      <c r="H411" s="219"/>
      <c r="I411" s="219"/>
      <c r="J411" s="219"/>
      <c r="K411" s="219"/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19"/>
      <c r="Z411" s="219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19"/>
      <c r="AL411" s="219"/>
      <c r="AM411" s="219"/>
      <c r="AN411" s="219"/>
      <c r="AO411" s="219"/>
      <c r="AP411" s="219"/>
      <c r="AQ411" s="219"/>
      <c r="AR411" s="219"/>
      <c r="AS411" s="219"/>
      <c r="AT411" s="219"/>
      <c r="AU411" s="219"/>
      <c r="AV411" s="219"/>
      <c r="AW411" s="219"/>
    </row>
    <row r="412" spans="1:49">
      <c r="A412" s="219"/>
      <c r="B412" s="219"/>
      <c r="C412" s="219"/>
      <c r="D412" s="219"/>
      <c r="E412" s="219"/>
      <c r="F412" s="219"/>
      <c r="G412" s="219"/>
      <c r="H412" s="219"/>
      <c r="I412" s="219"/>
      <c r="J412" s="219"/>
      <c r="K412" s="219"/>
      <c r="L412" s="219"/>
      <c r="M412" s="219"/>
      <c r="N412" s="219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19"/>
      <c r="Z412" s="219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19"/>
      <c r="AL412" s="219"/>
      <c r="AM412" s="219"/>
      <c r="AN412" s="219"/>
      <c r="AO412" s="219"/>
      <c r="AP412" s="219"/>
      <c r="AQ412" s="219"/>
      <c r="AR412" s="219"/>
      <c r="AS412" s="219"/>
      <c r="AT412" s="219"/>
      <c r="AU412" s="219"/>
      <c r="AV412" s="219"/>
      <c r="AW412" s="219"/>
    </row>
    <row r="413" spans="1:49">
      <c r="A413" s="219"/>
      <c r="B413" s="219"/>
      <c r="C413" s="219"/>
      <c r="D413" s="219"/>
      <c r="E413" s="219"/>
      <c r="F413" s="219"/>
      <c r="G413" s="219"/>
      <c r="H413" s="219"/>
      <c r="I413" s="219"/>
      <c r="J413" s="219"/>
      <c r="K413" s="219"/>
      <c r="L413" s="219"/>
      <c r="M413" s="219"/>
      <c r="N413" s="219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19"/>
      <c r="Z413" s="219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19"/>
      <c r="AL413" s="219"/>
      <c r="AM413" s="219"/>
      <c r="AN413" s="219"/>
      <c r="AO413" s="219"/>
      <c r="AP413" s="219"/>
      <c r="AQ413" s="219"/>
      <c r="AR413" s="219"/>
      <c r="AS413" s="219"/>
      <c r="AT413" s="219"/>
      <c r="AU413" s="219"/>
      <c r="AV413" s="219"/>
      <c r="AW413" s="219"/>
    </row>
    <row r="414" spans="1:49">
      <c r="A414" s="219"/>
      <c r="B414" s="219"/>
      <c r="C414" s="219"/>
      <c r="D414" s="219"/>
      <c r="E414" s="219"/>
      <c r="F414" s="219"/>
      <c r="G414" s="219"/>
      <c r="H414" s="219"/>
      <c r="I414" s="219"/>
      <c r="J414" s="219"/>
      <c r="K414" s="219"/>
      <c r="L414" s="219"/>
      <c r="M414" s="219"/>
      <c r="N414" s="219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19"/>
      <c r="Z414" s="219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19"/>
      <c r="AL414" s="219"/>
      <c r="AM414" s="219"/>
      <c r="AN414" s="219"/>
      <c r="AO414" s="219"/>
      <c r="AP414" s="219"/>
      <c r="AQ414" s="219"/>
      <c r="AR414" s="219"/>
      <c r="AS414" s="219"/>
      <c r="AT414" s="219"/>
      <c r="AU414" s="219"/>
      <c r="AV414" s="219"/>
      <c r="AW414" s="219"/>
    </row>
    <row r="415" spans="1:49">
      <c r="A415" s="219"/>
      <c r="B415" s="219"/>
      <c r="C415" s="219"/>
      <c r="D415" s="219"/>
      <c r="E415" s="219"/>
      <c r="F415" s="219"/>
      <c r="G415" s="219"/>
      <c r="H415" s="219"/>
      <c r="I415" s="219"/>
      <c r="J415" s="219"/>
      <c r="K415" s="219"/>
      <c r="L415" s="219"/>
      <c r="M415" s="219"/>
      <c r="N415" s="219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19"/>
      <c r="Z415" s="219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19"/>
      <c r="AL415" s="219"/>
      <c r="AM415" s="219"/>
      <c r="AN415" s="219"/>
      <c r="AO415" s="219"/>
      <c r="AP415" s="219"/>
      <c r="AQ415" s="219"/>
      <c r="AR415" s="219"/>
      <c r="AS415" s="219"/>
      <c r="AT415" s="219"/>
      <c r="AU415" s="219"/>
      <c r="AV415" s="219"/>
      <c r="AW415" s="219"/>
    </row>
    <row r="416" spans="1:49">
      <c r="A416" s="219"/>
      <c r="B416" s="219"/>
      <c r="C416" s="219"/>
      <c r="D416" s="219"/>
      <c r="E416" s="219"/>
      <c r="F416" s="219"/>
      <c r="G416" s="219"/>
      <c r="H416" s="219"/>
      <c r="I416" s="219"/>
      <c r="J416" s="219"/>
      <c r="K416" s="219"/>
      <c r="L416" s="219"/>
      <c r="M416" s="219"/>
      <c r="N416" s="219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19"/>
      <c r="Z416" s="219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19"/>
      <c r="AL416" s="219"/>
      <c r="AM416" s="219"/>
      <c r="AN416" s="219"/>
      <c r="AO416" s="219"/>
      <c r="AP416" s="219"/>
      <c r="AQ416" s="219"/>
      <c r="AR416" s="219"/>
      <c r="AS416" s="219"/>
      <c r="AT416" s="219"/>
      <c r="AU416" s="219"/>
      <c r="AV416" s="219"/>
      <c r="AW416" s="219"/>
    </row>
    <row r="417" spans="1:49">
      <c r="A417" s="219"/>
      <c r="B417" s="219"/>
      <c r="C417" s="219"/>
      <c r="D417" s="219"/>
      <c r="E417" s="219"/>
      <c r="F417" s="219"/>
      <c r="G417" s="219"/>
      <c r="H417" s="219"/>
      <c r="I417" s="219"/>
      <c r="J417" s="219"/>
      <c r="K417" s="219"/>
      <c r="L417" s="219"/>
      <c r="M417" s="219"/>
      <c r="N417" s="219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19"/>
      <c r="Z417" s="219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19"/>
      <c r="AL417" s="219"/>
      <c r="AM417" s="219"/>
      <c r="AN417" s="219"/>
      <c r="AO417" s="219"/>
      <c r="AP417" s="219"/>
      <c r="AQ417" s="219"/>
      <c r="AR417" s="219"/>
      <c r="AS417" s="219"/>
      <c r="AT417" s="219"/>
      <c r="AU417" s="219"/>
      <c r="AV417" s="219"/>
      <c r="AW417" s="219"/>
    </row>
    <row r="418" spans="1:49">
      <c r="A418" s="219"/>
      <c r="B418" s="219"/>
      <c r="C418" s="219"/>
      <c r="D418" s="219"/>
      <c r="E418" s="219"/>
      <c r="F418" s="219"/>
      <c r="G418" s="219"/>
      <c r="H418" s="219"/>
      <c r="I418" s="219"/>
      <c r="J418" s="219"/>
      <c r="K418" s="219"/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19"/>
      <c r="Z418" s="219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19"/>
      <c r="AL418" s="219"/>
      <c r="AM418" s="219"/>
      <c r="AN418" s="219"/>
      <c r="AO418" s="219"/>
      <c r="AP418" s="219"/>
      <c r="AQ418" s="219"/>
      <c r="AR418" s="219"/>
      <c r="AS418" s="219"/>
      <c r="AT418" s="219"/>
      <c r="AU418" s="219"/>
      <c r="AV418" s="219"/>
      <c r="AW418" s="219"/>
    </row>
    <row r="419" spans="1:49">
      <c r="A419" s="219"/>
      <c r="B419" s="219"/>
      <c r="C419" s="219"/>
      <c r="D419" s="219"/>
      <c r="E419" s="219"/>
      <c r="F419" s="219"/>
      <c r="G419" s="219"/>
      <c r="H419" s="219"/>
      <c r="I419" s="219"/>
      <c r="J419" s="219"/>
      <c r="K419" s="219"/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19"/>
      <c r="Z419" s="219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19"/>
      <c r="AL419" s="219"/>
      <c r="AM419" s="219"/>
      <c r="AN419" s="219"/>
      <c r="AO419" s="219"/>
      <c r="AP419" s="219"/>
      <c r="AQ419" s="219"/>
      <c r="AR419" s="219"/>
      <c r="AS419" s="219"/>
      <c r="AT419" s="219"/>
      <c r="AU419" s="219"/>
      <c r="AV419" s="219"/>
      <c r="AW419" s="219"/>
    </row>
    <row r="420" spans="1:49">
      <c r="A420" s="219"/>
      <c r="B420" s="219"/>
      <c r="C420" s="219"/>
      <c r="D420" s="219"/>
      <c r="E420" s="219"/>
      <c r="F420" s="219"/>
      <c r="G420" s="219"/>
      <c r="H420" s="219"/>
      <c r="I420" s="219"/>
      <c r="J420" s="219"/>
      <c r="K420" s="219"/>
      <c r="L420" s="219"/>
      <c r="M420" s="219"/>
      <c r="N420" s="219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19"/>
      <c r="Z420" s="219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19"/>
      <c r="AL420" s="219"/>
      <c r="AM420" s="219"/>
      <c r="AN420" s="219"/>
      <c r="AO420" s="219"/>
      <c r="AP420" s="219"/>
      <c r="AQ420" s="219"/>
      <c r="AR420" s="219"/>
      <c r="AS420" s="219"/>
      <c r="AT420" s="219"/>
      <c r="AU420" s="219"/>
      <c r="AV420" s="219"/>
      <c r="AW420" s="219"/>
    </row>
    <row r="421" spans="1:49">
      <c r="A421" s="219"/>
      <c r="B421" s="219"/>
      <c r="C421" s="219"/>
      <c r="D421" s="219"/>
      <c r="E421" s="219"/>
      <c r="F421" s="219"/>
      <c r="G421" s="219"/>
      <c r="H421" s="219"/>
      <c r="I421" s="219"/>
      <c r="J421" s="219"/>
      <c r="K421" s="219"/>
      <c r="L421" s="219"/>
      <c r="M421" s="219"/>
      <c r="N421" s="219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19"/>
      <c r="Z421" s="219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19"/>
      <c r="AL421" s="219"/>
      <c r="AM421" s="219"/>
      <c r="AN421" s="219"/>
      <c r="AO421" s="219"/>
      <c r="AP421" s="219"/>
      <c r="AQ421" s="219"/>
      <c r="AR421" s="219"/>
      <c r="AS421" s="219"/>
      <c r="AT421" s="219"/>
      <c r="AU421" s="219"/>
      <c r="AV421" s="219"/>
      <c r="AW421" s="219"/>
    </row>
    <row r="422" spans="1:49">
      <c r="A422" s="219"/>
      <c r="B422" s="219"/>
      <c r="C422" s="219"/>
      <c r="D422" s="219"/>
      <c r="E422" s="219"/>
      <c r="F422" s="219"/>
      <c r="G422" s="219"/>
      <c r="H422" s="219"/>
      <c r="I422" s="219"/>
      <c r="J422" s="219"/>
      <c r="K422" s="219"/>
      <c r="L422" s="219"/>
      <c r="M422" s="219"/>
      <c r="N422" s="219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19"/>
      <c r="Z422" s="219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19"/>
      <c r="AL422" s="219"/>
      <c r="AM422" s="219"/>
      <c r="AN422" s="219"/>
      <c r="AO422" s="219"/>
      <c r="AP422" s="219"/>
      <c r="AQ422" s="219"/>
      <c r="AR422" s="219"/>
      <c r="AS422" s="219"/>
      <c r="AT422" s="219"/>
      <c r="AU422" s="219"/>
      <c r="AV422" s="219"/>
      <c r="AW422" s="219"/>
    </row>
    <row r="423" spans="1:49">
      <c r="A423" s="219"/>
      <c r="B423" s="219"/>
      <c r="C423" s="219"/>
      <c r="D423" s="219"/>
      <c r="E423" s="219"/>
      <c r="F423" s="219"/>
      <c r="G423" s="219"/>
      <c r="H423" s="219"/>
      <c r="I423" s="219"/>
      <c r="J423" s="219"/>
      <c r="K423" s="219"/>
      <c r="L423" s="219"/>
      <c r="M423" s="219"/>
      <c r="N423" s="219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19"/>
      <c r="Z423" s="219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19"/>
      <c r="AL423" s="219"/>
      <c r="AM423" s="219"/>
      <c r="AN423" s="219"/>
      <c r="AO423" s="219"/>
      <c r="AP423" s="219"/>
      <c r="AQ423" s="219"/>
      <c r="AR423" s="219"/>
      <c r="AS423" s="219"/>
      <c r="AT423" s="219"/>
      <c r="AU423" s="219"/>
      <c r="AV423" s="219"/>
      <c r="AW423" s="219"/>
    </row>
    <row r="424" spans="1:49">
      <c r="A424" s="219"/>
      <c r="B424" s="219"/>
      <c r="C424" s="219"/>
      <c r="D424" s="219"/>
      <c r="E424" s="219"/>
      <c r="F424" s="219"/>
      <c r="G424" s="219"/>
      <c r="H424" s="219"/>
      <c r="I424" s="219"/>
      <c r="J424" s="219"/>
      <c r="K424" s="219"/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19"/>
      <c r="Z424" s="219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19"/>
      <c r="AL424" s="219"/>
      <c r="AM424" s="219"/>
      <c r="AN424" s="219"/>
      <c r="AO424" s="219"/>
      <c r="AP424" s="219"/>
      <c r="AQ424" s="219"/>
      <c r="AR424" s="219"/>
      <c r="AS424" s="219"/>
      <c r="AT424" s="219"/>
      <c r="AU424" s="219"/>
      <c r="AV424" s="219"/>
      <c r="AW424" s="219"/>
    </row>
    <row r="425" spans="1:49">
      <c r="A425" s="219"/>
      <c r="B425" s="219"/>
      <c r="C425" s="219"/>
      <c r="D425" s="219"/>
      <c r="E425" s="219"/>
      <c r="F425" s="219"/>
      <c r="G425" s="219"/>
      <c r="H425" s="219"/>
      <c r="I425" s="219"/>
      <c r="J425" s="219"/>
      <c r="K425" s="219"/>
      <c r="L425" s="219"/>
      <c r="M425" s="219"/>
      <c r="N425" s="219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19"/>
      <c r="Z425" s="219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19"/>
      <c r="AL425" s="219"/>
      <c r="AM425" s="219"/>
      <c r="AN425" s="219"/>
      <c r="AO425" s="219"/>
      <c r="AP425" s="219"/>
      <c r="AQ425" s="219"/>
      <c r="AR425" s="219"/>
      <c r="AS425" s="219"/>
      <c r="AT425" s="219"/>
      <c r="AU425" s="219"/>
      <c r="AV425" s="219"/>
      <c r="AW425" s="219"/>
    </row>
    <row r="426" spans="1:49">
      <c r="A426" s="219"/>
      <c r="B426" s="219"/>
      <c r="C426" s="219"/>
      <c r="D426" s="219"/>
      <c r="E426" s="219"/>
      <c r="F426" s="219"/>
      <c r="G426" s="219"/>
      <c r="H426" s="219"/>
      <c r="I426" s="219"/>
      <c r="J426" s="219"/>
      <c r="K426" s="219"/>
      <c r="L426" s="219"/>
      <c r="M426" s="219"/>
      <c r="N426" s="219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19"/>
      <c r="Z426" s="219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19"/>
      <c r="AL426" s="219"/>
      <c r="AM426" s="219"/>
      <c r="AN426" s="219"/>
      <c r="AO426" s="219"/>
      <c r="AP426" s="219"/>
      <c r="AQ426" s="219"/>
      <c r="AR426" s="219"/>
      <c r="AS426" s="219"/>
      <c r="AT426" s="219"/>
      <c r="AU426" s="219"/>
      <c r="AV426" s="219"/>
      <c r="AW426" s="219"/>
    </row>
    <row r="427" spans="1:49">
      <c r="A427" s="219"/>
      <c r="B427" s="219"/>
      <c r="C427" s="219"/>
      <c r="D427" s="219"/>
      <c r="E427" s="219"/>
      <c r="F427" s="219"/>
      <c r="G427" s="219"/>
      <c r="H427" s="219"/>
      <c r="I427" s="219"/>
      <c r="J427" s="219"/>
      <c r="K427" s="219"/>
      <c r="L427" s="219"/>
      <c r="M427" s="219"/>
      <c r="N427" s="219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19"/>
      <c r="Z427" s="219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19"/>
      <c r="AL427" s="219"/>
      <c r="AM427" s="219"/>
      <c r="AN427" s="219"/>
      <c r="AO427" s="219"/>
      <c r="AP427" s="219"/>
      <c r="AQ427" s="219"/>
      <c r="AR427" s="219"/>
      <c r="AS427" s="219"/>
      <c r="AT427" s="219"/>
      <c r="AU427" s="219"/>
      <c r="AV427" s="219"/>
      <c r="AW427" s="219"/>
    </row>
    <row r="428" spans="1:49">
      <c r="A428" s="219"/>
      <c r="B428" s="219"/>
      <c r="C428" s="219"/>
      <c r="D428" s="219"/>
      <c r="E428" s="219"/>
      <c r="F428" s="219"/>
      <c r="G428" s="219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19"/>
      <c r="Z428" s="219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19"/>
      <c r="AL428" s="219"/>
      <c r="AM428" s="219"/>
      <c r="AN428" s="219"/>
      <c r="AO428" s="219"/>
      <c r="AP428" s="219"/>
      <c r="AQ428" s="219"/>
      <c r="AR428" s="219"/>
      <c r="AS428" s="219"/>
      <c r="AT428" s="219"/>
      <c r="AU428" s="219"/>
      <c r="AV428" s="219"/>
      <c r="AW428" s="219"/>
    </row>
    <row r="429" spans="1:49">
      <c r="A429" s="219"/>
      <c r="B429" s="219"/>
      <c r="C429" s="219"/>
      <c r="D429" s="219"/>
      <c r="E429" s="219"/>
      <c r="F429" s="219"/>
      <c r="G429" s="219"/>
      <c r="H429" s="219"/>
      <c r="I429" s="219"/>
      <c r="J429" s="219"/>
      <c r="K429" s="219"/>
      <c r="L429" s="219"/>
      <c r="M429" s="219"/>
      <c r="N429" s="219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19"/>
      <c r="Z429" s="219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19"/>
      <c r="AL429" s="219"/>
      <c r="AM429" s="219"/>
      <c r="AN429" s="219"/>
      <c r="AO429" s="219"/>
      <c r="AP429" s="219"/>
      <c r="AQ429" s="219"/>
      <c r="AR429" s="219"/>
      <c r="AS429" s="219"/>
      <c r="AT429" s="219"/>
      <c r="AU429" s="219"/>
      <c r="AV429" s="219"/>
      <c r="AW429" s="219"/>
    </row>
    <row r="430" spans="1:49">
      <c r="A430" s="219"/>
      <c r="B430" s="219"/>
      <c r="C430" s="219"/>
      <c r="D430" s="219"/>
      <c r="E430" s="219"/>
      <c r="F430" s="219"/>
      <c r="G430" s="219"/>
      <c r="H430" s="219"/>
      <c r="I430" s="219"/>
      <c r="J430" s="219"/>
      <c r="K430" s="219"/>
      <c r="L430" s="219"/>
      <c r="M430" s="219"/>
      <c r="N430" s="219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19"/>
      <c r="Z430" s="219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19"/>
      <c r="AL430" s="219"/>
      <c r="AM430" s="219"/>
      <c r="AN430" s="219"/>
      <c r="AO430" s="219"/>
      <c r="AP430" s="219"/>
      <c r="AQ430" s="219"/>
      <c r="AR430" s="219"/>
      <c r="AS430" s="219"/>
      <c r="AT430" s="219"/>
      <c r="AU430" s="219"/>
      <c r="AV430" s="219"/>
      <c r="AW430" s="219"/>
    </row>
    <row r="431" spans="1:49">
      <c r="A431" s="219"/>
      <c r="B431" s="219"/>
      <c r="C431" s="219"/>
      <c r="D431" s="219"/>
      <c r="E431" s="219"/>
      <c r="F431" s="219"/>
      <c r="G431" s="219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19"/>
      <c r="AL431" s="219"/>
      <c r="AM431" s="219"/>
      <c r="AN431" s="219"/>
      <c r="AO431" s="219"/>
      <c r="AP431" s="219"/>
      <c r="AQ431" s="219"/>
      <c r="AR431" s="219"/>
      <c r="AS431" s="219"/>
      <c r="AT431" s="219"/>
      <c r="AU431" s="219"/>
      <c r="AV431" s="219"/>
      <c r="AW431" s="219"/>
    </row>
    <row r="432" spans="1:49">
      <c r="A432" s="219"/>
      <c r="B432" s="219"/>
      <c r="C432" s="219"/>
      <c r="D432" s="219"/>
      <c r="E432" s="219"/>
      <c r="F432" s="219"/>
      <c r="G432" s="219"/>
      <c r="H432" s="219"/>
      <c r="I432" s="219"/>
      <c r="J432" s="219"/>
      <c r="K432" s="219"/>
      <c r="L432" s="219"/>
      <c r="M432" s="219"/>
      <c r="N432" s="219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19"/>
      <c r="Z432" s="219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19"/>
      <c r="AL432" s="219"/>
      <c r="AM432" s="219"/>
      <c r="AN432" s="219"/>
      <c r="AO432" s="219"/>
      <c r="AP432" s="219"/>
      <c r="AQ432" s="219"/>
      <c r="AR432" s="219"/>
      <c r="AS432" s="219"/>
      <c r="AT432" s="219"/>
      <c r="AU432" s="219"/>
      <c r="AV432" s="219"/>
      <c r="AW432" s="219"/>
    </row>
    <row r="433" spans="1:49">
      <c r="A433" s="219"/>
      <c r="B433" s="219"/>
      <c r="C433" s="219"/>
      <c r="D433" s="219"/>
      <c r="E433" s="219"/>
      <c r="F433" s="219"/>
      <c r="G433" s="219"/>
      <c r="H433" s="219"/>
      <c r="I433" s="219"/>
      <c r="J433" s="219"/>
      <c r="K433" s="219"/>
      <c r="L433" s="219"/>
      <c r="M433" s="219"/>
      <c r="N433" s="219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19"/>
      <c r="Z433" s="219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19"/>
      <c r="AL433" s="219"/>
      <c r="AM433" s="219"/>
      <c r="AN433" s="219"/>
      <c r="AO433" s="219"/>
      <c r="AP433" s="219"/>
      <c r="AQ433" s="219"/>
      <c r="AR433" s="219"/>
      <c r="AS433" s="219"/>
      <c r="AT433" s="219"/>
      <c r="AU433" s="219"/>
      <c r="AV433" s="219"/>
      <c r="AW433" s="219"/>
    </row>
    <row r="434" spans="1:49">
      <c r="A434" s="219"/>
      <c r="B434" s="219"/>
      <c r="C434" s="219"/>
      <c r="D434" s="219"/>
      <c r="E434" s="219"/>
      <c r="F434" s="219"/>
      <c r="G434" s="219"/>
      <c r="H434" s="219"/>
      <c r="I434" s="219"/>
      <c r="J434" s="219"/>
      <c r="K434" s="219"/>
      <c r="L434" s="219"/>
      <c r="M434" s="219"/>
      <c r="N434" s="219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19"/>
      <c r="Z434" s="219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19"/>
      <c r="AL434" s="219"/>
      <c r="AM434" s="219"/>
      <c r="AN434" s="219"/>
      <c r="AO434" s="219"/>
      <c r="AP434" s="219"/>
      <c r="AQ434" s="219"/>
      <c r="AR434" s="219"/>
      <c r="AS434" s="219"/>
      <c r="AT434" s="219"/>
      <c r="AU434" s="219"/>
      <c r="AV434" s="219"/>
      <c r="AW434" s="219"/>
    </row>
    <row r="435" spans="1:49">
      <c r="A435" s="219"/>
      <c r="B435" s="219"/>
      <c r="C435" s="219"/>
      <c r="D435" s="219"/>
      <c r="E435" s="219"/>
      <c r="F435" s="219"/>
      <c r="G435" s="219"/>
      <c r="H435" s="219"/>
      <c r="I435" s="219"/>
      <c r="J435" s="219"/>
      <c r="K435" s="219"/>
      <c r="L435" s="219"/>
      <c r="M435" s="219"/>
      <c r="N435" s="219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19"/>
      <c r="Z435" s="219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19"/>
      <c r="AL435" s="219"/>
      <c r="AM435" s="219"/>
      <c r="AN435" s="219"/>
      <c r="AO435" s="219"/>
      <c r="AP435" s="219"/>
      <c r="AQ435" s="219"/>
      <c r="AR435" s="219"/>
      <c r="AS435" s="219"/>
      <c r="AT435" s="219"/>
      <c r="AU435" s="219"/>
      <c r="AV435" s="219"/>
      <c r="AW435" s="219"/>
    </row>
    <row r="436" spans="1:49">
      <c r="A436" s="219"/>
      <c r="B436" s="219"/>
      <c r="C436" s="219"/>
      <c r="D436" s="219"/>
      <c r="E436" s="219"/>
      <c r="F436" s="219"/>
      <c r="G436" s="219"/>
      <c r="H436" s="219"/>
      <c r="I436" s="219"/>
      <c r="J436" s="219"/>
      <c r="K436" s="219"/>
      <c r="L436" s="219"/>
      <c r="M436" s="219"/>
      <c r="N436" s="219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19"/>
      <c r="Z436" s="219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19"/>
      <c r="AL436" s="219"/>
      <c r="AM436" s="219"/>
      <c r="AN436" s="219"/>
      <c r="AO436" s="219"/>
      <c r="AP436" s="219"/>
      <c r="AQ436" s="219"/>
      <c r="AR436" s="219"/>
      <c r="AS436" s="219"/>
      <c r="AT436" s="219"/>
      <c r="AU436" s="219"/>
      <c r="AV436" s="219"/>
      <c r="AW436" s="219"/>
    </row>
    <row r="437" spans="1:49">
      <c r="A437" s="219"/>
      <c r="B437" s="219"/>
      <c r="C437" s="219"/>
      <c r="D437" s="219"/>
      <c r="E437" s="219"/>
      <c r="F437" s="219"/>
      <c r="G437" s="219"/>
      <c r="H437" s="219"/>
      <c r="I437" s="219"/>
      <c r="J437" s="219"/>
      <c r="K437" s="219"/>
      <c r="L437" s="219"/>
      <c r="M437" s="219"/>
      <c r="N437" s="219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19"/>
      <c r="Z437" s="219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19"/>
      <c r="AL437" s="219"/>
      <c r="AM437" s="219"/>
      <c r="AN437" s="219"/>
      <c r="AO437" s="219"/>
      <c r="AP437" s="219"/>
      <c r="AQ437" s="219"/>
      <c r="AR437" s="219"/>
      <c r="AS437" s="219"/>
      <c r="AT437" s="219"/>
      <c r="AU437" s="219"/>
      <c r="AV437" s="219"/>
      <c r="AW437" s="219"/>
    </row>
    <row r="438" spans="1:49">
      <c r="A438" s="219"/>
      <c r="B438" s="219"/>
      <c r="C438" s="219"/>
      <c r="D438" s="219"/>
      <c r="E438" s="219"/>
      <c r="F438" s="219"/>
      <c r="G438" s="219"/>
      <c r="H438" s="219"/>
      <c r="I438" s="219"/>
      <c r="J438" s="219"/>
      <c r="K438" s="219"/>
      <c r="L438" s="219"/>
      <c r="M438" s="219"/>
      <c r="N438" s="219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19"/>
      <c r="Z438" s="219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19"/>
      <c r="AL438" s="219"/>
      <c r="AM438" s="219"/>
      <c r="AN438" s="219"/>
      <c r="AO438" s="219"/>
      <c r="AP438" s="219"/>
      <c r="AQ438" s="219"/>
      <c r="AR438" s="219"/>
      <c r="AS438" s="219"/>
      <c r="AT438" s="219"/>
      <c r="AU438" s="219"/>
      <c r="AV438" s="219"/>
      <c r="AW438" s="219"/>
    </row>
    <row r="439" spans="1:49">
      <c r="A439" s="219"/>
      <c r="B439" s="219"/>
      <c r="C439" s="219"/>
      <c r="D439" s="219"/>
      <c r="E439" s="219"/>
      <c r="F439" s="219"/>
      <c r="G439" s="219"/>
      <c r="H439" s="219"/>
      <c r="I439" s="219"/>
      <c r="J439" s="219"/>
      <c r="K439" s="219"/>
      <c r="L439" s="219"/>
      <c r="M439" s="219"/>
      <c r="N439" s="219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19"/>
      <c r="Z439" s="219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19"/>
      <c r="AL439" s="219"/>
      <c r="AM439" s="219"/>
      <c r="AN439" s="219"/>
      <c r="AO439" s="219"/>
      <c r="AP439" s="219"/>
      <c r="AQ439" s="219"/>
      <c r="AR439" s="219"/>
      <c r="AS439" s="219"/>
      <c r="AT439" s="219"/>
      <c r="AU439" s="219"/>
      <c r="AV439" s="219"/>
      <c r="AW439" s="219"/>
    </row>
    <row r="440" spans="1:49">
      <c r="A440" s="219"/>
      <c r="B440" s="219"/>
      <c r="C440" s="219"/>
      <c r="D440" s="219"/>
      <c r="E440" s="219"/>
      <c r="F440" s="219"/>
      <c r="G440" s="219"/>
      <c r="H440" s="219"/>
      <c r="I440" s="219"/>
      <c r="J440" s="219"/>
      <c r="K440" s="219"/>
      <c r="L440" s="219"/>
      <c r="M440" s="219"/>
      <c r="N440" s="219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19"/>
      <c r="Z440" s="219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19"/>
      <c r="AL440" s="219"/>
      <c r="AM440" s="219"/>
      <c r="AN440" s="219"/>
      <c r="AO440" s="219"/>
      <c r="AP440" s="219"/>
      <c r="AQ440" s="219"/>
      <c r="AR440" s="219"/>
      <c r="AS440" s="219"/>
      <c r="AT440" s="219"/>
      <c r="AU440" s="219"/>
      <c r="AV440" s="219"/>
      <c r="AW440" s="219"/>
    </row>
    <row r="441" spans="1:49">
      <c r="A441" s="219"/>
      <c r="B441" s="219"/>
      <c r="C441" s="219"/>
      <c r="D441" s="219"/>
      <c r="E441" s="219"/>
      <c r="F441" s="219"/>
      <c r="G441" s="219"/>
      <c r="H441" s="219"/>
      <c r="I441" s="219"/>
      <c r="J441" s="219"/>
      <c r="K441" s="219"/>
      <c r="L441" s="219"/>
      <c r="M441" s="219"/>
      <c r="N441" s="219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19"/>
      <c r="Z441" s="219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19"/>
      <c r="AL441" s="219"/>
      <c r="AM441" s="219"/>
      <c r="AN441" s="219"/>
      <c r="AO441" s="219"/>
      <c r="AP441" s="219"/>
      <c r="AQ441" s="219"/>
      <c r="AR441" s="219"/>
      <c r="AS441" s="219"/>
      <c r="AT441" s="219"/>
      <c r="AU441" s="219"/>
      <c r="AV441" s="219"/>
      <c r="AW441" s="219"/>
    </row>
    <row r="442" spans="1:49">
      <c r="A442" s="219"/>
      <c r="B442" s="219"/>
      <c r="C442" s="219"/>
      <c r="D442" s="219"/>
      <c r="E442" s="219"/>
      <c r="F442" s="219"/>
      <c r="G442" s="219"/>
      <c r="H442" s="219"/>
      <c r="I442" s="219"/>
      <c r="J442" s="219"/>
      <c r="K442" s="219"/>
      <c r="L442" s="219"/>
      <c r="M442" s="219"/>
      <c r="N442" s="219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19"/>
      <c r="Z442" s="219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19"/>
      <c r="AL442" s="219"/>
      <c r="AM442" s="219"/>
      <c r="AN442" s="219"/>
      <c r="AO442" s="219"/>
      <c r="AP442" s="219"/>
      <c r="AQ442" s="219"/>
      <c r="AR442" s="219"/>
      <c r="AS442" s="219"/>
      <c r="AT442" s="219"/>
      <c r="AU442" s="219"/>
      <c r="AV442" s="219"/>
      <c r="AW442" s="219"/>
    </row>
    <row r="443" spans="1:49">
      <c r="A443" s="219"/>
      <c r="B443" s="219"/>
      <c r="C443" s="219"/>
      <c r="D443" s="219"/>
      <c r="E443" s="219"/>
      <c r="F443" s="219"/>
      <c r="G443" s="219"/>
      <c r="H443" s="219"/>
      <c r="I443" s="219"/>
      <c r="J443" s="219"/>
      <c r="K443" s="219"/>
      <c r="L443" s="219"/>
      <c r="M443" s="219"/>
      <c r="N443" s="219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19"/>
      <c r="Z443" s="219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19"/>
      <c r="AL443" s="219"/>
      <c r="AM443" s="219"/>
      <c r="AN443" s="219"/>
      <c r="AO443" s="219"/>
      <c r="AP443" s="219"/>
      <c r="AQ443" s="219"/>
      <c r="AR443" s="219"/>
      <c r="AS443" s="219"/>
      <c r="AT443" s="219"/>
      <c r="AU443" s="219"/>
      <c r="AV443" s="219"/>
      <c r="AW443" s="219"/>
    </row>
    <row r="444" spans="1:49">
      <c r="A444" s="219"/>
      <c r="B444" s="219"/>
      <c r="C444" s="219"/>
      <c r="D444" s="219"/>
      <c r="E444" s="219"/>
      <c r="F444" s="219"/>
      <c r="G444" s="219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19"/>
      <c r="Z444" s="219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19"/>
      <c r="AL444" s="219"/>
      <c r="AM444" s="219"/>
      <c r="AN444" s="219"/>
      <c r="AO444" s="219"/>
      <c r="AP444" s="219"/>
      <c r="AQ444" s="219"/>
      <c r="AR444" s="219"/>
      <c r="AS444" s="219"/>
      <c r="AT444" s="219"/>
      <c r="AU444" s="219"/>
      <c r="AV444" s="219"/>
      <c r="AW444" s="219"/>
    </row>
    <row r="445" spans="1:49">
      <c r="A445" s="219"/>
      <c r="B445" s="219"/>
      <c r="C445" s="219"/>
      <c r="D445" s="219"/>
      <c r="E445" s="219"/>
      <c r="F445" s="219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19"/>
      <c r="AL445" s="219"/>
      <c r="AM445" s="219"/>
      <c r="AN445" s="219"/>
      <c r="AO445" s="219"/>
      <c r="AP445" s="219"/>
      <c r="AQ445" s="219"/>
      <c r="AR445" s="219"/>
      <c r="AS445" s="219"/>
      <c r="AT445" s="219"/>
      <c r="AU445" s="219"/>
      <c r="AV445" s="219"/>
      <c r="AW445" s="219"/>
    </row>
    <row r="446" spans="1:49">
      <c r="A446" s="219"/>
      <c r="B446" s="219"/>
      <c r="C446" s="219"/>
      <c r="D446" s="219"/>
      <c r="E446" s="219"/>
      <c r="F446" s="219"/>
      <c r="G446" s="219"/>
      <c r="H446" s="219"/>
      <c r="I446" s="219"/>
      <c r="J446" s="219"/>
      <c r="K446" s="219"/>
      <c r="L446" s="219"/>
      <c r="M446" s="219"/>
      <c r="N446" s="219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19"/>
      <c r="Z446" s="219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19"/>
      <c r="AL446" s="219"/>
      <c r="AM446" s="219"/>
      <c r="AN446" s="219"/>
      <c r="AO446" s="219"/>
      <c r="AP446" s="219"/>
      <c r="AQ446" s="219"/>
      <c r="AR446" s="219"/>
      <c r="AS446" s="219"/>
      <c r="AT446" s="219"/>
      <c r="AU446" s="219"/>
      <c r="AV446" s="219"/>
      <c r="AW446" s="219"/>
    </row>
    <row r="447" spans="1:49">
      <c r="A447" s="219"/>
      <c r="B447" s="219"/>
      <c r="C447" s="219"/>
      <c r="D447" s="219"/>
      <c r="E447" s="219"/>
      <c r="F447" s="219"/>
      <c r="G447" s="219"/>
      <c r="H447" s="219"/>
      <c r="I447" s="219"/>
      <c r="J447" s="219"/>
      <c r="K447" s="219"/>
      <c r="L447" s="219"/>
      <c r="M447" s="219"/>
      <c r="N447" s="219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19"/>
      <c r="Z447" s="219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19"/>
      <c r="AL447" s="219"/>
      <c r="AM447" s="219"/>
      <c r="AN447" s="219"/>
      <c r="AO447" s="219"/>
      <c r="AP447" s="219"/>
      <c r="AQ447" s="219"/>
      <c r="AR447" s="219"/>
      <c r="AS447" s="219"/>
      <c r="AT447" s="219"/>
      <c r="AU447" s="219"/>
      <c r="AV447" s="219"/>
      <c r="AW447" s="219"/>
    </row>
    <row r="448" spans="1:49">
      <c r="A448" s="219"/>
      <c r="B448" s="219"/>
      <c r="C448" s="219"/>
      <c r="D448" s="219"/>
      <c r="E448" s="219"/>
      <c r="F448" s="219"/>
      <c r="G448" s="219"/>
      <c r="H448" s="219"/>
      <c r="I448" s="219"/>
      <c r="J448" s="219"/>
      <c r="K448" s="219"/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19"/>
      <c r="Z448" s="219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19"/>
      <c r="AL448" s="219"/>
      <c r="AM448" s="219"/>
      <c r="AN448" s="219"/>
      <c r="AO448" s="219"/>
      <c r="AP448" s="219"/>
      <c r="AQ448" s="219"/>
      <c r="AR448" s="219"/>
      <c r="AS448" s="219"/>
      <c r="AT448" s="219"/>
      <c r="AU448" s="219"/>
      <c r="AV448" s="219"/>
      <c r="AW448" s="219"/>
    </row>
    <row r="449" spans="1:49">
      <c r="A449" s="219"/>
      <c r="B449" s="219"/>
      <c r="C449" s="219"/>
      <c r="D449" s="219"/>
      <c r="E449" s="219"/>
      <c r="F449" s="219"/>
      <c r="G449" s="219"/>
      <c r="H449" s="219"/>
      <c r="I449" s="219"/>
      <c r="J449" s="219"/>
      <c r="K449" s="219"/>
      <c r="L449" s="219"/>
      <c r="M449" s="219"/>
      <c r="N449" s="219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19"/>
      <c r="Z449" s="219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19"/>
      <c r="AL449" s="219"/>
      <c r="AM449" s="219"/>
      <c r="AN449" s="219"/>
      <c r="AO449" s="219"/>
      <c r="AP449" s="219"/>
      <c r="AQ449" s="219"/>
      <c r="AR449" s="219"/>
      <c r="AS449" s="219"/>
      <c r="AT449" s="219"/>
      <c r="AU449" s="219"/>
      <c r="AV449" s="219"/>
      <c r="AW449" s="219"/>
    </row>
    <row r="450" spans="1:49">
      <c r="A450" s="219"/>
      <c r="B450" s="219"/>
      <c r="C450" s="219"/>
      <c r="D450" s="219"/>
      <c r="E450" s="219"/>
      <c r="F450" s="219"/>
      <c r="G450" s="219"/>
      <c r="H450" s="219"/>
      <c r="I450" s="219"/>
      <c r="J450" s="219"/>
      <c r="K450" s="219"/>
      <c r="L450" s="219"/>
      <c r="M450" s="219"/>
      <c r="N450" s="219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19"/>
      <c r="Z450" s="219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19"/>
      <c r="AL450" s="219"/>
      <c r="AM450" s="219"/>
      <c r="AN450" s="219"/>
      <c r="AO450" s="219"/>
      <c r="AP450" s="219"/>
      <c r="AQ450" s="219"/>
      <c r="AR450" s="219"/>
      <c r="AS450" s="219"/>
      <c r="AT450" s="219"/>
      <c r="AU450" s="219"/>
      <c r="AV450" s="219"/>
      <c r="AW450" s="219"/>
    </row>
    <row r="451" spans="1:49">
      <c r="A451" s="219"/>
      <c r="B451" s="219"/>
      <c r="C451" s="219"/>
      <c r="D451" s="219"/>
      <c r="E451" s="219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19"/>
      <c r="AL451" s="219"/>
      <c r="AM451" s="219"/>
      <c r="AN451" s="219"/>
      <c r="AO451" s="219"/>
      <c r="AP451" s="219"/>
      <c r="AQ451" s="219"/>
      <c r="AR451" s="219"/>
      <c r="AS451" s="219"/>
      <c r="AT451" s="219"/>
      <c r="AU451" s="219"/>
      <c r="AV451" s="219"/>
      <c r="AW451" s="219"/>
    </row>
    <row r="452" spans="1:49">
      <c r="A452" s="219"/>
      <c r="B452" s="219"/>
      <c r="C452" s="219"/>
      <c r="D452" s="219"/>
      <c r="E452" s="219"/>
      <c r="F452" s="219"/>
      <c r="G452" s="219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19"/>
      <c r="Z452" s="219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19"/>
      <c r="AL452" s="219"/>
      <c r="AM452" s="219"/>
      <c r="AN452" s="219"/>
      <c r="AO452" s="219"/>
      <c r="AP452" s="219"/>
      <c r="AQ452" s="219"/>
      <c r="AR452" s="219"/>
      <c r="AS452" s="219"/>
      <c r="AT452" s="219"/>
      <c r="AU452" s="219"/>
      <c r="AV452" s="219"/>
      <c r="AW452" s="219"/>
    </row>
    <row r="453" spans="1:49">
      <c r="A453" s="219"/>
      <c r="B453" s="219"/>
      <c r="C453" s="219"/>
      <c r="D453" s="219"/>
      <c r="E453" s="219"/>
      <c r="F453" s="219"/>
      <c r="G453" s="219"/>
      <c r="H453" s="219"/>
      <c r="I453" s="219"/>
      <c r="J453" s="219"/>
      <c r="K453" s="219"/>
      <c r="L453" s="219"/>
      <c r="M453" s="219"/>
      <c r="N453" s="219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19"/>
      <c r="Z453" s="219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19"/>
      <c r="AL453" s="219"/>
      <c r="AM453" s="219"/>
      <c r="AN453" s="219"/>
      <c r="AO453" s="219"/>
      <c r="AP453" s="219"/>
      <c r="AQ453" s="219"/>
      <c r="AR453" s="219"/>
      <c r="AS453" s="219"/>
      <c r="AT453" s="219"/>
      <c r="AU453" s="219"/>
      <c r="AV453" s="219"/>
      <c r="AW453" s="219"/>
    </row>
    <row r="454" spans="1:49">
      <c r="A454" s="219"/>
      <c r="B454" s="219"/>
      <c r="C454" s="219"/>
      <c r="D454" s="219"/>
      <c r="E454" s="219"/>
      <c r="F454" s="219"/>
      <c r="G454" s="219"/>
      <c r="H454" s="219"/>
      <c r="I454" s="219"/>
      <c r="J454" s="219"/>
      <c r="K454" s="219"/>
      <c r="L454" s="219"/>
      <c r="M454" s="219"/>
      <c r="N454" s="219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19"/>
      <c r="Z454" s="219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19"/>
      <c r="AL454" s="219"/>
      <c r="AM454" s="219"/>
      <c r="AN454" s="219"/>
      <c r="AO454" s="219"/>
      <c r="AP454" s="219"/>
      <c r="AQ454" s="219"/>
      <c r="AR454" s="219"/>
      <c r="AS454" s="219"/>
      <c r="AT454" s="219"/>
      <c r="AU454" s="219"/>
      <c r="AV454" s="219"/>
      <c r="AW454" s="219"/>
    </row>
    <row r="455" spans="1:49">
      <c r="A455" s="219"/>
      <c r="B455" s="219"/>
      <c r="C455" s="219"/>
      <c r="D455" s="219"/>
      <c r="E455" s="219"/>
      <c r="F455" s="219"/>
      <c r="G455" s="219"/>
      <c r="H455" s="219"/>
      <c r="I455" s="219"/>
      <c r="J455" s="219"/>
      <c r="K455" s="219"/>
      <c r="L455" s="219"/>
      <c r="M455" s="219"/>
      <c r="N455" s="219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19"/>
      <c r="Z455" s="219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19"/>
      <c r="AL455" s="219"/>
      <c r="AM455" s="219"/>
      <c r="AN455" s="219"/>
      <c r="AO455" s="219"/>
      <c r="AP455" s="219"/>
      <c r="AQ455" s="219"/>
      <c r="AR455" s="219"/>
      <c r="AS455" s="219"/>
      <c r="AT455" s="219"/>
      <c r="AU455" s="219"/>
      <c r="AV455" s="219"/>
      <c r="AW455" s="219"/>
    </row>
    <row r="456" spans="1:49">
      <c r="A456" s="219"/>
      <c r="B456" s="219"/>
      <c r="C456" s="219"/>
      <c r="D456" s="219"/>
      <c r="E456" s="219"/>
      <c r="F456" s="219"/>
      <c r="G456" s="219"/>
      <c r="H456" s="219"/>
      <c r="I456" s="219"/>
      <c r="J456" s="219"/>
      <c r="K456" s="219"/>
      <c r="L456" s="219"/>
      <c r="M456" s="219"/>
      <c r="N456" s="219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19"/>
      <c r="Z456" s="219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19"/>
      <c r="AL456" s="219"/>
      <c r="AM456" s="219"/>
      <c r="AN456" s="219"/>
      <c r="AO456" s="219"/>
      <c r="AP456" s="219"/>
      <c r="AQ456" s="219"/>
      <c r="AR456" s="219"/>
      <c r="AS456" s="219"/>
      <c r="AT456" s="219"/>
      <c r="AU456" s="219"/>
      <c r="AV456" s="219"/>
      <c r="AW456" s="219"/>
    </row>
    <row r="457" spans="1:49">
      <c r="A457" s="219"/>
      <c r="B457" s="219"/>
      <c r="C457" s="219"/>
      <c r="D457" s="219"/>
      <c r="E457" s="219"/>
      <c r="F457" s="219"/>
      <c r="G457" s="219"/>
      <c r="H457" s="219"/>
      <c r="I457" s="219"/>
      <c r="J457" s="219"/>
      <c r="K457" s="219"/>
      <c r="L457" s="219"/>
      <c r="M457" s="219"/>
      <c r="N457" s="219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19"/>
      <c r="Z457" s="219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19"/>
      <c r="AL457" s="219"/>
      <c r="AM457" s="219"/>
      <c r="AN457" s="219"/>
      <c r="AO457" s="219"/>
      <c r="AP457" s="219"/>
      <c r="AQ457" s="219"/>
      <c r="AR457" s="219"/>
      <c r="AS457" s="219"/>
      <c r="AT457" s="219"/>
      <c r="AU457" s="219"/>
      <c r="AV457" s="219"/>
      <c r="AW457" s="219"/>
    </row>
    <row r="458" spans="1:49">
      <c r="A458" s="219"/>
      <c r="B458" s="219"/>
      <c r="C458" s="219"/>
      <c r="D458" s="219"/>
      <c r="E458" s="219"/>
      <c r="F458" s="219"/>
      <c r="G458" s="219"/>
      <c r="H458" s="219"/>
      <c r="I458" s="219"/>
      <c r="J458" s="219"/>
      <c r="K458" s="219"/>
      <c r="L458" s="219"/>
      <c r="M458" s="219"/>
      <c r="N458" s="219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19"/>
      <c r="Z458" s="219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19"/>
      <c r="AL458" s="219"/>
      <c r="AM458" s="219"/>
      <c r="AN458" s="219"/>
      <c r="AO458" s="219"/>
      <c r="AP458" s="219"/>
      <c r="AQ458" s="219"/>
      <c r="AR458" s="219"/>
      <c r="AS458" s="219"/>
      <c r="AT458" s="219"/>
      <c r="AU458" s="219"/>
      <c r="AV458" s="219"/>
      <c r="AW458" s="219"/>
    </row>
    <row r="459" spans="1:49">
      <c r="A459" s="219"/>
      <c r="B459" s="219"/>
      <c r="C459" s="219"/>
      <c r="D459" s="219"/>
      <c r="E459" s="219"/>
      <c r="F459" s="219"/>
      <c r="G459" s="219"/>
      <c r="H459" s="219"/>
      <c r="I459" s="219"/>
      <c r="J459" s="219"/>
      <c r="K459" s="219"/>
      <c r="L459" s="219"/>
      <c r="M459" s="219"/>
      <c r="N459" s="219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19"/>
      <c r="Z459" s="219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19"/>
      <c r="AL459" s="219"/>
      <c r="AM459" s="219"/>
      <c r="AN459" s="219"/>
      <c r="AO459" s="219"/>
      <c r="AP459" s="219"/>
      <c r="AQ459" s="219"/>
      <c r="AR459" s="219"/>
      <c r="AS459" s="219"/>
      <c r="AT459" s="219"/>
      <c r="AU459" s="219"/>
      <c r="AV459" s="219"/>
      <c r="AW459" s="219"/>
    </row>
    <row r="460" spans="1:49">
      <c r="A460" s="219"/>
      <c r="B460" s="219"/>
      <c r="C460" s="219"/>
      <c r="D460" s="219"/>
      <c r="E460" s="219"/>
      <c r="F460" s="219"/>
      <c r="G460" s="219"/>
      <c r="H460" s="219"/>
      <c r="I460" s="219"/>
      <c r="J460" s="219"/>
      <c r="K460" s="219"/>
      <c r="L460" s="219"/>
      <c r="M460" s="219"/>
      <c r="N460" s="219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19"/>
      <c r="Z460" s="219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19"/>
      <c r="AL460" s="219"/>
      <c r="AM460" s="219"/>
      <c r="AN460" s="219"/>
      <c r="AO460" s="219"/>
      <c r="AP460" s="219"/>
      <c r="AQ460" s="219"/>
      <c r="AR460" s="219"/>
      <c r="AS460" s="219"/>
      <c r="AT460" s="219"/>
      <c r="AU460" s="219"/>
      <c r="AV460" s="219"/>
      <c r="AW460" s="219"/>
    </row>
    <row r="461" spans="1:49">
      <c r="A461" s="219"/>
      <c r="B461" s="219"/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19"/>
      <c r="AL461" s="219"/>
      <c r="AM461" s="219"/>
      <c r="AN461" s="219"/>
      <c r="AO461" s="219"/>
      <c r="AP461" s="219"/>
      <c r="AQ461" s="219"/>
      <c r="AR461" s="219"/>
      <c r="AS461" s="219"/>
      <c r="AT461" s="219"/>
      <c r="AU461" s="219"/>
      <c r="AV461" s="219"/>
      <c r="AW461" s="219"/>
    </row>
    <row r="462" spans="1:49">
      <c r="A462" s="219"/>
      <c r="B462" s="219"/>
      <c r="C462" s="219"/>
      <c r="D462" s="219"/>
      <c r="E462" s="219"/>
      <c r="F462" s="219"/>
      <c r="G462" s="219"/>
      <c r="H462" s="219"/>
      <c r="I462" s="219"/>
      <c r="J462" s="219"/>
      <c r="K462" s="219"/>
      <c r="L462" s="219"/>
      <c r="M462" s="219"/>
      <c r="N462" s="219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19"/>
      <c r="Z462" s="219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19"/>
      <c r="AL462" s="219"/>
      <c r="AM462" s="219"/>
      <c r="AN462" s="219"/>
      <c r="AO462" s="219"/>
      <c r="AP462" s="219"/>
      <c r="AQ462" s="219"/>
      <c r="AR462" s="219"/>
      <c r="AS462" s="219"/>
      <c r="AT462" s="219"/>
      <c r="AU462" s="219"/>
      <c r="AV462" s="219"/>
      <c r="AW462" s="219"/>
    </row>
    <row r="463" spans="1:49">
      <c r="A463" s="219"/>
      <c r="B463" s="219"/>
      <c r="C463" s="219"/>
      <c r="D463" s="219"/>
      <c r="E463" s="219"/>
      <c r="F463" s="219"/>
      <c r="G463" s="219"/>
      <c r="H463" s="219"/>
      <c r="I463" s="219"/>
      <c r="J463" s="219"/>
      <c r="K463" s="219"/>
      <c r="L463" s="219"/>
      <c r="M463" s="219"/>
      <c r="N463" s="219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19"/>
      <c r="Z463" s="219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19"/>
      <c r="AL463" s="219"/>
      <c r="AM463" s="219"/>
      <c r="AN463" s="219"/>
      <c r="AO463" s="219"/>
      <c r="AP463" s="219"/>
      <c r="AQ463" s="219"/>
      <c r="AR463" s="219"/>
      <c r="AS463" s="219"/>
      <c r="AT463" s="219"/>
      <c r="AU463" s="219"/>
      <c r="AV463" s="219"/>
      <c r="AW463" s="219"/>
    </row>
    <row r="464" spans="1:49">
      <c r="A464" s="219"/>
      <c r="B464" s="219"/>
      <c r="C464" s="219"/>
      <c r="D464" s="219"/>
      <c r="E464" s="219"/>
      <c r="F464" s="219"/>
      <c r="G464" s="219"/>
      <c r="H464" s="219"/>
      <c r="I464" s="219"/>
      <c r="J464" s="219"/>
      <c r="K464" s="219"/>
      <c r="L464" s="219"/>
      <c r="M464" s="219"/>
      <c r="N464" s="219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19"/>
      <c r="Z464" s="219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19"/>
      <c r="AL464" s="219"/>
      <c r="AM464" s="219"/>
      <c r="AN464" s="219"/>
      <c r="AO464" s="219"/>
      <c r="AP464" s="219"/>
      <c r="AQ464" s="219"/>
      <c r="AR464" s="219"/>
      <c r="AS464" s="219"/>
      <c r="AT464" s="219"/>
      <c r="AU464" s="219"/>
      <c r="AV464" s="219"/>
      <c r="AW464" s="219"/>
    </row>
    <row r="465" spans="1:49">
      <c r="A465" s="219"/>
      <c r="B465" s="219"/>
      <c r="C465" s="219"/>
      <c r="D465" s="219"/>
      <c r="E465" s="219"/>
      <c r="F465" s="219"/>
      <c r="G465" s="219"/>
      <c r="H465" s="219"/>
      <c r="I465" s="219"/>
      <c r="J465" s="219"/>
      <c r="K465" s="219"/>
      <c r="L465" s="219"/>
      <c r="M465" s="219"/>
      <c r="N465" s="219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19"/>
      <c r="Z465" s="219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19"/>
      <c r="AL465" s="219"/>
      <c r="AM465" s="219"/>
      <c r="AN465" s="219"/>
      <c r="AO465" s="219"/>
      <c r="AP465" s="219"/>
      <c r="AQ465" s="219"/>
      <c r="AR465" s="219"/>
      <c r="AS465" s="219"/>
      <c r="AT465" s="219"/>
      <c r="AU465" s="219"/>
      <c r="AV465" s="219"/>
      <c r="AW465" s="219"/>
    </row>
    <row r="466" spans="1:49">
      <c r="A466" s="219"/>
      <c r="B466" s="219"/>
      <c r="C466" s="219"/>
      <c r="D466" s="219"/>
      <c r="E466" s="219"/>
      <c r="F466" s="219"/>
      <c r="G466" s="219"/>
      <c r="H466" s="219"/>
      <c r="I466" s="219"/>
      <c r="J466" s="219"/>
      <c r="K466" s="219"/>
      <c r="L466" s="219"/>
      <c r="M466" s="219"/>
      <c r="N466" s="219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19"/>
      <c r="Z466" s="219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19"/>
      <c r="AL466" s="219"/>
      <c r="AM466" s="219"/>
      <c r="AN466" s="219"/>
      <c r="AO466" s="219"/>
      <c r="AP466" s="219"/>
      <c r="AQ466" s="219"/>
      <c r="AR466" s="219"/>
      <c r="AS466" s="219"/>
      <c r="AT466" s="219"/>
      <c r="AU466" s="219"/>
      <c r="AV466" s="219"/>
      <c r="AW466" s="219"/>
    </row>
    <row r="467" spans="1:49">
      <c r="A467" s="219"/>
      <c r="B467" s="219"/>
      <c r="C467" s="219"/>
      <c r="D467" s="219"/>
      <c r="E467" s="219"/>
      <c r="F467" s="219"/>
      <c r="G467" s="219"/>
      <c r="H467" s="219"/>
      <c r="I467" s="219"/>
      <c r="J467" s="219"/>
      <c r="K467" s="219"/>
      <c r="L467" s="219"/>
      <c r="M467" s="219"/>
      <c r="N467" s="219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19"/>
      <c r="Z467" s="219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19"/>
      <c r="AL467" s="219"/>
      <c r="AM467" s="219"/>
      <c r="AN467" s="219"/>
      <c r="AO467" s="219"/>
      <c r="AP467" s="219"/>
      <c r="AQ467" s="219"/>
      <c r="AR467" s="219"/>
      <c r="AS467" s="219"/>
      <c r="AT467" s="219"/>
      <c r="AU467" s="219"/>
      <c r="AV467" s="219"/>
      <c r="AW467" s="219"/>
    </row>
    <row r="468" spans="1:49">
      <c r="A468" s="219"/>
      <c r="B468" s="219"/>
      <c r="C468" s="219"/>
      <c r="D468" s="219"/>
      <c r="E468" s="219"/>
      <c r="F468" s="219"/>
      <c r="G468" s="219"/>
      <c r="H468" s="219"/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19"/>
      <c r="Z468" s="219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19"/>
      <c r="AL468" s="219"/>
      <c r="AM468" s="219"/>
      <c r="AN468" s="219"/>
      <c r="AO468" s="219"/>
      <c r="AP468" s="219"/>
      <c r="AQ468" s="219"/>
      <c r="AR468" s="219"/>
      <c r="AS468" s="219"/>
      <c r="AT468" s="219"/>
      <c r="AU468" s="219"/>
      <c r="AV468" s="219"/>
      <c r="AW468" s="219"/>
    </row>
    <row r="469" spans="1:49">
      <c r="A469" s="219"/>
      <c r="B469" s="219"/>
      <c r="C469" s="219"/>
      <c r="D469" s="219"/>
      <c r="E469" s="219"/>
      <c r="F469" s="219"/>
      <c r="G469" s="219"/>
      <c r="H469" s="219"/>
      <c r="I469" s="219"/>
      <c r="J469" s="219"/>
      <c r="K469" s="219"/>
      <c r="L469" s="219"/>
      <c r="M469" s="219"/>
      <c r="N469" s="219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19"/>
      <c r="Z469" s="219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19"/>
      <c r="AL469" s="219"/>
      <c r="AM469" s="219"/>
      <c r="AN469" s="219"/>
      <c r="AO469" s="219"/>
      <c r="AP469" s="219"/>
      <c r="AQ469" s="219"/>
      <c r="AR469" s="219"/>
      <c r="AS469" s="219"/>
      <c r="AT469" s="219"/>
      <c r="AU469" s="219"/>
      <c r="AV469" s="219"/>
      <c r="AW469" s="219"/>
    </row>
    <row r="470" spans="1:49">
      <c r="A470" s="219"/>
      <c r="B470" s="219"/>
      <c r="C470" s="219"/>
      <c r="D470" s="219"/>
      <c r="E470" s="219"/>
      <c r="F470" s="219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19"/>
      <c r="Z470" s="219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19"/>
      <c r="AL470" s="219"/>
      <c r="AM470" s="219"/>
      <c r="AN470" s="219"/>
      <c r="AO470" s="219"/>
      <c r="AP470" s="219"/>
      <c r="AQ470" s="219"/>
      <c r="AR470" s="219"/>
      <c r="AS470" s="219"/>
      <c r="AT470" s="219"/>
      <c r="AU470" s="219"/>
      <c r="AV470" s="219"/>
      <c r="AW470" s="219"/>
    </row>
    <row r="471" spans="1:49">
      <c r="A471" s="219"/>
      <c r="B471" s="219"/>
      <c r="C471" s="219"/>
      <c r="D471" s="219"/>
      <c r="E471" s="219"/>
      <c r="F471" s="219"/>
      <c r="G471" s="219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19"/>
      <c r="Z471" s="219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19"/>
      <c r="AL471" s="219"/>
      <c r="AM471" s="219"/>
      <c r="AN471" s="219"/>
      <c r="AO471" s="219"/>
      <c r="AP471" s="219"/>
      <c r="AQ471" s="219"/>
      <c r="AR471" s="219"/>
      <c r="AS471" s="219"/>
      <c r="AT471" s="219"/>
      <c r="AU471" s="219"/>
      <c r="AV471" s="219"/>
      <c r="AW471" s="219"/>
    </row>
    <row r="472" spans="1:49">
      <c r="A472" s="219"/>
      <c r="B472" s="219"/>
      <c r="C472" s="219"/>
      <c r="D472" s="219"/>
      <c r="E472" s="219"/>
      <c r="F472" s="219"/>
      <c r="G472" s="219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19"/>
      <c r="Z472" s="219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19"/>
      <c r="AL472" s="219"/>
      <c r="AM472" s="219"/>
      <c r="AN472" s="219"/>
      <c r="AO472" s="219"/>
      <c r="AP472" s="219"/>
      <c r="AQ472" s="219"/>
      <c r="AR472" s="219"/>
      <c r="AS472" s="219"/>
      <c r="AT472" s="219"/>
      <c r="AU472" s="219"/>
      <c r="AV472" s="219"/>
      <c r="AW472" s="219"/>
    </row>
    <row r="473" spans="1:49">
      <c r="A473" s="219"/>
      <c r="B473" s="219"/>
      <c r="C473" s="219"/>
      <c r="D473" s="219"/>
      <c r="E473" s="219"/>
      <c r="F473" s="219"/>
      <c r="G473" s="219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19"/>
      <c r="Z473" s="219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19"/>
      <c r="AL473" s="219"/>
      <c r="AM473" s="219"/>
      <c r="AN473" s="219"/>
      <c r="AO473" s="219"/>
      <c r="AP473" s="219"/>
      <c r="AQ473" s="219"/>
      <c r="AR473" s="219"/>
      <c r="AS473" s="219"/>
      <c r="AT473" s="219"/>
      <c r="AU473" s="219"/>
      <c r="AV473" s="219"/>
      <c r="AW473" s="219"/>
    </row>
    <row r="474" spans="1:49">
      <c r="A474" s="219"/>
      <c r="B474" s="219"/>
      <c r="C474" s="219"/>
      <c r="D474" s="219"/>
      <c r="E474" s="219"/>
      <c r="F474" s="219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19"/>
      <c r="Z474" s="219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19"/>
      <c r="AL474" s="219"/>
      <c r="AM474" s="219"/>
      <c r="AN474" s="219"/>
      <c r="AO474" s="219"/>
      <c r="AP474" s="219"/>
      <c r="AQ474" s="219"/>
      <c r="AR474" s="219"/>
      <c r="AS474" s="219"/>
      <c r="AT474" s="219"/>
      <c r="AU474" s="219"/>
      <c r="AV474" s="219"/>
      <c r="AW474" s="219"/>
    </row>
    <row r="475" spans="1:49">
      <c r="A475" s="219"/>
      <c r="B475" s="219"/>
      <c r="C475" s="219"/>
      <c r="D475" s="219"/>
      <c r="E475" s="219"/>
      <c r="F475" s="219"/>
      <c r="G475" s="219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19"/>
      <c r="Z475" s="219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19"/>
      <c r="AL475" s="219"/>
      <c r="AM475" s="219"/>
      <c r="AN475" s="219"/>
      <c r="AO475" s="219"/>
      <c r="AP475" s="219"/>
      <c r="AQ475" s="219"/>
      <c r="AR475" s="219"/>
      <c r="AS475" s="219"/>
      <c r="AT475" s="219"/>
      <c r="AU475" s="219"/>
      <c r="AV475" s="219"/>
      <c r="AW475" s="219"/>
    </row>
    <row r="476" spans="1:49">
      <c r="A476" s="219"/>
      <c r="B476" s="219"/>
      <c r="C476" s="219"/>
      <c r="D476" s="219"/>
      <c r="E476" s="219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19"/>
      <c r="Z476" s="219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19"/>
      <c r="AL476" s="219"/>
      <c r="AM476" s="219"/>
      <c r="AN476" s="219"/>
      <c r="AO476" s="219"/>
      <c r="AP476" s="219"/>
      <c r="AQ476" s="219"/>
      <c r="AR476" s="219"/>
      <c r="AS476" s="219"/>
      <c r="AT476" s="219"/>
      <c r="AU476" s="219"/>
      <c r="AV476" s="219"/>
      <c r="AW476" s="219"/>
    </row>
    <row r="477" spans="1:49">
      <c r="A477" s="219"/>
      <c r="B477" s="219"/>
      <c r="C477" s="219"/>
      <c r="D477" s="219"/>
      <c r="E477" s="219"/>
      <c r="F477" s="219"/>
      <c r="G477" s="219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19"/>
      <c r="Z477" s="219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19"/>
      <c r="AL477" s="219"/>
      <c r="AM477" s="219"/>
      <c r="AN477" s="219"/>
      <c r="AO477" s="219"/>
      <c r="AP477" s="219"/>
      <c r="AQ477" s="219"/>
      <c r="AR477" s="219"/>
      <c r="AS477" s="219"/>
      <c r="AT477" s="219"/>
      <c r="AU477" s="219"/>
      <c r="AV477" s="219"/>
      <c r="AW477" s="219"/>
    </row>
    <row r="478" spans="1:49">
      <c r="A478" s="219"/>
      <c r="B478" s="219"/>
      <c r="C478" s="219"/>
      <c r="D478" s="219"/>
      <c r="E478" s="219"/>
      <c r="F478" s="219"/>
      <c r="G478" s="219"/>
      <c r="H478" s="219"/>
      <c r="I478" s="219"/>
      <c r="J478" s="219"/>
      <c r="K478" s="219"/>
      <c r="L478" s="219"/>
      <c r="M478" s="219"/>
      <c r="N478" s="219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19"/>
      <c r="Z478" s="219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19"/>
      <c r="AL478" s="219"/>
      <c r="AM478" s="219"/>
      <c r="AN478" s="219"/>
      <c r="AO478" s="219"/>
      <c r="AP478" s="219"/>
      <c r="AQ478" s="219"/>
      <c r="AR478" s="219"/>
      <c r="AS478" s="219"/>
      <c r="AT478" s="219"/>
      <c r="AU478" s="219"/>
      <c r="AV478" s="219"/>
      <c r="AW478" s="219"/>
    </row>
    <row r="479" spans="1:49">
      <c r="A479" s="219"/>
      <c r="B479" s="219"/>
      <c r="C479" s="219"/>
      <c r="D479" s="219"/>
      <c r="E479" s="219"/>
      <c r="F479" s="219"/>
      <c r="G479" s="219"/>
      <c r="H479" s="219"/>
      <c r="I479" s="219"/>
      <c r="J479" s="219"/>
      <c r="K479" s="219"/>
      <c r="L479" s="219"/>
      <c r="M479" s="219"/>
      <c r="N479" s="219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19"/>
      <c r="Z479" s="219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19"/>
      <c r="AL479" s="219"/>
      <c r="AM479" s="219"/>
      <c r="AN479" s="219"/>
      <c r="AO479" s="219"/>
      <c r="AP479" s="219"/>
      <c r="AQ479" s="219"/>
      <c r="AR479" s="219"/>
      <c r="AS479" s="219"/>
      <c r="AT479" s="219"/>
      <c r="AU479" s="219"/>
      <c r="AV479" s="219"/>
      <c r="AW479" s="219"/>
    </row>
    <row r="480" spans="1:49">
      <c r="A480" s="219"/>
      <c r="B480" s="219"/>
      <c r="C480" s="219"/>
      <c r="D480" s="219"/>
      <c r="E480" s="219"/>
      <c r="F480" s="219"/>
      <c r="G480" s="219"/>
      <c r="H480" s="219"/>
      <c r="I480" s="219"/>
      <c r="J480" s="219"/>
      <c r="K480" s="219"/>
      <c r="L480" s="219"/>
      <c r="M480" s="219"/>
      <c r="N480" s="219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19"/>
      <c r="Z480" s="219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19"/>
      <c r="AL480" s="219"/>
      <c r="AM480" s="219"/>
      <c r="AN480" s="219"/>
      <c r="AO480" s="219"/>
      <c r="AP480" s="219"/>
      <c r="AQ480" s="219"/>
      <c r="AR480" s="219"/>
      <c r="AS480" s="219"/>
      <c r="AT480" s="219"/>
      <c r="AU480" s="219"/>
      <c r="AV480" s="219"/>
      <c r="AW480" s="219"/>
    </row>
    <row r="481" spans="1:49">
      <c r="A481" s="219"/>
      <c r="B481" s="219"/>
      <c r="C481" s="219"/>
      <c r="D481" s="219"/>
      <c r="E481" s="219"/>
      <c r="F481" s="219"/>
      <c r="G481" s="219"/>
      <c r="H481" s="219"/>
      <c r="I481" s="219"/>
      <c r="J481" s="219"/>
      <c r="K481" s="219"/>
      <c r="L481" s="219"/>
      <c r="M481" s="219"/>
      <c r="N481" s="219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19"/>
      <c r="Z481" s="219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19"/>
      <c r="AL481" s="219"/>
      <c r="AM481" s="219"/>
      <c r="AN481" s="219"/>
      <c r="AO481" s="219"/>
      <c r="AP481" s="219"/>
      <c r="AQ481" s="219"/>
      <c r="AR481" s="219"/>
      <c r="AS481" s="219"/>
      <c r="AT481" s="219"/>
      <c r="AU481" s="219"/>
      <c r="AV481" s="219"/>
      <c r="AW481" s="219"/>
    </row>
    <row r="482" spans="1:49">
      <c r="A482" s="219"/>
      <c r="B482" s="219"/>
      <c r="C482" s="219"/>
      <c r="D482" s="219"/>
      <c r="E482" s="219"/>
      <c r="F482" s="219"/>
      <c r="G482" s="219"/>
      <c r="H482" s="219"/>
      <c r="I482" s="219"/>
      <c r="J482" s="219"/>
      <c r="K482" s="219"/>
      <c r="L482" s="219"/>
      <c r="M482" s="219"/>
      <c r="N482" s="219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19"/>
      <c r="Z482" s="219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19"/>
      <c r="AL482" s="219"/>
      <c r="AM482" s="219"/>
      <c r="AN482" s="219"/>
      <c r="AO482" s="219"/>
      <c r="AP482" s="219"/>
      <c r="AQ482" s="219"/>
      <c r="AR482" s="219"/>
      <c r="AS482" s="219"/>
      <c r="AT482" s="219"/>
      <c r="AU482" s="219"/>
      <c r="AV482" s="219"/>
      <c r="AW482" s="219"/>
    </row>
    <row r="483" spans="1:49">
      <c r="A483" s="219"/>
      <c r="B483" s="219"/>
      <c r="C483" s="219"/>
      <c r="D483" s="219"/>
      <c r="E483" s="219"/>
      <c r="F483" s="219"/>
      <c r="G483" s="219"/>
      <c r="H483" s="219"/>
      <c r="I483" s="219"/>
      <c r="J483" s="219"/>
      <c r="K483" s="219"/>
      <c r="L483" s="219"/>
      <c r="M483" s="219"/>
      <c r="N483" s="219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19"/>
      <c r="Z483" s="219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19"/>
      <c r="AL483" s="219"/>
      <c r="AM483" s="219"/>
      <c r="AN483" s="219"/>
      <c r="AO483" s="219"/>
      <c r="AP483" s="219"/>
      <c r="AQ483" s="219"/>
      <c r="AR483" s="219"/>
      <c r="AS483" s="219"/>
      <c r="AT483" s="219"/>
      <c r="AU483" s="219"/>
      <c r="AV483" s="219"/>
      <c r="AW483" s="219"/>
    </row>
    <row r="484" spans="1:49">
      <c r="A484" s="219"/>
      <c r="B484" s="219"/>
      <c r="C484" s="219"/>
      <c r="D484" s="219"/>
      <c r="E484" s="219"/>
      <c r="F484" s="219"/>
      <c r="G484" s="219"/>
      <c r="H484" s="219"/>
      <c r="I484" s="219"/>
      <c r="J484" s="219"/>
      <c r="K484" s="219"/>
      <c r="L484" s="219"/>
      <c r="M484" s="219"/>
      <c r="N484" s="219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19"/>
      <c r="Z484" s="219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19"/>
      <c r="AL484" s="219"/>
      <c r="AM484" s="219"/>
      <c r="AN484" s="219"/>
      <c r="AO484" s="219"/>
      <c r="AP484" s="219"/>
      <c r="AQ484" s="219"/>
      <c r="AR484" s="219"/>
      <c r="AS484" s="219"/>
      <c r="AT484" s="219"/>
      <c r="AU484" s="219"/>
      <c r="AV484" s="219"/>
      <c r="AW484" s="219"/>
    </row>
    <row r="485" spans="1:49">
      <c r="A485" s="219"/>
      <c r="B485" s="219"/>
      <c r="C485" s="219"/>
      <c r="D485" s="219"/>
      <c r="E485" s="219"/>
      <c r="F485" s="219"/>
      <c r="G485" s="219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19"/>
      <c r="Z485" s="219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19"/>
      <c r="AL485" s="219"/>
      <c r="AM485" s="219"/>
      <c r="AN485" s="219"/>
      <c r="AO485" s="219"/>
      <c r="AP485" s="219"/>
      <c r="AQ485" s="219"/>
      <c r="AR485" s="219"/>
      <c r="AS485" s="219"/>
      <c r="AT485" s="219"/>
      <c r="AU485" s="219"/>
      <c r="AV485" s="219"/>
      <c r="AW485" s="219"/>
    </row>
    <row r="486" spans="1:49">
      <c r="A486" s="219"/>
      <c r="B486" s="219"/>
      <c r="C486" s="219"/>
      <c r="D486" s="219"/>
      <c r="E486" s="219"/>
      <c r="F486" s="219"/>
      <c r="G486" s="219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19"/>
      <c r="Z486" s="219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19"/>
      <c r="AL486" s="219"/>
      <c r="AM486" s="219"/>
      <c r="AN486" s="219"/>
      <c r="AO486" s="219"/>
      <c r="AP486" s="219"/>
      <c r="AQ486" s="219"/>
      <c r="AR486" s="219"/>
      <c r="AS486" s="219"/>
      <c r="AT486" s="219"/>
      <c r="AU486" s="219"/>
      <c r="AV486" s="219"/>
      <c r="AW486" s="219"/>
    </row>
    <row r="487" spans="1:49">
      <c r="A487" s="219"/>
      <c r="B487" s="219"/>
      <c r="C487" s="219"/>
      <c r="D487" s="219"/>
      <c r="E487" s="219"/>
      <c r="F487" s="219"/>
      <c r="G487" s="219"/>
      <c r="H487" s="219"/>
      <c r="I487" s="219"/>
      <c r="J487" s="219"/>
      <c r="K487" s="219"/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19"/>
      <c r="Z487" s="219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19"/>
      <c r="AL487" s="219"/>
      <c r="AM487" s="219"/>
      <c r="AN487" s="219"/>
      <c r="AO487" s="219"/>
      <c r="AP487" s="219"/>
      <c r="AQ487" s="219"/>
      <c r="AR487" s="219"/>
      <c r="AS487" s="219"/>
      <c r="AT487" s="219"/>
      <c r="AU487" s="219"/>
      <c r="AV487" s="219"/>
      <c r="AW487" s="219"/>
    </row>
    <row r="488" spans="1:49">
      <c r="A488" s="219"/>
      <c r="B488" s="219"/>
      <c r="C488" s="219"/>
      <c r="D488" s="219"/>
      <c r="E488" s="219"/>
      <c r="F488" s="219"/>
      <c r="G488" s="219"/>
      <c r="H488" s="219"/>
      <c r="I488" s="219"/>
      <c r="J488" s="219"/>
      <c r="K488" s="219"/>
      <c r="L488" s="219"/>
      <c r="M488" s="219"/>
      <c r="N488" s="219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19"/>
      <c r="Z488" s="219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19"/>
      <c r="AL488" s="219"/>
      <c r="AM488" s="219"/>
      <c r="AN488" s="219"/>
      <c r="AO488" s="219"/>
      <c r="AP488" s="219"/>
      <c r="AQ488" s="219"/>
      <c r="AR488" s="219"/>
      <c r="AS488" s="219"/>
      <c r="AT488" s="219"/>
      <c r="AU488" s="219"/>
      <c r="AV488" s="219"/>
      <c r="AW488" s="219"/>
    </row>
    <row r="489" spans="1:49">
      <c r="A489" s="219"/>
      <c r="B489" s="219"/>
      <c r="C489" s="219"/>
      <c r="D489" s="219"/>
      <c r="E489" s="219"/>
      <c r="F489" s="219"/>
      <c r="G489" s="219"/>
      <c r="H489" s="219"/>
      <c r="I489" s="219"/>
      <c r="J489" s="219"/>
      <c r="K489" s="219"/>
      <c r="L489" s="219"/>
      <c r="M489" s="219"/>
      <c r="N489" s="219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19"/>
      <c r="Z489" s="219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19"/>
      <c r="AL489" s="219"/>
      <c r="AM489" s="219"/>
      <c r="AN489" s="219"/>
      <c r="AO489" s="219"/>
      <c r="AP489" s="219"/>
      <c r="AQ489" s="219"/>
      <c r="AR489" s="219"/>
      <c r="AS489" s="219"/>
      <c r="AT489" s="219"/>
      <c r="AU489" s="219"/>
      <c r="AV489" s="219"/>
      <c r="AW489" s="219"/>
    </row>
    <row r="490" spans="1:49">
      <c r="A490" s="219"/>
      <c r="B490" s="219"/>
      <c r="C490" s="219"/>
      <c r="D490" s="219"/>
      <c r="E490" s="219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19"/>
      <c r="AL490" s="219"/>
      <c r="AM490" s="219"/>
      <c r="AN490" s="219"/>
      <c r="AO490" s="219"/>
      <c r="AP490" s="219"/>
      <c r="AQ490" s="219"/>
      <c r="AR490" s="219"/>
      <c r="AS490" s="219"/>
      <c r="AT490" s="219"/>
      <c r="AU490" s="219"/>
      <c r="AV490" s="219"/>
      <c r="AW490" s="219"/>
    </row>
    <row r="491" spans="1:49">
      <c r="A491" s="219"/>
      <c r="B491" s="219"/>
      <c r="C491" s="219"/>
      <c r="D491" s="219"/>
      <c r="E491" s="219"/>
      <c r="F491" s="219"/>
      <c r="G491" s="219"/>
      <c r="H491" s="219"/>
      <c r="I491" s="219"/>
      <c r="J491" s="219"/>
      <c r="K491" s="219"/>
      <c r="L491" s="219"/>
      <c r="M491" s="219"/>
      <c r="N491" s="219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19"/>
      <c r="Z491" s="219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19"/>
      <c r="AL491" s="219"/>
      <c r="AM491" s="219"/>
      <c r="AN491" s="219"/>
      <c r="AO491" s="219"/>
      <c r="AP491" s="219"/>
      <c r="AQ491" s="219"/>
      <c r="AR491" s="219"/>
      <c r="AS491" s="219"/>
      <c r="AT491" s="219"/>
      <c r="AU491" s="219"/>
      <c r="AV491" s="219"/>
      <c r="AW491" s="219"/>
    </row>
    <row r="492" spans="1:49">
      <c r="A492" s="219"/>
      <c r="B492" s="219"/>
      <c r="C492" s="219"/>
      <c r="D492" s="219"/>
      <c r="E492" s="219"/>
      <c r="F492" s="219"/>
      <c r="G492" s="219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19"/>
      <c r="Z492" s="219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19"/>
      <c r="AL492" s="219"/>
      <c r="AM492" s="219"/>
      <c r="AN492" s="219"/>
      <c r="AO492" s="219"/>
      <c r="AP492" s="219"/>
      <c r="AQ492" s="219"/>
      <c r="AR492" s="219"/>
      <c r="AS492" s="219"/>
      <c r="AT492" s="219"/>
      <c r="AU492" s="219"/>
      <c r="AV492" s="219"/>
      <c r="AW492" s="219"/>
    </row>
    <row r="493" spans="1:49">
      <c r="A493" s="219"/>
      <c r="B493" s="219"/>
      <c r="C493" s="219"/>
      <c r="D493" s="219"/>
      <c r="E493" s="219"/>
      <c r="F493" s="219"/>
      <c r="G493" s="219"/>
      <c r="H493" s="219"/>
      <c r="I493" s="219"/>
      <c r="J493" s="219"/>
      <c r="K493" s="219"/>
      <c r="L493" s="219"/>
      <c r="M493" s="219"/>
      <c r="N493" s="219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19"/>
      <c r="Z493" s="219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19"/>
      <c r="AL493" s="219"/>
      <c r="AM493" s="219"/>
      <c r="AN493" s="219"/>
      <c r="AO493" s="219"/>
      <c r="AP493" s="219"/>
      <c r="AQ493" s="219"/>
      <c r="AR493" s="219"/>
      <c r="AS493" s="219"/>
      <c r="AT493" s="219"/>
      <c r="AU493" s="219"/>
      <c r="AV493" s="219"/>
      <c r="AW493" s="219"/>
    </row>
    <row r="494" spans="1:49">
      <c r="A494" s="219"/>
      <c r="B494" s="219"/>
      <c r="C494" s="219"/>
      <c r="D494" s="219"/>
      <c r="E494" s="219"/>
      <c r="F494" s="219"/>
      <c r="G494" s="219"/>
      <c r="H494" s="219"/>
      <c r="I494" s="219"/>
      <c r="J494" s="219"/>
      <c r="K494" s="219"/>
      <c r="L494" s="219"/>
      <c r="M494" s="219"/>
      <c r="N494" s="219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19"/>
      <c r="Z494" s="219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19"/>
      <c r="AL494" s="219"/>
      <c r="AM494" s="219"/>
      <c r="AN494" s="219"/>
      <c r="AO494" s="219"/>
      <c r="AP494" s="219"/>
      <c r="AQ494" s="219"/>
      <c r="AR494" s="219"/>
      <c r="AS494" s="219"/>
      <c r="AT494" s="219"/>
      <c r="AU494" s="219"/>
      <c r="AV494" s="219"/>
      <c r="AW494" s="219"/>
    </row>
    <row r="495" spans="1:49">
      <c r="A495" s="219"/>
      <c r="B495" s="219"/>
      <c r="C495" s="219"/>
      <c r="D495" s="219"/>
      <c r="E495" s="219"/>
      <c r="F495" s="219"/>
      <c r="G495" s="219"/>
      <c r="H495" s="219"/>
      <c r="I495" s="219"/>
      <c r="J495" s="219"/>
      <c r="K495" s="219"/>
      <c r="L495" s="219"/>
      <c r="M495" s="219"/>
      <c r="N495" s="219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19"/>
      <c r="Z495" s="219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19"/>
      <c r="AL495" s="219"/>
      <c r="AM495" s="219"/>
      <c r="AN495" s="219"/>
      <c r="AO495" s="219"/>
      <c r="AP495" s="219"/>
      <c r="AQ495" s="219"/>
      <c r="AR495" s="219"/>
      <c r="AS495" s="219"/>
      <c r="AT495" s="219"/>
      <c r="AU495" s="219"/>
      <c r="AV495" s="219"/>
      <c r="AW495" s="219"/>
    </row>
    <row r="496" spans="1:49">
      <c r="A496" s="219"/>
      <c r="B496" s="219"/>
      <c r="C496" s="219"/>
      <c r="D496" s="219"/>
      <c r="E496" s="219"/>
      <c r="F496" s="219"/>
      <c r="G496" s="219"/>
      <c r="H496" s="219"/>
      <c r="I496" s="219"/>
      <c r="J496" s="219"/>
      <c r="K496" s="219"/>
      <c r="L496" s="219"/>
      <c r="M496" s="219"/>
      <c r="N496" s="219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19"/>
      <c r="Z496" s="219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19"/>
      <c r="AL496" s="219"/>
      <c r="AM496" s="219"/>
      <c r="AN496" s="219"/>
      <c r="AO496" s="219"/>
      <c r="AP496" s="219"/>
      <c r="AQ496" s="219"/>
      <c r="AR496" s="219"/>
      <c r="AS496" s="219"/>
      <c r="AT496" s="219"/>
      <c r="AU496" s="219"/>
      <c r="AV496" s="219"/>
      <c r="AW496" s="219"/>
    </row>
    <row r="497" spans="1:49">
      <c r="A497" s="219"/>
      <c r="B497" s="219"/>
      <c r="C497" s="219"/>
      <c r="D497" s="219"/>
      <c r="E497" s="219"/>
      <c r="F497" s="219"/>
      <c r="G497" s="219"/>
      <c r="H497" s="219"/>
      <c r="I497" s="219"/>
      <c r="J497" s="219"/>
      <c r="K497" s="219"/>
      <c r="L497" s="219"/>
      <c r="M497" s="219"/>
      <c r="N497" s="219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19"/>
      <c r="Z497" s="219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19"/>
      <c r="AL497" s="219"/>
      <c r="AM497" s="219"/>
      <c r="AN497" s="219"/>
      <c r="AO497" s="219"/>
      <c r="AP497" s="219"/>
      <c r="AQ497" s="219"/>
      <c r="AR497" s="219"/>
      <c r="AS497" s="219"/>
      <c r="AT497" s="219"/>
      <c r="AU497" s="219"/>
      <c r="AV497" s="219"/>
      <c r="AW497" s="219"/>
    </row>
    <row r="498" spans="1:49">
      <c r="A498" s="219"/>
      <c r="B498" s="219"/>
      <c r="C498" s="219"/>
      <c r="D498" s="219"/>
      <c r="E498" s="219"/>
      <c r="F498" s="219"/>
      <c r="G498" s="219"/>
      <c r="H498" s="219"/>
      <c r="I498" s="219"/>
      <c r="J498" s="219"/>
      <c r="K498" s="219"/>
      <c r="L498" s="219"/>
      <c r="M498" s="219"/>
      <c r="N498" s="219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19"/>
      <c r="Z498" s="219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19"/>
      <c r="AL498" s="219"/>
      <c r="AM498" s="219"/>
      <c r="AN498" s="219"/>
      <c r="AO498" s="219"/>
      <c r="AP498" s="219"/>
      <c r="AQ498" s="219"/>
      <c r="AR498" s="219"/>
      <c r="AS498" s="219"/>
      <c r="AT498" s="219"/>
      <c r="AU498" s="219"/>
      <c r="AV498" s="219"/>
      <c r="AW498" s="219"/>
    </row>
    <row r="499" spans="1:49">
      <c r="A499" s="219"/>
      <c r="B499" s="219"/>
      <c r="C499" s="219"/>
      <c r="D499" s="219"/>
      <c r="E499" s="219"/>
      <c r="F499" s="219"/>
      <c r="G499" s="219"/>
      <c r="H499" s="219"/>
      <c r="I499" s="219"/>
      <c r="J499" s="219"/>
      <c r="K499" s="219"/>
      <c r="L499" s="219"/>
      <c r="M499" s="219"/>
      <c r="N499" s="219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19"/>
      <c r="Z499" s="219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19"/>
      <c r="AL499" s="219"/>
      <c r="AM499" s="219"/>
      <c r="AN499" s="219"/>
      <c r="AO499" s="219"/>
      <c r="AP499" s="219"/>
      <c r="AQ499" s="219"/>
      <c r="AR499" s="219"/>
      <c r="AS499" s="219"/>
      <c r="AT499" s="219"/>
      <c r="AU499" s="219"/>
      <c r="AV499" s="219"/>
      <c r="AW499" s="219"/>
    </row>
    <row r="500" spans="1:49">
      <c r="A500" s="219"/>
      <c r="B500" s="219"/>
      <c r="C500" s="219"/>
      <c r="D500" s="219"/>
      <c r="E500" s="219"/>
      <c r="F500" s="219"/>
      <c r="G500" s="219"/>
      <c r="H500" s="219"/>
      <c r="I500" s="219"/>
      <c r="J500" s="219"/>
      <c r="K500" s="219"/>
      <c r="L500" s="219"/>
      <c r="M500" s="219"/>
      <c r="N500" s="219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19"/>
      <c r="Z500" s="219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19"/>
      <c r="AL500" s="219"/>
      <c r="AM500" s="219"/>
      <c r="AN500" s="219"/>
      <c r="AO500" s="219"/>
      <c r="AP500" s="219"/>
      <c r="AQ500" s="219"/>
      <c r="AR500" s="219"/>
      <c r="AS500" s="219"/>
      <c r="AT500" s="219"/>
      <c r="AU500" s="219"/>
      <c r="AV500" s="219"/>
      <c r="AW500" s="219"/>
    </row>
    <row r="501" spans="1:49">
      <c r="A501" s="219"/>
      <c r="B501" s="219"/>
      <c r="C501" s="219"/>
      <c r="D501" s="219"/>
      <c r="E501" s="219"/>
      <c r="F501" s="219"/>
      <c r="G501" s="219"/>
      <c r="H501" s="219"/>
      <c r="I501" s="219"/>
      <c r="J501" s="219"/>
      <c r="K501" s="219"/>
      <c r="L501" s="219"/>
      <c r="M501" s="219"/>
      <c r="N501" s="219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19"/>
      <c r="Z501" s="219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19"/>
      <c r="AL501" s="219"/>
      <c r="AM501" s="219"/>
      <c r="AN501" s="219"/>
      <c r="AO501" s="219"/>
      <c r="AP501" s="219"/>
      <c r="AQ501" s="219"/>
      <c r="AR501" s="219"/>
      <c r="AS501" s="219"/>
      <c r="AT501" s="219"/>
      <c r="AU501" s="219"/>
      <c r="AV501" s="219"/>
      <c r="AW501" s="219"/>
    </row>
    <row r="502" spans="1:49">
      <c r="A502" s="219"/>
      <c r="B502" s="219"/>
      <c r="C502" s="219"/>
      <c r="D502" s="219"/>
      <c r="E502" s="219"/>
      <c r="F502" s="219"/>
      <c r="G502" s="219"/>
      <c r="H502" s="219"/>
      <c r="I502" s="219"/>
      <c r="J502" s="219"/>
      <c r="K502" s="219"/>
      <c r="L502" s="219"/>
      <c r="M502" s="219"/>
      <c r="N502" s="219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19"/>
      <c r="Z502" s="219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19"/>
      <c r="AL502" s="219"/>
      <c r="AM502" s="219"/>
      <c r="AN502" s="219"/>
      <c r="AO502" s="219"/>
      <c r="AP502" s="219"/>
      <c r="AQ502" s="219"/>
      <c r="AR502" s="219"/>
      <c r="AS502" s="219"/>
      <c r="AT502" s="219"/>
      <c r="AU502" s="219"/>
      <c r="AV502" s="219"/>
      <c r="AW502" s="219"/>
    </row>
    <row r="503" spans="1:49">
      <c r="A503" s="219"/>
      <c r="B503" s="219"/>
      <c r="C503" s="219"/>
      <c r="D503" s="219"/>
      <c r="E503" s="219"/>
      <c r="F503" s="219"/>
      <c r="G503" s="219"/>
      <c r="H503" s="219"/>
      <c r="I503" s="219"/>
      <c r="J503" s="219"/>
      <c r="K503" s="219"/>
      <c r="L503" s="219"/>
      <c r="M503" s="219"/>
      <c r="N503" s="219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19"/>
      <c r="Z503" s="219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19"/>
      <c r="AL503" s="219"/>
      <c r="AM503" s="219"/>
      <c r="AN503" s="219"/>
      <c r="AO503" s="219"/>
      <c r="AP503" s="219"/>
      <c r="AQ503" s="219"/>
      <c r="AR503" s="219"/>
      <c r="AS503" s="219"/>
      <c r="AT503" s="219"/>
      <c r="AU503" s="219"/>
      <c r="AV503" s="219"/>
      <c r="AW503" s="219"/>
    </row>
    <row r="504" spans="1:49">
      <c r="A504" s="219"/>
      <c r="B504" s="219"/>
      <c r="C504" s="219"/>
      <c r="D504" s="219"/>
      <c r="E504" s="219"/>
      <c r="F504" s="219"/>
      <c r="G504" s="219"/>
      <c r="H504" s="219"/>
      <c r="I504" s="219"/>
      <c r="J504" s="219"/>
      <c r="K504" s="219"/>
      <c r="L504" s="219"/>
      <c r="M504" s="219"/>
      <c r="N504" s="219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19"/>
      <c r="Z504" s="219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19"/>
      <c r="AL504" s="219"/>
      <c r="AM504" s="219"/>
      <c r="AN504" s="219"/>
      <c r="AO504" s="219"/>
      <c r="AP504" s="219"/>
      <c r="AQ504" s="219"/>
      <c r="AR504" s="219"/>
      <c r="AS504" s="219"/>
      <c r="AT504" s="219"/>
      <c r="AU504" s="219"/>
      <c r="AV504" s="219"/>
      <c r="AW504" s="219"/>
    </row>
    <row r="505" spans="1:49">
      <c r="A505" s="219"/>
      <c r="B505" s="219"/>
      <c r="C505" s="219"/>
      <c r="D505" s="219"/>
      <c r="E505" s="219"/>
      <c r="F505" s="219"/>
      <c r="G505" s="219"/>
      <c r="H505" s="219"/>
      <c r="I505" s="219"/>
      <c r="J505" s="219"/>
      <c r="K505" s="219"/>
      <c r="L505" s="219"/>
      <c r="M505" s="219"/>
      <c r="N505" s="219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19"/>
      <c r="Z505" s="219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19"/>
      <c r="AL505" s="219"/>
      <c r="AM505" s="219"/>
      <c r="AN505" s="219"/>
      <c r="AO505" s="219"/>
      <c r="AP505" s="219"/>
      <c r="AQ505" s="219"/>
      <c r="AR505" s="219"/>
      <c r="AS505" s="219"/>
      <c r="AT505" s="219"/>
      <c r="AU505" s="219"/>
      <c r="AV505" s="219"/>
      <c r="AW505" s="219"/>
    </row>
    <row r="506" spans="1:49">
      <c r="A506" s="219"/>
      <c r="B506" s="219"/>
      <c r="C506" s="219"/>
      <c r="D506" s="219"/>
      <c r="E506" s="219"/>
      <c r="F506" s="219"/>
      <c r="G506" s="219"/>
      <c r="H506" s="219"/>
      <c r="I506" s="219"/>
      <c r="J506" s="219"/>
      <c r="K506" s="219"/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19"/>
      <c r="AL506" s="219"/>
      <c r="AM506" s="219"/>
      <c r="AN506" s="219"/>
      <c r="AO506" s="219"/>
      <c r="AP506" s="219"/>
      <c r="AQ506" s="219"/>
      <c r="AR506" s="219"/>
      <c r="AS506" s="219"/>
      <c r="AT506" s="219"/>
      <c r="AU506" s="219"/>
      <c r="AV506" s="219"/>
      <c r="AW506" s="219"/>
    </row>
    <row r="507" spans="1:49">
      <c r="A507" s="219"/>
      <c r="B507" s="219"/>
      <c r="C507" s="219"/>
      <c r="D507" s="219"/>
      <c r="E507" s="219"/>
      <c r="F507" s="219"/>
      <c r="G507" s="219"/>
      <c r="H507" s="219"/>
      <c r="I507" s="219"/>
      <c r="J507" s="219"/>
      <c r="K507" s="219"/>
      <c r="L507" s="219"/>
      <c r="M507" s="219"/>
      <c r="N507" s="219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19"/>
      <c r="Z507" s="219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19"/>
      <c r="AL507" s="219"/>
      <c r="AM507" s="219"/>
      <c r="AN507" s="219"/>
      <c r="AO507" s="219"/>
      <c r="AP507" s="219"/>
      <c r="AQ507" s="219"/>
      <c r="AR507" s="219"/>
      <c r="AS507" s="219"/>
      <c r="AT507" s="219"/>
      <c r="AU507" s="219"/>
      <c r="AV507" s="219"/>
      <c r="AW507" s="219"/>
    </row>
    <row r="508" spans="1:49">
      <c r="A508" s="219"/>
      <c r="B508" s="219"/>
      <c r="C508" s="219"/>
      <c r="D508" s="219"/>
      <c r="E508" s="219"/>
      <c r="F508" s="219"/>
      <c r="G508" s="219"/>
      <c r="H508" s="219"/>
      <c r="I508" s="219"/>
      <c r="J508" s="219"/>
      <c r="K508" s="219"/>
      <c r="L508" s="219"/>
      <c r="M508" s="219"/>
      <c r="N508" s="219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19"/>
      <c r="Z508" s="219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19"/>
      <c r="AL508" s="219"/>
      <c r="AM508" s="219"/>
      <c r="AN508" s="219"/>
      <c r="AO508" s="219"/>
      <c r="AP508" s="219"/>
      <c r="AQ508" s="219"/>
      <c r="AR508" s="219"/>
      <c r="AS508" s="219"/>
      <c r="AT508" s="219"/>
      <c r="AU508" s="219"/>
      <c r="AV508" s="219"/>
      <c r="AW508" s="219"/>
    </row>
    <row r="509" spans="1:49">
      <c r="A509" s="219"/>
      <c r="B509" s="219"/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19"/>
      <c r="AL509" s="219"/>
      <c r="AM509" s="219"/>
      <c r="AN509" s="219"/>
      <c r="AO509" s="219"/>
      <c r="AP509" s="219"/>
      <c r="AQ509" s="219"/>
      <c r="AR509" s="219"/>
      <c r="AS509" s="219"/>
      <c r="AT509" s="219"/>
      <c r="AU509" s="219"/>
      <c r="AV509" s="219"/>
      <c r="AW509" s="219"/>
    </row>
    <row r="510" spans="1:49">
      <c r="A510" s="219"/>
      <c r="B510" s="219"/>
      <c r="C510" s="219"/>
      <c r="D510" s="219"/>
      <c r="E510" s="219"/>
      <c r="F510" s="219"/>
      <c r="G510" s="219"/>
      <c r="H510" s="219"/>
      <c r="I510" s="219"/>
      <c r="J510" s="219"/>
      <c r="K510" s="219"/>
      <c r="L510" s="219"/>
      <c r="M510" s="219"/>
      <c r="N510" s="219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19"/>
      <c r="Z510" s="219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19"/>
      <c r="AL510" s="219"/>
      <c r="AM510" s="219"/>
      <c r="AN510" s="219"/>
      <c r="AO510" s="219"/>
      <c r="AP510" s="219"/>
      <c r="AQ510" s="219"/>
      <c r="AR510" s="219"/>
      <c r="AS510" s="219"/>
      <c r="AT510" s="219"/>
      <c r="AU510" s="219"/>
      <c r="AV510" s="219"/>
      <c r="AW510" s="219"/>
    </row>
    <row r="511" spans="1:49">
      <c r="A511" s="219"/>
      <c r="B511" s="219"/>
      <c r="C511" s="219"/>
      <c r="D511" s="219"/>
      <c r="E511" s="219"/>
      <c r="F511" s="219"/>
      <c r="G511" s="219"/>
      <c r="H511" s="219"/>
      <c r="I511" s="219"/>
      <c r="J511" s="219"/>
      <c r="K511" s="219"/>
      <c r="L511" s="219"/>
      <c r="M511" s="219"/>
      <c r="N511" s="219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19"/>
      <c r="Z511" s="219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19"/>
      <c r="AL511" s="219"/>
      <c r="AM511" s="219"/>
      <c r="AN511" s="219"/>
      <c r="AO511" s="219"/>
      <c r="AP511" s="219"/>
      <c r="AQ511" s="219"/>
      <c r="AR511" s="219"/>
      <c r="AS511" s="219"/>
      <c r="AT511" s="219"/>
      <c r="AU511" s="219"/>
      <c r="AV511" s="219"/>
      <c r="AW511" s="219"/>
    </row>
    <row r="512" spans="1:49">
      <c r="A512" s="219"/>
      <c r="B512" s="219"/>
      <c r="C512" s="219"/>
      <c r="D512" s="219"/>
      <c r="E512" s="219"/>
      <c r="F512" s="219"/>
      <c r="G512" s="219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19"/>
      <c r="Z512" s="219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19"/>
      <c r="AL512" s="219"/>
      <c r="AM512" s="219"/>
      <c r="AN512" s="219"/>
      <c r="AO512" s="219"/>
      <c r="AP512" s="219"/>
      <c r="AQ512" s="219"/>
      <c r="AR512" s="219"/>
      <c r="AS512" s="219"/>
      <c r="AT512" s="219"/>
      <c r="AU512" s="219"/>
      <c r="AV512" s="219"/>
      <c r="AW512" s="219"/>
    </row>
    <row r="513" spans="1:49">
      <c r="A513" s="219"/>
      <c r="B513" s="219"/>
      <c r="C513" s="219"/>
      <c r="D513" s="219"/>
      <c r="E513" s="219"/>
      <c r="F513" s="219"/>
      <c r="G513" s="219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19"/>
      <c r="Z513" s="219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19"/>
      <c r="AL513" s="219"/>
      <c r="AM513" s="219"/>
      <c r="AN513" s="219"/>
      <c r="AO513" s="219"/>
      <c r="AP513" s="219"/>
      <c r="AQ513" s="219"/>
      <c r="AR513" s="219"/>
      <c r="AS513" s="219"/>
      <c r="AT513" s="219"/>
      <c r="AU513" s="219"/>
      <c r="AV513" s="219"/>
      <c r="AW513" s="219"/>
    </row>
    <row r="514" spans="1:49">
      <c r="A514" s="219"/>
      <c r="B514" s="219"/>
      <c r="C514" s="219"/>
      <c r="D514" s="219"/>
      <c r="E514" s="219"/>
      <c r="F514" s="219"/>
      <c r="G514" s="219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19"/>
      <c r="Z514" s="219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19"/>
      <c r="AL514" s="219"/>
      <c r="AM514" s="219"/>
      <c r="AN514" s="219"/>
      <c r="AO514" s="219"/>
      <c r="AP514" s="219"/>
      <c r="AQ514" s="219"/>
      <c r="AR514" s="219"/>
      <c r="AS514" s="219"/>
      <c r="AT514" s="219"/>
      <c r="AU514" s="219"/>
      <c r="AV514" s="219"/>
      <c r="AW514" s="219"/>
    </row>
    <row r="515" spans="1:49">
      <c r="A515" s="219"/>
      <c r="B515" s="219"/>
      <c r="C515" s="219"/>
      <c r="D515" s="219"/>
      <c r="E515" s="219"/>
      <c r="F515" s="219"/>
      <c r="G515" s="219"/>
      <c r="H515" s="219"/>
      <c r="I515" s="219"/>
      <c r="J515" s="219"/>
      <c r="K515" s="219"/>
      <c r="L515" s="219"/>
      <c r="M515" s="219"/>
      <c r="N515" s="219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19"/>
      <c r="Z515" s="219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19"/>
      <c r="AL515" s="219"/>
      <c r="AM515" s="219"/>
      <c r="AN515" s="219"/>
      <c r="AO515" s="219"/>
      <c r="AP515" s="219"/>
      <c r="AQ515" s="219"/>
      <c r="AR515" s="219"/>
      <c r="AS515" s="219"/>
      <c r="AT515" s="219"/>
      <c r="AU515" s="219"/>
      <c r="AV515" s="219"/>
      <c r="AW515" s="219"/>
    </row>
    <row r="516" spans="1:49">
      <c r="A516" s="219"/>
      <c r="B516" s="219"/>
      <c r="C516" s="219"/>
      <c r="D516" s="219"/>
      <c r="E516" s="219"/>
      <c r="F516" s="219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19"/>
      <c r="Z516" s="219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19"/>
      <c r="AL516" s="219"/>
      <c r="AM516" s="219"/>
      <c r="AN516" s="219"/>
      <c r="AO516" s="219"/>
      <c r="AP516" s="219"/>
      <c r="AQ516" s="219"/>
      <c r="AR516" s="219"/>
      <c r="AS516" s="219"/>
      <c r="AT516" s="219"/>
      <c r="AU516" s="219"/>
      <c r="AV516" s="219"/>
      <c r="AW516" s="219"/>
    </row>
    <row r="517" spans="1:49">
      <c r="A517" s="219"/>
      <c r="B517" s="219"/>
      <c r="C517" s="219"/>
      <c r="D517" s="219"/>
      <c r="E517" s="219"/>
      <c r="F517" s="219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19"/>
      <c r="Z517" s="219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19"/>
      <c r="AL517" s="219"/>
      <c r="AM517" s="219"/>
      <c r="AN517" s="219"/>
      <c r="AO517" s="219"/>
      <c r="AP517" s="219"/>
      <c r="AQ517" s="219"/>
      <c r="AR517" s="219"/>
      <c r="AS517" s="219"/>
      <c r="AT517" s="219"/>
      <c r="AU517" s="219"/>
      <c r="AV517" s="219"/>
      <c r="AW517" s="219"/>
    </row>
    <row r="518" spans="1:49">
      <c r="A518" s="219"/>
      <c r="B518" s="219"/>
      <c r="C518" s="219"/>
      <c r="D518" s="219"/>
      <c r="E518" s="219"/>
      <c r="F518" s="219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19"/>
      <c r="Z518" s="219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19"/>
      <c r="AL518" s="219"/>
      <c r="AM518" s="219"/>
      <c r="AN518" s="219"/>
      <c r="AO518" s="219"/>
      <c r="AP518" s="219"/>
      <c r="AQ518" s="219"/>
      <c r="AR518" s="219"/>
      <c r="AS518" s="219"/>
      <c r="AT518" s="219"/>
      <c r="AU518" s="219"/>
      <c r="AV518" s="219"/>
      <c r="AW518" s="219"/>
    </row>
    <row r="519" spans="1:49">
      <c r="A519" s="219"/>
      <c r="B519" s="219"/>
      <c r="C519" s="219"/>
      <c r="D519" s="219"/>
      <c r="E519" s="219"/>
      <c r="F519" s="219"/>
      <c r="G519" s="219"/>
      <c r="H519" s="219"/>
      <c r="I519" s="219"/>
      <c r="J519" s="219"/>
      <c r="K519" s="219"/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19"/>
      <c r="Z519" s="219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19"/>
      <c r="AL519" s="219"/>
      <c r="AM519" s="219"/>
      <c r="AN519" s="219"/>
      <c r="AO519" s="219"/>
      <c r="AP519" s="219"/>
      <c r="AQ519" s="219"/>
      <c r="AR519" s="219"/>
      <c r="AS519" s="219"/>
      <c r="AT519" s="219"/>
      <c r="AU519" s="219"/>
      <c r="AV519" s="219"/>
      <c r="AW519" s="219"/>
    </row>
    <row r="520" spans="1:49">
      <c r="A520" s="219"/>
      <c r="B520" s="219"/>
      <c r="C520" s="219"/>
      <c r="D520" s="219"/>
      <c r="E520" s="219"/>
      <c r="F520" s="219"/>
      <c r="G520" s="219"/>
      <c r="H520" s="219"/>
      <c r="I520" s="219"/>
      <c r="J520" s="219"/>
      <c r="K520" s="219"/>
      <c r="L520" s="219"/>
      <c r="M520" s="219"/>
      <c r="N520" s="219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19"/>
      <c r="Z520" s="219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19"/>
      <c r="AL520" s="219"/>
      <c r="AM520" s="219"/>
      <c r="AN520" s="219"/>
      <c r="AO520" s="219"/>
      <c r="AP520" s="219"/>
      <c r="AQ520" s="219"/>
      <c r="AR520" s="219"/>
      <c r="AS520" s="219"/>
      <c r="AT520" s="219"/>
      <c r="AU520" s="219"/>
      <c r="AV520" s="219"/>
      <c r="AW520" s="219"/>
    </row>
    <row r="521" spans="1:49">
      <c r="A521" s="219"/>
      <c r="B521" s="219"/>
      <c r="C521" s="219"/>
      <c r="D521" s="219"/>
      <c r="E521" s="219"/>
      <c r="F521" s="219"/>
      <c r="G521" s="219"/>
      <c r="H521" s="219"/>
      <c r="I521" s="219"/>
      <c r="J521" s="219"/>
      <c r="K521" s="219"/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19"/>
      <c r="Z521" s="219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19"/>
      <c r="AL521" s="219"/>
      <c r="AM521" s="219"/>
      <c r="AN521" s="219"/>
      <c r="AO521" s="219"/>
      <c r="AP521" s="219"/>
      <c r="AQ521" s="219"/>
      <c r="AR521" s="219"/>
      <c r="AS521" s="219"/>
      <c r="AT521" s="219"/>
      <c r="AU521" s="219"/>
      <c r="AV521" s="219"/>
      <c r="AW521" s="219"/>
    </row>
    <row r="522" spans="1:49">
      <c r="A522" s="219"/>
      <c r="B522" s="219"/>
      <c r="C522" s="219"/>
      <c r="D522" s="219"/>
      <c r="E522" s="219"/>
      <c r="F522" s="219"/>
      <c r="G522" s="219"/>
      <c r="H522" s="219"/>
      <c r="I522" s="219"/>
      <c r="J522" s="219"/>
      <c r="K522" s="219"/>
      <c r="L522" s="219"/>
      <c r="M522" s="219"/>
      <c r="N522" s="219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19"/>
      <c r="Z522" s="219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19"/>
      <c r="AL522" s="219"/>
      <c r="AM522" s="219"/>
      <c r="AN522" s="219"/>
      <c r="AO522" s="219"/>
      <c r="AP522" s="219"/>
      <c r="AQ522" s="219"/>
      <c r="AR522" s="219"/>
      <c r="AS522" s="219"/>
      <c r="AT522" s="219"/>
      <c r="AU522" s="219"/>
      <c r="AV522" s="219"/>
      <c r="AW522" s="219"/>
    </row>
    <row r="523" spans="1:49">
      <c r="A523" s="219"/>
      <c r="B523" s="219"/>
      <c r="C523" s="219"/>
      <c r="D523" s="219"/>
      <c r="E523" s="219"/>
      <c r="F523" s="219"/>
      <c r="G523" s="219"/>
      <c r="H523" s="219"/>
      <c r="I523" s="219"/>
      <c r="J523" s="219"/>
      <c r="K523" s="219"/>
      <c r="L523" s="219"/>
      <c r="M523" s="219"/>
      <c r="N523" s="219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19"/>
      <c r="Z523" s="219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19"/>
      <c r="AL523" s="219"/>
      <c r="AM523" s="219"/>
      <c r="AN523" s="219"/>
      <c r="AO523" s="219"/>
      <c r="AP523" s="219"/>
      <c r="AQ523" s="219"/>
      <c r="AR523" s="219"/>
      <c r="AS523" s="219"/>
      <c r="AT523" s="219"/>
      <c r="AU523" s="219"/>
      <c r="AV523" s="219"/>
      <c r="AW523" s="219"/>
    </row>
    <row r="524" spans="1:49">
      <c r="A524" s="219"/>
      <c r="B524" s="219"/>
      <c r="C524" s="219"/>
      <c r="D524" s="219"/>
      <c r="E524" s="219"/>
      <c r="F524" s="219"/>
      <c r="G524" s="219"/>
      <c r="H524" s="219"/>
      <c r="I524" s="219"/>
      <c r="J524" s="219"/>
      <c r="K524" s="219"/>
      <c r="L524" s="219"/>
      <c r="M524" s="219"/>
      <c r="N524" s="219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19"/>
      <c r="Z524" s="219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19"/>
      <c r="AL524" s="219"/>
      <c r="AM524" s="219"/>
      <c r="AN524" s="219"/>
      <c r="AO524" s="219"/>
      <c r="AP524" s="219"/>
      <c r="AQ524" s="219"/>
      <c r="AR524" s="219"/>
      <c r="AS524" s="219"/>
      <c r="AT524" s="219"/>
      <c r="AU524" s="219"/>
      <c r="AV524" s="219"/>
      <c r="AW524" s="219"/>
    </row>
    <row r="525" spans="1:49">
      <c r="A525" s="219"/>
      <c r="B525" s="219"/>
      <c r="C525" s="219"/>
      <c r="D525" s="219"/>
      <c r="E525" s="219"/>
      <c r="F525" s="219"/>
      <c r="G525" s="219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19"/>
      <c r="Z525" s="219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19"/>
      <c r="AL525" s="219"/>
      <c r="AM525" s="219"/>
      <c r="AN525" s="219"/>
      <c r="AO525" s="219"/>
      <c r="AP525" s="219"/>
      <c r="AQ525" s="219"/>
      <c r="AR525" s="219"/>
      <c r="AS525" s="219"/>
      <c r="AT525" s="219"/>
      <c r="AU525" s="219"/>
      <c r="AV525" s="219"/>
      <c r="AW525" s="219"/>
    </row>
    <row r="526" spans="1:49">
      <c r="A526" s="219"/>
      <c r="B526" s="219"/>
      <c r="C526" s="219"/>
      <c r="D526" s="219"/>
      <c r="E526" s="219"/>
      <c r="F526" s="219"/>
      <c r="G526" s="219"/>
      <c r="H526" s="219"/>
      <c r="I526" s="219"/>
      <c r="J526" s="219"/>
      <c r="K526" s="219"/>
      <c r="L526" s="219"/>
      <c r="M526" s="219"/>
      <c r="N526" s="219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19"/>
      <c r="Z526" s="219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19"/>
      <c r="AL526" s="219"/>
      <c r="AM526" s="219"/>
      <c r="AN526" s="219"/>
      <c r="AO526" s="219"/>
      <c r="AP526" s="219"/>
      <c r="AQ526" s="219"/>
      <c r="AR526" s="219"/>
      <c r="AS526" s="219"/>
      <c r="AT526" s="219"/>
      <c r="AU526" s="219"/>
      <c r="AV526" s="219"/>
      <c r="AW526" s="219"/>
    </row>
    <row r="527" spans="1:49">
      <c r="A527" s="219"/>
      <c r="B527" s="219"/>
      <c r="C527" s="219"/>
      <c r="D527" s="219"/>
      <c r="E527" s="219"/>
      <c r="F527" s="219"/>
      <c r="G527" s="219"/>
      <c r="H527" s="219"/>
      <c r="I527" s="219"/>
      <c r="J527" s="219"/>
      <c r="K527" s="219"/>
      <c r="L527" s="219"/>
      <c r="M527" s="219"/>
      <c r="N527" s="219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19"/>
      <c r="Z527" s="219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19"/>
      <c r="AL527" s="219"/>
      <c r="AM527" s="219"/>
      <c r="AN527" s="219"/>
      <c r="AO527" s="219"/>
      <c r="AP527" s="219"/>
      <c r="AQ527" s="219"/>
      <c r="AR527" s="219"/>
      <c r="AS527" s="219"/>
      <c r="AT527" s="219"/>
      <c r="AU527" s="219"/>
      <c r="AV527" s="219"/>
      <c r="AW527" s="219"/>
    </row>
    <row r="528" spans="1:49">
      <c r="A528" s="219"/>
      <c r="B528" s="219"/>
      <c r="C528" s="219"/>
      <c r="D528" s="219"/>
      <c r="E528" s="219"/>
      <c r="F528" s="219"/>
      <c r="G528" s="219"/>
      <c r="H528" s="219"/>
      <c r="I528" s="219"/>
      <c r="J528" s="219"/>
      <c r="K528" s="219"/>
      <c r="L528" s="219"/>
      <c r="M528" s="219"/>
      <c r="N528" s="219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19"/>
      <c r="Z528" s="219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19"/>
      <c r="AL528" s="219"/>
      <c r="AM528" s="219"/>
      <c r="AN528" s="219"/>
      <c r="AO528" s="219"/>
      <c r="AP528" s="219"/>
      <c r="AQ528" s="219"/>
      <c r="AR528" s="219"/>
      <c r="AS528" s="219"/>
      <c r="AT528" s="219"/>
      <c r="AU528" s="219"/>
      <c r="AV528" s="219"/>
      <c r="AW528" s="219"/>
    </row>
    <row r="529" spans="1:49">
      <c r="A529" s="219"/>
      <c r="B529" s="219"/>
      <c r="C529" s="219"/>
      <c r="D529" s="219"/>
      <c r="E529" s="219"/>
      <c r="F529" s="219"/>
      <c r="G529" s="219"/>
      <c r="H529" s="219"/>
      <c r="I529" s="219"/>
      <c r="J529" s="219"/>
      <c r="K529" s="219"/>
      <c r="L529" s="219"/>
      <c r="M529" s="219"/>
      <c r="N529" s="219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19"/>
      <c r="Z529" s="219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19"/>
      <c r="AL529" s="219"/>
      <c r="AM529" s="219"/>
      <c r="AN529" s="219"/>
      <c r="AO529" s="219"/>
      <c r="AP529" s="219"/>
      <c r="AQ529" s="219"/>
      <c r="AR529" s="219"/>
      <c r="AS529" s="219"/>
      <c r="AT529" s="219"/>
      <c r="AU529" s="219"/>
      <c r="AV529" s="219"/>
      <c r="AW529" s="219"/>
    </row>
    <row r="530" spans="1:49">
      <c r="A530" s="219"/>
      <c r="B530" s="219"/>
      <c r="C530" s="219"/>
      <c r="D530" s="219"/>
      <c r="E530" s="219"/>
      <c r="F530" s="219"/>
      <c r="G530" s="219"/>
      <c r="H530" s="219"/>
      <c r="I530" s="219"/>
      <c r="J530" s="219"/>
      <c r="K530" s="219"/>
      <c r="L530" s="219"/>
      <c r="M530" s="219"/>
      <c r="N530" s="219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19"/>
      <c r="Z530" s="219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19"/>
      <c r="AL530" s="219"/>
      <c r="AM530" s="219"/>
      <c r="AN530" s="219"/>
      <c r="AO530" s="219"/>
      <c r="AP530" s="219"/>
      <c r="AQ530" s="219"/>
      <c r="AR530" s="219"/>
      <c r="AS530" s="219"/>
      <c r="AT530" s="219"/>
      <c r="AU530" s="219"/>
      <c r="AV530" s="219"/>
      <c r="AW530" s="219"/>
    </row>
    <row r="531" spans="1:49">
      <c r="A531" s="219"/>
      <c r="B531" s="219"/>
      <c r="C531" s="219"/>
      <c r="D531" s="219"/>
      <c r="E531" s="219"/>
      <c r="F531" s="219"/>
      <c r="G531" s="219"/>
      <c r="H531" s="219"/>
      <c r="I531" s="219"/>
      <c r="J531" s="219"/>
      <c r="K531" s="219"/>
      <c r="L531" s="219"/>
      <c r="M531" s="219"/>
      <c r="N531" s="219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19"/>
      <c r="Z531" s="219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19"/>
      <c r="AL531" s="219"/>
      <c r="AM531" s="219"/>
      <c r="AN531" s="219"/>
      <c r="AO531" s="219"/>
      <c r="AP531" s="219"/>
      <c r="AQ531" s="219"/>
      <c r="AR531" s="219"/>
      <c r="AS531" s="219"/>
      <c r="AT531" s="219"/>
      <c r="AU531" s="219"/>
      <c r="AV531" s="219"/>
      <c r="AW531" s="219"/>
    </row>
    <row r="532" spans="1:49">
      <c r="A532" s="219"/>
      <c r="B532" s="219"/>
      <c r="C532" s="219"/>
      <c r="D532" s="219"/>
      <c r="E532" s="219"/>
      <c r="F532" s="219"/>
      <c r="G532" s="219"/>
      <c r="H532" s="219"/>
      <c r="I532" s="219"/>
      <c r="J532" s="219"/>
      <c r="K532" s="219"/>
      <c r="L532" s="219"/>
      <c r="M532" s="219"/>
      <c r="N532" s="219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19"/>
      <c r="Z532" s="219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19"/>
      <c r="AL532" s="219"/>
      <c r="AM532" s="219"/>
      <c r="AN532" s="219"/>
      <c r="AO532" s="219"/>
      <c r="AP532" s="219"/>
      <c r="AQ532" s="219"/>
      <c r="AR532" s="219"/>
      <c r="AS532" s="219"/>
      <c r="AT532" s="219"/>
      <c r="AU532" s="219"/>
      <c r="AV532" s="219"/>
      <c r="AW532" s="219"/>
    </row>
    <row r="533" spans="1:49">
      <c r="A533" s="219"/>
      <c r="B533" s="219"/>
      <c r="C533" s="219"/>
      <c r="D533" s="219"/>
      <c r="E533" s="219"/>
      <c r="F533" s="219"/>
      <c r="G533" s="219"/>
      <c r="H533" s="219"/>
      <c r="I533" s="219"/>
      <c r="J533" s="219"/>
      <c r="K533" s="219"/>
      <c r="L533" s="219"/>
      <c r="M533" s="219"/>
      <c r="N533" s="219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19"/>
      <c r="Z533" s="219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19"/>
      <c r="AL533" s="219"/>
      <c r="AM533" s="219"/>
      <c r="AN533" s="219"/>
      <c r="AO533" s="219"/>
      <c r="AP533" s="219"/>
      <c r="AQ533" s="219"/>
      <c r="AR533" s="219"/>
      <c r="AS533" s="219"/>
      <c r="AT533" s="219"/>
      <c r="AU533" s="219"/>
      <c r="AV533" s="219"/>
      <c r="AW533" s="219"/>
    </row>
    <row r="534" spans="1:49">
      <c r="A534" s="219"/>
      <c r="B534" s="219"/>
      <c r="C534" s="219"/>
      <c r="D534" s="219"/>
      <c r="E534" s="219"/>
      <c r="F534" s="219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19"/>
      <c r="Z534" s="219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19"/>
      <c r="AL534" s="219"/>
      <c r="AM534" s="219"/>
      <c r="AN534" s="219"/>
      <c r="AO534" s="219"/>
      <c r="AP534" s="219"/>
      <c r="AQ534" s="219"/>
      <c r="AR534" s="219"/>
      <c r="AS534" s="219"/>
      <c r="AT534" s="219"/>
      <c r="AU534" s="219"/>
      <c r="AV534" s="219"/>
      <c r="AW534" s="219"/>
    </row>
    <row r="535" spans="1:49">
      <c r="A535" s="219"/>
      <c r="B535" s="219"/>
      <c r="C535" s="219"/>
      <c r="D535" s="219"/>
      <c r="E535" s="219"/>
      <c r="F535" s="219"/>
      <c r="G535" s="219"/>
      <c r="H535" s="219"/>
      <c r="I535" s="219"/>
      <c r="J535" s="219"/>
      <c r="K535" s="219"/>
      <c r="L535" s="219"/>
      <c r="M535" s="219"/>
      <c r="N535" s="219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19"/>
      <c r="Z535" s="219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19"/>
      <c r="AL535" s="219"/>
      <c r="AM535" s="219"/>
      <c r="AN535" s="219"/>
      <c r="AO535" s="219"/>
      <c r="AP535" s="219"/>
      <c r="AQ535" s="219"/>
      <c r="AR535" s="219"/>
      <c r="AS535" s="219"/>
      <c r="AT535" s="219"/>
      <c r="AU535" s="219"/>
      <c r="AV535" s="219"/>
      <c r="AW535" s="219"/>
    </row>
    <row r="536" spans="1:49">
      <c r="A536" s="219"/>
      <c r="B536" s="219"/>
      <c r="C536" s="219"/>
      <c r="D536" s="219"/>
      <c r="E536" s="219"/>
      <c r="F536" s="219"/>
      <c r="G536" s="219"/>
      <c r="H536" s="219"/>
      <c r="I536" s="219"/>
      <c r="J536" s="219"/>
      <c r="K536" s="219"/>
      <c r="L536" s="219"/>
      <c r="M536" s="219"/>
      <c r="N536" s="219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19"/>
      <c r="Z536" s="219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19"/>
      <c r="AL536" s="219"/>
      <c r="AM536" s="219"/>
      <c r="AN536" s="219"/>
      <c r="AO536" s="219"/>
      <c r="AP536" s="219"/>
      <c r="AQ536" s="219"/>
      <c r="AR536" s="219"/>
      <c r="AS536" s="219"/>
      <c r="AT536" s="219"/>
      <c r="AU536" s="219"/>
      <c r="AV536" s="219"/>
      <c r="AW536" s="219"/>
    </row>
    <row r="537" spans="1:49">
      <c r="A537" s="219"/>
      <c r="B537" s="219"/>
      <c r="C537" s="219"/>
      <c r="D537" s="219"/>
      <c r="E537" s="219"/>
      <c r="F537" s="219"/>
      <c r="G537" s="219"/>
      <c r="H537" s="219"/>
      <c r="I537" s="219"/>
      <c r="J537" s="219"/>
      <c r="K537" s="219"/>
      <c r="L537" s="219"/>
      <c r="M537" s="219"/>
      <c r="N537" s="219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19"/>
      <c r="Z537" s="219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19"/>
      <c r="AL537" s="219"/>
      <c r="AM537" s="219"/>
      <c r="AN537" s="219"/>
      <c r="AO537" s="219"/>
      <c r="AP537" s="219"/>
      <c r="AQ537" s="219"/>
      <c r="AR537" s="219"/>
      <c r="AS537" s="219"/>
      <c r="AT537" s="219"/>
      <c r="AU537" s="219"/>
      <c r="AV537" s="219"/>
      <c r="AW537" s="219"/>
    </row>
    <row r="538" spans="1:49">
      <c r="A538" s="219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19"/>
      <c r="Z538" s="219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19"/>
      <c r="AL538" s="219"/>
      <c r="AM538" s="219"/>
      <c r="AN538" s="219"/>
      <c r="AO538" s="219"/>
      <c r="AP538" s="219"/>
      <c r="AQ538" s="219"/>
      <c r="AR538" s="219"/>
      <c r="AS538" s="219"/>
      <c r="AT538" s="219"/>
      <c r="AU538" s="219"/>
      <c r="AV538" s="219"/>
      <c r="AW538" s="219"/>
    </row>
    <row r="539" spans="1:49">
      <c r="A539" s="219"/>
      <c r="B539" s="219"/>
      <c r="C539" s="219"/>
      <c r="D539" s="219"/>
      <c r="E539" s="219"/>
      <c r="F539" s="219"/>
      <c r="G539" s="219"/>
      <c r="H539" s="219"/>
      <c r="I539" s="219"/>
      <c r="J539" s="219"/>
      <c r="K539" s="219"/>
      <c r="L539" s="219"/>
      <c r="M539" s="219"/>
      <c r="N539" s="219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19"/>
      <c r="Z539" s="219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19"/>
      <c r="AL539" s="219"/>
      <c r="AM539" s="219"/>
      <c r="AN539" s="219"/>
      <c r="AO539" s="219"/>
      <c r="AP539" s="219"/>
      <c r="AQ539" s="219"/>
      <c r="AR539" s="219"/>
      <c r="AS539" s="219"/>
      <c r="AT539" s="219"/>
      <c r="AU539" s="219"/>
      <c r="AV539" s="219"/>
      <c r="AW539" s="219"/>
    </row>
    <row r="540" spans="1:49">
      <c r="A540" s="219"/>
      <c r="B540" s="219"/>
      <c r="C540" s="219"/>
      <c r="D540" s="219"/>
      <c r="E540" s="219"/>
      <c r="F540" s="219"/>
      <c r="G540" s="219"/>
      <c r="H540" s="219"/>
      <c r="I540" s="219"/>
      <c r="J540" s="219"/>
      <c r="K540" s="219"/>
      <c r="L540" s="219"/>
      <c r="M540" s="219"/>
      <c r="N540" s="219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19"/>
      <c r="Z540" s="219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19"/>
      <c r="AL540" s="219"/>
      <c r="AM540" s="219"/>
      <c r="AN540" s="219"/>
      <c r="AO540" s="219"/>
      <c r="AP540" s="219"/>
      <c r="AQ540" s="219"/>
      <c r="AR540" s="219"/>
      <c r="AS540" s="219"/>
      <c r="AT540" s="219"/>
      <c r="AU540" s="219"/>
      <c r="AV540" s="219"/>
      <c r="AW540" s="219"/>
    </row>
    <row r="541" spans="1:49">
      <c r="A541" s="219"/>
      <c r="B541" s="219"/>
      <c r="C541" s="219"/>
      <c r="D541" s="219"/>
      <c r="E541" s="219"/>
      <c r="F541" s="219"/>
      <c r="G541" s="219"/>
      <c r="H541" s="219"/>
      <c r="I541" s="219"/>
      <c r="J541" s="219"/>
      <c r="K541" s="219"/>
      <c r="L541" s="219"/>
      <c r="M541" s="219"/>
      <c r="N541" s="219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19"/>
      <c r="Z541" s="219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19"/>
      <c r="AL541" s="219"/>
      <c r="AM541" s="219"/>
      <c r="AN541" s="219"/>
      <c r="AO541" s="219"/>
      <c r="AP541" s="219"/>
      <c r="AQ541" s="219"/>
      <c r="AR541" s="219"/>
      <c r="AS541" s="219"/>
      <c r="AT541" s="219"/>
      <c r="AU541" s="219"/>
      <c r="AV541" s="219"/>
      <c r="AW541" s="219"/>
    </row>
    <row r="542" spans="1:49">
      <c r="A542" s="219"/>
      <c r="B542" s="219"/>
      <c r="C542" s="219"/>
      <c r="D542" s="219"/>
      <c r="E542" s="219"/>
      <c r="F542" s="219"/>
      <c r="G542" s="219"/>
      <c r="H542" s="219"/>
      <c r="I542" s="219"/>
      <c r="J542" s="219"/>
      <c r="K542" s="219"/>
      <c r="L542" s="219"/>
      <c r="M542" s="219"/>
      <c r="N542" s="219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19"/>
      <c r="Z542" s="219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19"/>
      <c r="AL542" s="219"/>
      <c r="AM542" s="219"/>
      <c r="AN542" s="219"/>
      <c r="AO542" s="219"/>
      <c r="AP542" s="219"/>
      <c r="AQ542" s="219"/>
      <c r="AR542" s="219"/>
      <c r="AS542" s="219"/>
      <c r="AT542" s="219"/>
      <c r="AU542" s="219"/>
      <c r="AV542" s="219"/>
      <c r="AW542" s="219"/>
    </row>
    <row r="543" spans="1:49">
      <c r="A543" s="219"/>
      <c r="B543" s="219"/>
      <c r="C543" s="219"/>
      <c r="D543" s="219"/>
      <c r="E543" s="219"/>
      <c r="F543" s="219"/>
      <c r="G543" s="219"/>
      <c r="H543" s="219"/>
      <c r="I543" s="219"/>
      <c r="J543" s="219"/>
      <c r="K543" s="219"/>
      <c r="L543" s="219"/>
      <c r="M543" s="219"/>
      <c r="N543" s="219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19"/>
      <c r="Z543" s="219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19"/>
      <c r="AL543" s="219"/>
      <c r="AM543" s="219"/>
      <c r="AN543" s="219"/>
      <c r="AO543" s="219"/>
      <c r="AP543" s="219"/>
      <c r="AQ543" s="219"/>
      <c r="AR543" s="219"/>
      <c r="AS543" s="219"/>
      <c r="AT543" s="219"/>
      <c r="AU543" s="219"/>
      <c r="AV543" s="219"/>
      <c r="AW543" s="219"/>
    </row>
    <row r="544" spans="1:49">
      <c r="A544" s="219"/>
      <c r="B544" s="219"/>
      <c r="C544" s="219"/>
      <c r="D544" s="219"/>
      <c r="E544" s="219"/>
      <c r="F544" s="219"/>
      <c r="G544" s="219"/>
      <c r="H544" s="219"/>
      <c r="I544" s="219"/>
      <c r="J544" s="219"/>
      <c r="K544" s="219"/>
      <c r="L544" s="219"/>
      <c r="M544" s="219"/>
      <c r="N544" s="219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19"/>
      <c r="Z544" s="219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19"/>
      <c r="AL544" s="219"/>
      <c r="AM544" s="219"/>
      <c r="AN544" s="219"/>
      <c r="AO544" s="219"/>
      <c r="AP544" s="219"/>
      <c r="AQ544" s="219"/>
      <c r="AR544" s="219"/>
      <c r="AS544" s="219"/>
      <c r="AT544" s="219"/>
      <c r="AU544" s="219"/>
      <c r="AV544" s="219"/>
      <c r="AW544" s="219"/>
    </row>
    <row r="545" spans="1:49">
      <c r="A545" s="219"/>
      <c r="B545" s="219"/>
      <c r="C545" s="219"/>
      <c r="D545" s="219"/>
      <c r="E545" s="219"/>
      <c r="F545" s="219"/>
      <c r="G545" s="219"/>
      <c r="H545" s="219"/>
      <c r="I545" s="219"/>
      <c r="J545" s="219"/>
      <c r="K545" s="219"/>
      <c r="L545" s="219"/>
      <c r="M545" s="219"/>
      <c r="N545" s="219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19"/>
      <c r="Z545" s="219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19"/>
      <c r="AL545" s="219"/>
      <c r="AM545" s="219"/>
      <c r="AN545" s="219"/>
      <c r="AO545" s="219"/>
      <c r="AP545" s="219"/>
      <c r="AQ545" s="219"/>
      <c r="AR545" s="219"/>
      <c r="AS545" s="219"/>
      <c r="AT545" s="219"/>
      <c r="AU545" s="219"/>
      <c r="AV545" s="219"/>
      <c r="AW545" s="219"/>
    </row>
    <row r="546" spans="1:49">
      <c r="A546" s="219"/>
      <c r="B546" s="219"/>
      <c r="C546" s="219"/>
      <c r="D546" s="219"/>
      <c r="E546" s="219"/>
      <c r="F546" s="219"/>
      <c r="G546" s="219"/>
      <c r="H546" s="219"/>
      <c r="I546" s="219"/>
      <c r="J546" s="219"/>
      <c r="K546" s="219"/>
      <c r="L546" s="219"/>
      <c r="M546" s="219"/>
      <c r="N546" s="219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19"/>
      <c r="Z546" s="219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19"/>
      <c r="AL546" s="219"/>
      <c r="AM546" s="219"/>
      <c r="AN546" s="219"/>
      <c r="AO546" s="219"/>
      <c r="AP546" s="219"/>
      <c r="AQ546" s="219"/>
      <c r="AR546" s="219"/>
      <c r="AS546" s="219"/>
      <c r="AT546" s="219"/>
      <c r="AU546" s="219"/>
      <c r="AV546" s="219"/>
      <c r="AW546" s="219"/>
    </row>
    <row r="547" spans="1:49">
      <c r="A547" s="219"/>
      <c r="B547" s="219"/>
      <c r="C547" s="219"/>
      <c r="D547" s="219"/>
      <c r="E547" s="219"/>
      <c r="F547" s="219"/>
      <c r="G547" s="219"/>
      <c r="H547" s="219"/>
      <c r="I547" s="219"/>
      <c r="J547" s="219"/>
      <c r="K547" s="219"/>
      <c r="L547" s="219"/>
      <c r="M547" s="219"/>
      <c r="N547" s="219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19"/>
      <c r="Z547" s="219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19"/>
      <c r="AL547" s="219"/>
      <c r="AM547" s="219"/>
      <c r="AN547" s="219"/>
      <c r="AO547" s="219"/>
      <c r="AP547" s="219"/>
      <c r="AQ547" s="219"/>
      <c r="AR547" s="219"/>
      <c r="AS547" s="219"/>
      <c r="AT547" s="219"/>
      <c r="AU547" s="219"/>
      <c r="AV547" s="219"/>
      <c r="AW547" s="219"/>
    </row>
    <row r="548" spans="1:49">
      <c r="A548" s="219"/>
      <c r="B548" s="219"/>
      <c r="C548" s="219"/>
      <c r="D548" s="219"/>
      <c r="E548" s="219"/>
      <c r="F548" s="219"/>
      <c r="G548" s="219"/>
      <c r="H548" s="219"/>
      <c r="I548" s="219"/>
      <c r="J548" s="219"/>
      <c r="K548" s="219"/>
      <c r="L548" s="219"/>
      <c r="M548" s="219"/>
      <c r="N548" s="219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19"/>
      <c r="Z548" s="219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19"/>
      <c r="AL548" s="219"/>
      <c r="AM548" s="219"/>
      <c r="AN548" s="219"/>
      <c r="AO548" s="219"/>
      <c r="AP548" s="219"/>
      <c r="AQ548" s="219"/>
      <c r="AR548" s="219"/>
      <c r="AS548" s="219"/>
      <c r="AT548" s="219"/>
      <c r="AU548" s="219"/>
      <c r="AV548" s="219"/>
      <c r="AW548" s="219"/>
    </row>
    <row r="549" spans="1:49">
      <c r="A549" s="219"/>
      <c r="B549" s="219"/>
      <c r="C549" s="219"/>
      <c r="D549" s="219"/>
      <c r="E549" s="219"/>
      <c r="F549" s="219"/>
      <c r="G549" s="219"/>
      <c r="H549" s="219"/>
      <c r="I549" s="219"/>
      <c r="J549" s="219"/>
      <c r="K549" s="219"/>
      <c r="L549" s="219"/>
      <c r="M549" s="219"/>
      <c r="N549" s="219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19"/>
      <c r="Z549" s="219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19"/>
      <c r="AL549" s="219"/>
      <c r="AM549" s="219"/>
      <c r="AN549" s="219"/>
      <c r="AO549" s="219"/>
      <c r="AP549" s="219"/>
      <c r="AQ549" s="219"/>
      <c r="AR549" s="219"/>
      <c r="AS549" s="219"/>
      <c r="AT549" s="219"/>
      <c r="AU549" s="219"/>
      <c r="AV549" s="219"/>
      <c r="AW549" s="219"/>
    </row>
    <row r="550" spans="1:49">
      <c r="A550" s="219"/>
      <c r="B550" s="219"/>
      <c r="C550" s="219"/>
      <c r="D550" s="219"/>
      <c r="E550" s="219"/>
      <c r="F550" s="219"/>
      <c r="G550" s="219"/>
      <c r="H550" s="219"/>
      <c r="I550" s="219"/>
      <c r="J550" s="219"/>
      <c r="K550" s="219"/>
      <c r="L550" s="219"/>
      <c r="M550" s="219"/>
      <c r="N550" s="219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19"/>
      <c r="Z550" s="219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19"/>
      <c r="AL550" s="219"/>
      <c r="AM550" s="219"/>
      <c r="AN550" s="219"/>
      <c r="AO550" s="219"/>
      <c r="AP550" s="219"/>
      <c r="AQ550" s="219"/>
      <c r="AR550" s="219"/>
      <c r="AS550" s="219"/>
      <c r="AT550" s="219"/>
      <c r="AU550" s="219"/>
      <c r="AV550" s="219"/>
      <c r="AW550" s="219"/>
    </row>
    <row r="551" spans="1:49">
      <c r="A551" s="219"/>
      <c r="B551" s="219"/>
      <c r="C551" s="219"/>
      <c r="D551" s="219"/>
      <c r="E551" s="219"/>
      <c r="F551" s="219"/>
      <c r="G551" s="219"/>
      <c r="H551" s="219"/>
      <c r="I551" s="219"/>
      <c r="J551" s="219"/>
      <c r="K551" s="219"/>
      <c r="L551" s="219"/>
      <c r="M551" s="219"/>
      <c r="N551" s="219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19"/>
      <c r="Z551" s="219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19"/>
      <c r="AL551" s="219"/>
      <c r="AM551" s="219"/>
      <c r="AN551" s="219"/>
      <c r="AO551" s="219"/>
      <c r="AP551" s="219"/>
      <c r="AQ551" s="219"/>
      <c r="AR551" s="219"/>
      <c r="AS551" s="219"/>
      <c r="AT551" s="219"/>
      <c r="AU551" s="219"/>
      <c r="AV551" s="219"/>
      <c r="AW551" s="219"/>
    </row>
    <row r="552" spans="1:49">
      <c r="A552" s="219"/>
      <c r="B552" s="219"/>
      <c r="C552" s="219"/>
      <c r="D552" s="219"/>
      <c r="E552" s="219"/>
      <c r="F552" s="219"/>
      <c r="G552" s="219"/>
      <c r="H552" s="219"/>
      <c r="I552" s="219"/>
      <c r="J552" s="219"/>
      <c r="K552" s="219"/>
      <c r="L552" s="219"/>
      <c r="M552" s="219"/>
      <c r="N552" s="219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19"/>
      <c r="Z552" s="219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19"/>
      <c r="AL552" s="219"/>
      <c r="AM552" s="219"/>
      <c r="AN552" s="219"/>
      <c r="AO552" s="219"/>
      <c r="AP552" s="219"/>
      <c r="AQ552" s="219"/>
      <c r="AR552" s="219"/>
      <c r="AS552" s="219"/>
      <c r="AT552" s="219"/>
      <c r="AU552" s="219"/>
      <c r="AV552" s="219"/>
      <c r="AW552" s="219"/>
    </row>
    <row r="553" spans="1:49">
      <c r="A553" s="219"/>
      <c r="B553" s="219"/>
      <c r="C553" s="219"/>
      <c r="D553" s="219"/>
      <c r="E553" s="219"/>
      <c r="F553" s="219"/>
      <c r="G553" s="219"/>
      <c r="H553" s="219"/>
      <c r="I553" s="219"/>
      <c r="J553" s="219"/>
      <c r="K553" s="219"/>
      <c r="L553" s="219"/>
      <c r="M553" s="219"/>
      <c r="N553" s="219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19"/>
      <c r="Z553" s="219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19"/>
      <c r="AL553" s="219"/>
      <c r="AM553" s="219"/>
      <c r="AN553" s="219"/>
      <c r="AO553" s="219"/>
      <c r="AP553" s="219"/>
      <c r="AQ553" s="219"/>
      <c r="AR553" s="219"/>
      <c r="AS553" s="219"/>
      <c r="AT553" s="219"/>
      <c r="AU553" s="219"/>
      <c r="AV553" s="219"/>
      <c r="AW553" s="219"/>
    </row>
    <row r="554" spans="1:49">
      <c r="A554" s="219"/>
      <c r="B554" s="219"/>
      <c r="C554" s="219"/>
      <c r="D554" s="219"/>
      <c r="E554" s="219"/>
      <c r="F554" s="219"/>
      <c r="G554" s="219"/>
      <c r="H554" s="219"/>
      <c r="I554" s="219"/>
      <c r="J554" s="219"/>
      <c r="K554" s="219"/>
      <c r="L554" s="219"/>
      <c r="M554" s="219"/>
      <c r="N554" s="219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19"/>
      <c r="Z554" s="219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19"/>
      <c r="AL554" s="219"/>
      <c r="AM554" s="219"/>
      <c r="AN554" s="219"/>
      <c r="AO554" s="219"/>
      <c r="AP554" s="219"/>
      <c r="AQ554" s="219"/>
      <c r="AR554" s="219"/>
      <c r="AS554" s="219"/>
      <c r="AT554" s="219"/>
      <c r="AU554" s="219"/>
      <c r="AV554" s="219"/>
      <c r="AW554" s="219"/>
    </row>
    <row r="555" spans="1:49">
      <c r="A555" s="219"/>
      <c r="B555" s="219"/>
      <c r="C555" s="219"/>
      <c r="D555" s="219"/>
      <c r="E555" s="219"/>
      <c r="F555" s="219"/>
      <c r="G555" s="219"/>
      <c r="H555" s="219"/>
      <c r="I555" s="219"/>
      <c r="J555" s="219"/>
      <c r="K555" s="219"/>
      <c r="L555" s="219"/>
      <c r="M555" s="219"/>
      <c r="N555" s="219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19"/>
      <c r="Z555" s="219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19"/>
      <c r="AL555" s="219"/>
      <c r="AM555" s="219"/>
      <c r="AN555" s="219"/>
      <c r="AO555" s="219"/>
      <c r="AP555" s="219"/>
      <c r="AQ555" s="219"/>
      <c r="AR555" s="219"/>
      <c r="AS555" s="219"/>
      <c r="AT555" s="219"/>
      <c r="AU555" s="219"/>
      <c r="AV555" s="219"/>
      <c r="AW555" s="219"/>
    </row>
    <row r="556" spans="1:49">
      <c r="A556" s="219"/>
      <c r="B556" s="219"/>
      <c r="C556" s="219"/>
      <c r="D556" s="219"/>
      <c r="E556" s="219"/>
      <c r="F556" s="219"/>
      <c r="G556" s="219"/>
      <c r="H556" s="219"/>
      <c r="I556" s="219"/>
      <c r="J556" s="219"/>
      <c r="K556" s="219"/>
      <c r="L556" s="219"/>
      <c r="M556" s="219"/>
      <c r="N556" s="219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19"/>
      <c r="Z556" s="219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19"/>
      <c r="AL556" s="219"/>
      <c r="AM556" s="219"/>
      <c r="AN556" s="219"/>
      <c r="AO556" s="219"/>
      <c r="AP556" s="219"/>
      <c r="AQ556" s="219"/>
      <c r="AR556" s="219"/>
      <c r="AS556" s="219"/>
      <c r="AT556" s="219"/>
      <c r="AU556" s="219"/>
      <c r="AV556" s="219"/>
      <c r="AW556" s="219"/>
    </row>
    <row r="557" spans="1:49">
      <c r="A557" s="219"/>
      <c r="B557" s="219"/>
      <c r="C557" s="219"/>
      <c r="D557" s="219"/>
      <c r="E557" s="219"/>
      <c r="F557" s="219"/>
      <c r="G557" s="219"/>
      <c r="H557" s="219"/>
      <c r="I557" s="219"/>
      <c r="J557" s="219"/>
      <c r="K557" s="219"/>
      <c r="L557" s="219"/>
      <c r="M557" s="219"/>
      <c r="N557" s="219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19"/>
      <c r="Z557" s="219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19"/>
      <c r="AL557" s="219"/>
      <c r="AM557" s="219"/>
      <c r="AN557" s="219"/>
      <c r="AO557" s="219"/>
      <c r="AP557" s="219"/>
      <c r="AQ557" s="219"/>
      <c r="AR557" s="219"/>
      <c r="AS557" s="219"/>
      <c r="AT557" s="219"/>
      <c r="AU557" s="219"/>
      <c r="AV557" s="219"/>
      <c r="AW557" s="219"/>
    </row>
    <row r="558" spans="1:49">
      <c r="A558" s="219"/>
      <c r="B558" s="219"/>
      <c r="C558" s="219"/>
      <c r="D558" s="219"/>
      <c r="E558" s="219"/>
      <c r="F558" s="219"/>
      <c r="G558" s="219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19"/>
      <c r="Z558" s="219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19"/>
      <c r="AL558" s="219"/>
      <c r="AM558" s="219"/>
      <c r="AN558" s="219"/>
      <c r="AO558" s="219"/>
      <c r="AP558" s="219"/>
      <c r="AQ558" s="219"/>
      <c r="AR558" s="219"/>
      <c r="AS558" s="219"/>
      <c r="AT558" s="219"/>
      <c r="AU558" s="219"/>
      <c r="AV558" s="219"/>
      <c r="AW558" s="219"/>
    </row>
    <row r="559" spans="1:49">
      <c r="A559" s="219"/>
      <c r="B559" s="219"/>
      <c r="C559" s="219"/>
      <c r="D559" s="219"/>
      <c r="E559" s="219"/>
      <c r="F559" s="219"/>
      <c r="G559" s="219"/>
      <c r="H559" s="219"/>
      <c r="I559" s="219"/>
      <c r="J559" s="219"/>
      <c r="K559" s="219"/>
      <c r="L559" s="219"/>
      <c r="M559" s="219"/>
      <c r="N559" s="219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19"/>
      <c r="Z559" s="219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19"/>
      <c r="AL559" s="219"/>
      <c r="AM559" s="219"/>
      <c r="AN559" s="219"/>
      <c r="AO559" s="219"/>
      <c r="AP559" s="219"/>
      <c r="AQ559" s="219"/>
      <c r="AR559" s="219"/>
      <c r="AS559" s="219"/>
      <c r="AT559" s="219"/>
      <c r="AU559" s="219"/>
      <c r="AV559" s="219"/>
      <c r="AW559" s="219"/>
    </row>
    <row r="560" spans="1:49">
      <c r="A560" s="219"/>
      <c r="B560" s="219"/>
      <c r="C560" s="219"/>
      <c r="D560" s="219"/>
      <c r="E560" s="219"/>
      <c r="F560" s="219"/>
      <c r="G560" s="219"/>
      <c r="H560" s="219"/>
      <c r="I560" s="219"/>
      <c r="J560" s="219"/>
      <c r="K560" s="219"/>
      <c r="L560" s="219"/>
      <c r="M560" s="219"/>
      <c r="N560" s="219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19"/>
      <c r="Z560" s="219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19"/>
      <c r="AL560" s="219"/>
      <c r="AM560" s="219"/>
      <c r="AN560" s="219"/>
      <c r="AO560" s="219"/>
      <c r="AP560" s="219"/>
      <c r="AQ560" s="219"/>
      <c r="AR560" s="219"/>
      <c r="AS560" s="219"/>
      <c r="AT560" s="219"/>
      <c r="AU560" s="219"/>
      <c r="AV560" s="219"/>
      <c r="AW560" s="219"/>
    </row>
    <row r="561" spans="1:49">
      <c r="A561" s="219"/>
      <c r="B561" s="219"/>
      <c r="C561" s="219"/>
      <c r="D561" s="219"/>
      <c r="E561" s="219"/>
      <c r="F561" s="219"/>
      <c r="G561" s="219"/>
      <c r="H561" s="219"/>
      <c r="I561" s="219"/>
      <c r="J561" s="219"/>
      <c r="K561" s="219"/>
      <c r="L561" s="219"/>
      <c r="M561" s="219"/>
      <c r="N561" s="219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19"/>
      <c r="Z561" s="219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19"/>
      <c r="AL561" s="219"/>
      <c r="AM561" s="219"/>
      <c r="AN561" s="219"/>
      <c r="AO561" s="219"/>
      <c r="AP561" s="219"/>
      <c r="AQ561" s="219"/>
      <c r="AR561" s="219"/>
      <c r="AS561" s="219"/>
      <c r="AT561" s="219"/>
      <c r="AU561" s="219"/>
      <c r="AV561" s="219"/>
      <c r="AW561" s="219"/>
    </row>
    <row r="562" spans="1:49">
      <c r="A562" s="219"/>
      <c r="B562" s="219"/>
      <c r="C562" s="219"/>
      <c r="D562" s="219"/>
      <c r="E562" s="219"/>
      <c r="F562" s="219"/>
      <c r="G562" s="219"/>
      <c r="H562" s="219"/>
      <c r="I562" s="219"/>
      <c r="J562" s="219"/>
      <c r="K562" s="219"/>
      <c r="L562" s="219"/>
      <c r="M562" s="219"/>
      <c r="N562" s="219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19"/>
      <c r="Z562" s="219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19"/>
      <c r="AL562" s="219"/>
      <c r="AM562" s="219"/>
      <c r="AN562" s="219"/>
      <c r="AO562" s="219"/>
      <c r="AP562" s="219"/>
      <c r="AQ562" s="219"/>
      <c r="AR562" s="219"/>
      <c r="AS562" s="219"/>
      <c r="AT562" s="219"/>
      <c r="AU562" s="219"/>
      <c r="AV562" s="219"/>
      <c r="AW562" s="219"/>
    </row>
    <row r="563" spans="1:49">
      <c r="A563" s="219"/>
      <c r="B563" s="219"/>
      <c r="C563" s="219"/>
      <c r="D563" s="219"/>
      <c r="E563" s="219"/>
      <c r="F563" s="219"/>
      <c r="G563" s="219"/>
      <c r="H563" s="219"/>
      <c r="I563" s="219"/>
      <c r="J563" s="219"/>
      <c r="K563" s="219"/>
      <c r="L563" s="219"/>
      <c r="M563" s="219"/>
      <c r="N563" s="219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19"/>
      <c r="Z563" s="219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19"/>
      <c r="AL563" s="219"/>
      <c r="AM563" s="219"/>
      <c r="AN563" s="219"/>
      <c r="AO563" s="219"/>
      <c r="AP563" s="219"/>
      <c r="AQ563" s="219"/>
      <c r="AR563" s="219"/>
      <c r="AS563" s="219"/>
      <c r="AT563" s="219"/>
      <c r="AU563" s="219"/>
      <c r="AV563" s="219"/>
      <c r="AW563" s="219"/>
    </row>
    <row r="564" spans="1:49">
      <c r="A564" s="219"/>
      <c r="B564" s="219"/>
      <c r="C564" s="219"/>
      <c r="D564" s="219"/>
      <c r="E564" s="219"/>
      <c r="F564" s="219"/>
      <c r="G564" s="219"/>
      <c r="H564" s="219"/>
      <c r="I564" s="219"/>
      <c r="J564" s="219"/>
      <c r="K564" s="219"/>
      <c r="L564" s="219"/>
      <c r="M564" s="219"/>
      <c r="N564" s="219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19"/>
      <c r="Z564" s="219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19"/>
      <c r="AL564" s="219"/>
      <c r="AM564" s="219"/>
      <c r="AN564" s="219"/>
      <c r="AO564" s="219"/>
      <c r="AP564" s="219"/>
      <c r="AQ564" s="219"/>
      <c r="AR564" s="219"/>
      <c r="AS564" s="219"/>
      <c r="AT564" s="219"/>
      <c r="AU564" s="219"/>
      <c r="AV564" s="219"/>
      <c r="AW564" s="219"/>
    </row>
    <row r="565" spans="1:49">
      <c r="A565" s="219"/>
      <c r="B565" s="219"/>
      <c r="C565" s="219"/>
      <c r="D565" s="219"/>
      <c r="E565" s="219"/>
      <c r="F565" s="219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19"/>
      <c r="AL565" s="219"/>
      <c r="AM565" s="219"/>
      <c r="AN565" s="219"/>
      <c r="AO565" s="219"/>
      <c r="AP565" s="219"/>
      <c r="AQ565" s="219"/>
      <c r="AR565" s="219"/>
      <c r="AS565" s="219"/>
      <c r="AT565" s="219"/>
      <c r="AU565" s="219"/>
      <c r="AV565" s="219"/>
      <c r="AW565" s="219"/>
    </row>
    <row r="566" spans="1:49">
      <c r="A566" s="219"/>
      <c r="B566" s="219"/>
      <c r="C566" s="219"/>
      <c r="D566" s="219"/>
      <c r="E566" s="219"/>
      <c r="F566" s="219"/>
      <c r="G566" s="219"/>
      <c r="H566" s="219"/>
      <c r="I566" s="219"/>
      <c r="J566" s="219"/>
      <c r="K566" s="219"/>
      <c r="L566" s="219"/>
      <c r="M566" s="219"/>
      <c r="N566" s="219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19"/>
      <c r="Z566" s="219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19"/>
      <c r="AL566" s="219"/>
      <c r="AM566" s="219"/>
      <c r="AN566" s="219"/>
      <c r="AO566" s="219"/>
      <c r="AP566" s="219"/>
      <c r="AQ566" s="219"/>
      <c r="AR566" s="219"/>
      <c r="AS566" s="219"/>
      <c r="AT566" s="219"/>
      <c r="AU566" s="219"/>
      <c r="AV566" s="219"/>
      <c r="AW566" s="219"/>
    </row>
    <row r="567" spans="1:49">
      <c r="A567" s="219"/>
      <c r="B567" s="219"/>
      <c r="C567" s="219"/>
      <c r="D567" s="219"/>
      <c r="E567" s="219"/>
      <c r="F567" s="219"/>
      <c r="G567" s="219"/>
      <c r="H567" s="219"/>
      <c r="I567" s="219"/>
      <c r="J567" s="219"/>
      <c r="K567" s="219"/>
      <c r="L567" s="219"/>
      <c r="M567" s="219"/>
      <c r="N567" s="219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19"/>
      <c r="Z567" s="219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19"/>
      <c r="AL567" s="219"/>
      <c r="AM567" s="219"/>
      <c r="AN567" s="219"/>
      <c r="AO567" s="219"/>
      <c r="AP567" s="219"/>
      <c r="AQ567" s="219"/>
      <c r="AR567" s="219"/>
      <c r="AS567" s="219"/>
      <c r="AT567" s="219"/>
      <c r="AU567" s="219"/>
      <c r="AV567" s="219"/>
      <c r="AW567" s="219"/>
    </row>
    <row r="568" spans="1:49">
      <c r="A568" s="219"/>
      <c r="B568" s="219"/>
      <c r="C568" s="219"/>
      <c r="D568" s="219"/>
      <c r="E568" s="219"/>
      <c r="F568" s="219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19"/>
      <c r="AL568" s="219"/>
      <c r="AM568" s="219"/>
      <c r="AN568" s="219"/>
      <c r="AO568" s="219"/>
      <c r="AP568" s="219"/>
      <c r="AQ568" s="219"/>
      <c r="AR568" s="219"/>
      <c r="AS568" s="219"/>
      <c r="AT568" s="219"/>
      <c r="AU568" s="219"/>
      <c r="AV568" s="219"/>
      <c r="AW568" s="219"/>
    </row>
    <row r="569" spans="1:49">
      <c r="A569" s="219"/>
      <c r="B569" s="219"/>
      <c r="C569" s="219"/>
      <c r="D569" s="219"/>
      <c r="E569" s="219"/>
      <c r="F569" s="219"/>
      <c r="G569" s="219"/>
      <c r="H569" s="219"/>
      <c r="I569" s="219"/>
      <c r="J569" s="219"/>
      <c r="K569" s="219"/>
      <c r="L569" s="219"/>
      <c r="M569" s="219"/>
      <c r="N569" s="219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19"/>
      <c r="Z569" s="219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19"/>
      <c r="AL569" s="219"/>
      <c r="AM569" s="219"/>
      <c r="AN569" s="219"/>
      <c r="AO569" s="219"/>
      <c r="AP569" s="219"/>
      <c r="AQ569" s="219"/>
      <c r="AR569" s="219"/>
      <c r="AS569" s="219"/>
      <c r="AT569" s="219"/>
      <c r="AU569" s="219"/>
      <c r="AV569" s="219"/>
      <c r="AW569" s="219"/>
    </row>
    <row r="570" spans="1:49">
      <c r="A570" s="219"/>
      <c r="B570" s="219"/>
      <c r="C570" s="219"/>
      <c r="D570" s="219"/>
      <c r="E570" s="219"/>
      <c r="F570" s="219"/>
      <c r="G570" s="219"/>
      <c r="H570" s="219"/>
      <c r="I570" s="219"/>
      <c r="J570" s="219"/>
      <c r="K570" s="219"/>
      <c r="L570" s="219"/>
      <c r="M570" s="219"/>
      <c r="N570" s="219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19"/>
      <c r="Z570" s="219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19"/>
      <c r="AL570" s="219"/>
      <c r="AM570" s="219"/>
      <c r="AN570" s="219"/>
      <c r="AO570" s="219"/>
      <c r="AP570" s="219"/>
      <c r="AQ570" s="219"/>
      <c r="AR570" s="219"/>
      <c r="AS570" s="219"/>
      <c r="AT570" s="219"/>
      <c r="AU570" s="219"/>
      <c r="AV570" s="219"/>
      <c r="AW570" s="219"/>
    </row>
    <row r="571" spans="1:49">
      <c r="A571" s="219"/>
      <c r="B571" s="219"/>
      <c r="C571" s="219"/>
      <c r="D571" s="219"/>
      <c r="E571" s="219"/>
      <c r="F571" s="219"/>
      <c r="G571" s="219"/>
      <c r="H571" s="219"/>
      <c r="I571" s="219"/>
      <c r="J571" s="219"/>
      <c r="K571" s="219"/>
      <c r="L571" s="219"/>
      <c r="M571" s="219"/>
      <c r="N571" s="219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19"/>
      <c r="Z571" s="219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19"/>
      <c r="AL571" s="219"/>
      <c r="AM571" s="219"/>
      <c r="AN571" s="219"/>
      <c r="AO571" s="219"/>
      <c r="AP571" s="219"/>
      <c r="AQ571" s="219"/>
      <c r="AR571" s="219"/>
      <c r="AS571" s="219"/>
      <c r="AT571" s="219"/>
      <c r="AU571" s="219"/>
      <c r="AV571" s="219"/>
      <c r="AW571" s="219"/>
    </row>
    <row r="572" spans="1:49">
      <c r="A572" s="219"/>
      <c r="B572" s="219"/>
      <c r="C572" s="219"/>
      <c r="D572" s="219"/>
      <c r="E572" s="219"/>
      <c r="F572" s="219"/>
      <c r="G572" s="219"/>
      <c r="H572" s="219"/>
      <c r="I572" s="219"/>
      <c r="J572" s="219"/>
      <c r="K572" s="219"/>
      <c r="L572" s="219"/>
      <c r="M572" s="219"/>
      <c r="N572" s="219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19"/>
      <c r="Z572" s="219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19"/>
      <c r="AL572" s="219"/>
      <c r="AM572" s="219"/>
      <c r="AN572" s="219"/>
      <c r="AO572" s="219"/>
      <c r="AP572" s="219"/>
      <c r="AQ572" s="219"/>
      <c r="AR572" s="219"/>
      <c r="AS572" s="219"/>
      <c r="AT572" s="219"/>
      <c r="AU572" s="219"/>
      <c r="AV572" s="219"/>
      <c r="AW572" s="219"/>
    </row>
    <row r="573" spans="1:49">
      <c r="A573" s="219"/>
      <c r="B573" s="219"/>
      <c r="C573" s="219"/>
      <c r="D573" s="219"/>
      <c r="E573" s="219"/>
      <c r="F573" s="219"/>
      <c r="G573" s="219"/>
      <c r="H573" s="219"/>
      <c r="I573" s="219"/>
      <c r="J573" s="219"/>
      <c r="K573" s="219"/>
      <c r="L573" s="219"/>
      <c r="M573" s="219"/>
      <c r="N573" s="219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19"/>
      <c r="Z573" s="219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19"/>
      <c r="AL573" s="219"/>
      <c r="AM573" s="219"/>
      <c r="AN573" s="219"/>
      <c r="AO573" s="219"/>
      <c r="AP573" s="219"/>
      <c r="AQ573" s="219"/>
      <c r="AR573" s="219"/>
      <c r="AS573" s="219"/>
      <c r="AT573" s="219"/>
      <c r="AU573" s="219"/>
      <c r="AV573" s="219"/>
      <c r="AW573" s="219"/>
    </row>
    <row r="574" spans="1:49">
      <c r="A574" s="219"/>
      <c r="B574" s="219"/>
      <c r="C574" s="219"/>
      <c r="D574" s="219"/>
      <c r="E574" s="219"/>
      <c r="F574" s="219"/>
      <c r="G574" s="219"/>
      <c r="H574" s="219"/>
      <c r="I574" s="219"/>
      <c r="J574" s="219"/>
      <c r="K574" s="219"/>
      <c r="L574" s="219"/>
      <c r="M574" s="219"/>
      <c r="N574" s="219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19"/>
      <c r="Z574" s="219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19"/>
      <c r="AL574" s="219"/>
      <c r="AM574" s="219"/>
      <c r="AN574" s="219"/>
      <c r="AO574" s="219"/>
      <c r="AP574" s="219"/>
      <c r="AQ574" s="219"/>
      <c r="AR574" s="219"/>
      <c r="AS574" s="219"/>
      <c r="AT574" s="219"/>
      <c r="AU574" s="219"/>
      <c r="AV574" s="219"/>
      <c r="AW574" s="219"/>
    </row>
    <row r="575" spans="1:49">
      <c r="A575" s="219"/>
      <c r="B575" s="219"/>
      <c r="C575" s="219"/>
      <c r="D575" s="219"/>
      <c r="E575" s="219"/>
      <c r="F575" s="219"/>
      <c r="G575" s="219"/>
      <c r="H575" s="219"/>
      <c r="I575" s="219"/>
      <c r="J575" s="219"/>
      <c r="K575" s="219"/>
      <c r="L575" s="219"/>
      <c r="M575" s="219"/>
      <c r="N575" s="219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19"/>
      <c r="Z575" s="219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19"/>
      <c r="AL575" s="219"/>
      <c r="AM575" s="219"/>
      <c r="AN575" s="219"/>
      <c r="AO575" s="219"/>
      <c r="AP575" s="219"/>
      <c r="AQ575" s="219"/>
      <c r="AR575" s="219"/>
      <c r="AS575" s="219"/>
      <c r="AT575" s="219"/>
      <c r="AU575" s="219"/>
      <c r="AV575" s="219"/>
      <c r="AW575" s="219"/>
    </row>
    <row r="576" spans="1:49">
      <c r="A576" s="219"/>
      <c r="B576" s="219"/>
      <c r="C576" s="219"/>
      <c r="D576" s="219"/>
      <c r="E576" s="219"/>
      <c r="F576" s="219"/>
      <c r="G576" s="219"/>
      <c r="H576" s="219"/>
      <c r="I576" s="219"/>
      <c r="J576" s="219"/>
      <c r="K576" s="219"/>
      <c r="L576" s="219"/>
      <c r="M576" s="219"/>
      <c r="N576" s="219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19"/>
      <c r="Z576" s="219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19"/>
      <c r="AL576" s="219"/>
      <c r="AM576" s="219"/>
      <c r="AN576" s="219"/>
      <c r="AO576" s="219"/>
      <c r="AP576" s="219"/>
      <c r="AQ576" s="219"/>
      <c r="AR576" s="219"/>
      <c r="AS576" s="219"/>
      <c r="AT576" s="219"/>
      <c r="AU576" s="219"/>
      <c r="AV576" s="219"/>
      <c r="AW576" s="219"/>
    </row>
    <row r="577" spans="1:49">
      <c r="A577" s="219"/>
      <c r="B577" s="219"/>
      <c r="C577" s="219"/>
      <c r="D577" s="219"/>
      <c r="E577" s="219"/>
      <c r="F577" s="219"/>
      <c r="G577" s="219"/>
      <c r="H577" s="219"/>
      <c r="I577" s="219"/>
      <c r="J577" s="219"/>
      <c r="K577" s="219"/>
      <c r="L577" s="219"/>
      <c r="M577" s="219"/>
      <c r="N577" s="219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19"/>
      <c r="Z577" s="219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19"/>
      <c r="AL577" s="219"/>
      <c r="AM577" s="219"/>
      <c r="AN577" s="219"/>
      <c r="AO577" s="219"/>
      <c r="AP577" s="219"/>
      <c r="AQ577" s="219"/>
      <c r="AR577" s="219"/>
      <c r="AS577" s="219"/>
      <c r="AT577" s="219"/>
      <c r="AU577" s="219"/>
      <c r="AV577" s="219"/>
      <c r="AW577" s="219"/>
    </row>
    <row r="578" spans="1:49">
      <c r="A578" s="219"/>
      <c r="B578" s="219"/>
      <c r="C578" s="219"/>
      <c r="D578" s="219"/>
      <c r="E578" s="219"/>
      <c r="F578" s="219"/>
      <c r="G578" s="219"/>
      <c r="H578" s="219"/>
      <c r="I578" s="219"/>
      <c r="J578" s="219"/>
      <c r="K578" s="219"/>
      <c r="L578" s="219"/>
      <c r="M578" s="219"/>
      <c r="N578" s="219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19"/>
      <c r="Z578" s="219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19"/>
      <c r="AL578" s="219"/>
      <c r="AM578" s="219"/>
      <c r="AN578" s="219"/>
      <c r="AO578" s="219"/>
      <c r="AP578" s="219"/>
      <c r="AQ578" s="219"/>
      <c r="AR578" s="219"/>
      <c r="AS578" s="219"/>
      <c r="AT578" s="219"/>
      <c r="AU578" s="219"/>
      <c r="AV578" s="219"/>
      <c r="AW578" s="219"/>
    </row>
    <row r="579" spans="1:49">
      <c r="A579" s="219"/>
      <c r="B579" s="219"/>
      <c r="C579" s="219"/>
      <c r="D579" s="219"/>
      <c r="E579" s="219"/>
      <c r="F579" s="219"/>
      <c r="G579" s="219"/>
      <c r="H579" s="219"/>
      <c r="I579" s="219"/>
      <c r="J579" s="219"/>
      <c r="K579" s="219"/>
      <c r="L579" s="219"/>
      <c r="M579" s="219"/>
      <c r="N579" s="219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19"/>
      <c r="Z579" s="219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19"/>
      <c r="AL579" s="219"/>
      <c r="AM579" s="219"/>
      <c r="AN579" s="219"/>
      <c r="AO579" s="219"/>
      <c r="AP579" s="219"/>
      <c r="AQ579" s="219"/>
      <c r="AR579" s="219"/>
      <c r="AS579" s="219"/>
      <c r="AT579" s="219"/>
      <c r="AU579" s="219"/>
      <c r="AV579" s="219"/>
      <c r="AW579" s="219"/>
    </row>
    <row r="580" spans="1:49">
      <c r="A580" s="219"/>
      <c r="B580" s="219"/>
      <c r="C580" s="219"/>
      <c r="D580" s="219"/>
      <c r="E580" s="219"/>
      <c r="F580" s="219"/>
      <c r="G580" s="219"/>
      <c r="H580" s="219"/>
      <c r="I580" s="219"/>
      <c r="J580" s="219"/>
      <c r="K580" s="219"/>
      <c r="L580" s="219"/>
      <c r="M580" s="219"/>
      <c r="N580" s="219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19"/>
      <c r="Z580" s="219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19"/>
      <c r="AL580" s="219"/>
      <c r="AM580" s="219"/>
      <c r="AN580" s="219"/>
      <c r="AO580" s="219"/>
      <c r="AP580" s="219"/>
      <c r="AQ580" s="219"/>
      <c r="AR580" s="219"/>
      <c r="AS580" s="219"/>
      <c r="AT580" s="219"/>
      <c r="AU580" s="219"/>
      <c r="AV580" s="219"/>
      <c r="AW580" s="219"/>
    </row>
    <row r="581" spans="1:49">
      <c r="A581" s="219"/>
      <c r="B581" s="219"/>
      <c r="C581" s="219"/>
      <c r="D581" s="219"/>
      <c r="E581" s="219"/>
      <c r="F581" s="219"/>
      <c r="G581" s="219"/>
      <c r="H581" s="219"/>
      <c r="I581" s="219"/>
      <c r="J581" s="219"/>
      <c r="K581" s="219"/>
      <c r="L581" s="219"/>
      <c r="M581" s="219"/>
      <c r="N581" s="219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19"/>
      <c r="Z581" s="219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19"/>
      <c r="AL581" s="219"/>
      <c r="AM581" s="219"/>
      <c r="AN581" s="219"/>
      <c r="AO581" s="219"/>
      <c r="AP581" s="219"/>
      <c r="AQ581" s="219"/>
      <c r="AR581" s="219"/>
      <c r="AS581" s="219"/>
      <c r="AT581" s="219"/>
      <c r="AU581" s="219"/>
      <c r="AV581" s="219"/>
      <c r="AW581" s="219"/>
    </row>
    <row r="582" spans="1:49">
      <c r="A582" s="219"/>
      <c r="B582" s="219"/>
      <c r="C582" s="219"/>
      <c r="D582" s="219"/>
      <c r="E582" s="219"/>
      <c r="F582" s="219"/>
      <c r="G582" s="219"/>
      <c r="H582" s="219"/>
      <c r="I582" s="219"/>
      <c r="J582" s="219"/>
      <c r="K582" s="219"/>
      <c r="L582" s="219"/>
      <c r="M582" s="219"/>
      <c r="N582" s="219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19"/>
      <c r="Z582" s="219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19"/>
      <c r="AL582" s="219"/>
      <c r="AM582" s="219"/>
      <c r="AN582" s="219"/>
      <c r="AO582" s="219"/>
      <c r="AP582" s="219"/>
      <c r="AQ582" s="219"/>
      <c r="AR582" s="219"/>
      <c r="AS582" s="219"/>
      <c r="AT582" s="219"/>
      <c r="AU582" s="219"/>
      <c r="AV582" s="219"/>
      <c r="AW582" s="219"/>
    </row>
    <row r="583" spans="1:49">
      <c r="A583" s="219"/>
      <c r="B583" s="219"/>
      <c r="C583" s="219"/>
      <c r="D583" s="219"/>
      <c r="E583" s="219"/>
      <c r="F583" s="219"/>
      <c r="G583" s="219"/>
      <c r="H583" s="219"/>
      <c r="I583" s="219"/>
      <c r="J583" s="219"/>
      <c r="K583" s="219"/>
      <c r="L583" s="219"/>
      <c r="M583" s="219"/>
      <c r="N583" s="219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19"/>
      <c r="Z583" s="219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19"/>
      <c r="AL583" s="219"/>
      <c r="AM583" s="219"/>
      <c r="AN583" s="219"/>
      <c r="AO583" s="219"/>
      <c r="AP583" s="219"/>
      <c r="AQ583" s="219"/>
      <c r="AR583" s="219"/>
      <c r="AS583" s="219"/>
      <c r="AT583" s="219"/>
      <c r="AU583" s="219"/>
      <c r="AV583" s="219"/>
      <c r="AW583" s="219"/>
    </row>
    <row r="584" spans="1:49">
      <c r="A584" s="219"/>
      <c r="B584" s="219"/>
      <c r="C584" s="219"/>
      <c r="D584" s="219"/>
      <c r="E584" s="219"/>
      <c r="F584" s="219"/>
      <c r="G584" s="219"/>
      <c r="H584" s="219"/>
      <c r="I584" s="219"/>
      <c r="J584" s="219"/>
      <c r="K584" s="219"/>
      <c r="L584" s="219"/>
      <c r="M584" s="219"/>
      <c r="N584" s="219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19"/>
      <c r="Z584" s="219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19"/>
      <c r="AL584" s="219"/>
      <c r="AM584" s="219"/>
      <c r="AN584" s="219"/>
      <c r="AO584" s="219"/>
      <c r="AP584" s="219"/>
      <c r="AQ584" s="219"/>
      <c r="AR584" s="219"/>
      <c r="AS584" s="219"/>
      <c r="AT584" s="219"/>
      <c r="AU584" s="219"/>
      <c r="AV584" s="219"/>
      <c r="AW584" s="219"/>
    </row>
    <row r="585" spans="1:49">
      <c r="A585" s="219"/>
      <c r="B585" s="219"/>
      <c r="C585" s="219"/>
      <c r="D585" s="219"/>
      <c r="E585" s="219"/>
      <c r="F585" s="219"/>
      <c r="G585" s="219"/>
      <c r="H585" s="219"/>
      <c r="I585" s="219"/>
      <c r="J585" s="219"/>
      <c r="K585" s="219"/>
      <c r="L585" s="219"/>
      <c r="M585" s="219"/>
      <c r="N585" s="219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19"/>
      <c r="Z585" s="219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19"/>
      <c r="AL585" s="219"/>
      <c r="AM585" s="219"/>
      <c r="AN585" s="219"/>
      <c r="AO585" s="219"/>
      <c r="AP585" s="219"/>
      <c r="AQ585" s="219"/>
      <c r="AR585" s="219"/>
      <c r="AS585" s="219"/>
      <c r="AT585" s="219"/>
      <c r="AU585" s="219"/>
      <c r="AV585" s="219"/>
      <c r="AW585" s="219"/>
    </row>
    <row r="586" spans="1:49">
      <c r="A586" s="219"/>
      <c r="B586" s="219"/>
      <c r="C586" s="219"/>
      <c r="D586" s="219"/>
      <c r="E586" s="219"/>
      <c r="F586" s="219"/>
      <c r="G586" s="219"/>
      <c r="H586" s="219"/>
      <c r="I586" s="219"/>
      <c r="J586" s="219"/>
      <c r="K586" s="219"/>
      <c r="L586" s="219"/>
      <c r="M586" s="219"/>
      <c r="N586" s="219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19"/>
      <c r="Z586" s="219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19"/>
      <c r="AL586" s="219"/>
      <c r="AM586" s="219"/>
      <c r="AN586" s="219"/>
      <c r="AO586" s="219"/>
      <c r="AP586" s="219"/>
      <c r="AQ586" s="219"/>
      <c r="AR586" s="219"/>
      <c r="AS586" s="219"/>
      <c r="AT586" s="219"/>
      <c r="AU586" s="219"/>
      <c r="AV586" s="219"/>
      <c r="AW586" s="219"/>
    </row>
    <row r="587" spans="1:49">
      <c r="A587" s="219"/>
      <c r="B587" s="219"/>
      <c r="C587" s="219"/>
      <c r="D587" s="219"/>
      <c r="E587" s="219"/>
      <c r="F587" s="219"/>
      <c r="G587" s="219"/>
      <c r="H587" s="219"/>
      <c r="I587" s="219"/>
      <c r="J587" s="219"/>
      <c r="K587" s="219"/>
      <c r="L587" s="219"/>
      <c r="M587" s="219"/>
      <c r="N587" s="219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19"/>
      <c r="Z587" s="219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19"/>
      <c r="AL587" s="219"/>
      <c r="AM587" s="219"/>
      <c r="AN587" s="219"/>
      <c r="AO587" s="219"/>
      <c r="AP587" s="219"/>
      <c r="AQ587" s="219"/>
      <c r="AR587" s="219"/>
      <c r="AS587" s="219"/>
      <c r="AT587" s="219"/>
      <c r="AU587" s="219"/>
      <c r="AV587" s="219"/>
      <c r="AW587" s="219"/>
    </row>
    <row r="588" spans="1:49">
      <c r="A588" s="219"/>
      <c r="B588" s="219"/>
      <c r="C588" s="219"/>
      <c r="D588" s="219"/>
      <c r="E588" s="219"/>
      <c r="F588" s="219"/>
      <c r="G588" s="219"/>
      <c r="H588" s="219"/>
      <c r="I588" s="219"/>
      <c r="J588" s="219"/>
      <c r="K588" s="219"/>
      <c r="L588" s="219"/>
      <c r="M588" s="219"/>
      <c r="N588" s="219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19"/>
      <c r="Z588" s="219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19"/>
      <c r="AL588" s="219"/>
      <c r="AM588" s="219"/>
      <c r="AN588" s="219"/>
      <c r="AO588" s="219"/>
      <c r="AP588" s="219"/>
      <c r="AQ588" s="219"/>
      <c r="AR588" s="219"/>
      <c r="AS588" s="219"/>
      <c r="AT588" s="219"/>
      <c r="AU588" s="219"/>
      <c r="AV588" s="219"/>
      <c r="AW588" s="219"/>
    </row>
    <row r="589" spans="1:49">
      <c r="A589" s="219"/>
      <c r="B589" s="219"/>
      <c r="C589" s="219"/>
      <c r="D589" s="219"/>
      <c r="E589" s="219"/>
      <c r="F589" s="219"/>
      <c r="G589" s="219"/>
      <c r="H589" s="219"/>
      <c r="I589" s="219"/>
      <c r="J589" s="219"/>
      <c r="K589" s="219"/>
      <c r="L589" s="219"/>
      <c r="M589" s="219"/>
      <c r="N589" s="219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19"/>
      <c r="Z589" s="219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19"/>
      <c r="AL589" s="219"/>
      <c r="AM589" s="219"/>
      <c r="AN589" s="219"/>
      <c r="AO589" s="219"/>
      <c r="AP589" s="219"/>
      <c r="AQ589" s="219"/>
      <c r="AR589" s="219"/>
      <c r="AS589" s="219"/>
      <c r="AT589" s="219"/>
      <c r="AU589" s="219"/>
      <c r="AV589" s="219"/>
      <c r="AW589" s="219"/>
    </row>
    <row r="590" spans="1:49">
      <c r="A590" s="219"/>
      <c r="B590" s="219"/>
      <c r="C590" s="219"/>
      <c r="D590" s="219"/>
      <c r="E590" s="219"/>
      <c r="F590" s="219"/>
      <c r="G590" s="219"/>
      <c r="H590" s="219"/>
      <c r="I590" s="219"/>
      <c r="J590" s="219"/>
      <c r="K590" s="219"/>
      <c r="L590" s="219"/>
      <c r="M590" s="219"/>
      <c r="N590" s="219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19"/>
      <c r="Z590" s="219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19"/>
      <c r="AL590" s="219"/>
      <c r="AM590" s="219"/>
      <c r="AN590" s="219"/>
      <c r="AO590" s="219"/>
      <c r="AP590" s="219"/>
      <c r="AQ590" s="219"/>
      <c r="AR590" s="219"/>
      <c r="AS590" s="219"/>
      <c r="AT590" s="219"/>
      <c r="AU590" s="219"/>
      <c r="AV590" s="219"/>
      <c r="AW590" s="219"/>
    </row>
    <row r="591" spans="1:49">
      <c r="A591" s="219"/>
      <c r="B591" s="219"/>
      <c r="C591" s="219"/>
      <c r="D591" s="219"/>
      <c r="E591" s="219"/>
      <c r="F591" s="219"/>
      <c r="G591" s="219"/>
      <c r="H591" s="219"/>
      <c r="I591" s="219"/>
      <c r="J591" s="219"/>
      <c r="K591" s="219"/>
      <c r="L591" s="219"/>
      <c r="M591" s="219"/>
      <c r="N591" s="219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19"/>
      <c r="Z591" s="219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19"/>
      <c r="AL591" s="219"/>
      <c r="AM591" s="219"/>
      <c r="AN591" s="219"/>
      <c r="AO591" s="219"/>
      <c r="AP591" s="219"/>
      <c r="AQ591" s="219"/>
      <c r="AR591" s="219"/>
      <c r="AS591" s="219"/>
      <c r="AT591" s="219"/>
      <c r="AU591" s="219"/>
      <c r="AV591" s="219"/>
      <c r="AW591" s="219"/>
    </row>
    <row r="592" spans="1:49">
      <c r="A592" s="219"/>
      <c r="B592" s="219"/>
      <c r="C592" s="219"/>
      <c r="D592" s="219"/>
      <c r="E592" s="219"/>
      <c r="F592" s="219"/>
      <c r="G592" s="219"/>
      <c r="H592" s="219"/>
      <c r="I592" s="219"/>
      <c r="J592" s="219"/>
      <c r="K592" s="219"/>
      <c r="L592" s="219"/>
      <c r="M592" s="219"/>
      <c r="N592" s="219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19"/>
      <c r="Z592" s="219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19"/>
      <c r="AL592" s="219"/>
      <c r="AM592" s="219"/>
      <c r="AN592" s="219"/>
      <c r="AO592" s="219"/>
      <c r="AP592" s="219"/>
      <c r="AQ592" s="219"/>
      <c r="AR592" s="219"/>
      <c r="AS592" s="219"/>
      <c r="AT592" s="219"/>
      <c r="AU592" s="219"/>
      <c r="AV592" s="219"/>
      <c r="AW592" s="219"/>
    </row>
    <row r="593" spans="1:49">
      <c r="A593" s="219"/>
      <c r="B593" s="219"/>
      <c r="C593" s="219"/>
      <c r="D593" s="219"/>
      <c r="E593" s="219"/>
      <c r="F593" s="219"/>
      <c r="G593" s="219"/>
      <c r="H593" s="219"/>
      <c r="I593" s="219"/>
      <c r="J593" s="219"/>
      <c r="K593" s="219"/>
      <c r="L593" s="219"/>
      <c r="M593" s="219"/>
      <c r="N593" s="219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19"/>
      <c r="Z593" s="219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19"/>
      <c r="AL593" s="219"/>
      <c r="AM593" s="219"/>
      <c r="AN593" s="219"/>
      <c r="AO593" s="219"/>
      <c r="AP593" s="219"/>
      <c r="AQ593" s="219"/>
      <c r="AR593" s="219"/>
      <c r="AS593" s="219"/>
      <c r="AT593" s="219"/>
      <c r="AU593" s="219"/>
      <c r="AV593" s="219"/>
      <c r="AW593" s="219"/>
    </row>
    <row r="594" spans="1:49">
      <c r="A594" s="219"/>
      <c r="B594" s="219"/>
      <c r="C594" s="219"/>
      <c r="D594" s="219"/>
      <c r="E594" s="219"/>
      <c r="F594" s="219"/>
      <c r="G594" s="219"/>
      <c r="H594" s="219"/>
      <c r="I594" s="219"/>
      <c r="J594" s="219"/>
      <c r="K594" s="219"/>
      <c r="L594" s="219"/>
      <c r="M594" s="219"/>
      <c r="N594" s="219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19"/>
      <c r="Z594" s="219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19"/>
      <c r="AL594" s="219"/>
      <c r="AM594" s="219"/>
      <c r="AN594" s="219"/>
      <c r="AO594" s="219"/>
      <c r="AP594" s="219"/>
      <c r="AQ594" s="219"/>
      <c r="AR594" s="219"/>
      <c r="AS594" s="219"/>
      <c r="AT594" s="219"/>
      <c r="AU594" s="219"/>
      <c r="AV594" s="219"/>
      <c r="AW594" s="219"/>
    </row>
    <row r="595" spans="1:49">
      <c r="A595" s="219"/>
      <c r="B595" s="219"/>
      <c r="C595" s="219"/>
      <c r="D595" s="219"/>
      <c r="E595" s="219"/>
      <c r="F595" s="219"/>
      <c r="G595" s="219"/>
      <c r="H595" s="219"/>
      <c r="I595" s="219"/>
      <c r="J595" s="219"/>
      <c r="K595" s="219"/>
      <c r="L595" s="219"/>
      <c r="M595" s="219"/>
      <c r="N595" s="219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19"/>
      <c r="Z595" s="219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19"/>
      <c r="AL595" s="219"/>
      <c r="AM595" s="219"/>
      <c r="AN595" s="219"/>
      <c r="AO595" s="219"/>
      <c r="AP595" s="219"/>
      <c r="AQ595" s="219"/>
      <c r="AR595" s="219"/>
      <c r="AS595" s="219"/>
      <c r="AT595" s="219"/>
      <c r="AU595" s="219"/>
      <c r="AV595" s="219"/>
      <c r="AW595" s="219"/>
    </row>
    <row r="596" spans="1:49">
      <c r="A596" s="219"/>
      <c r="B596" s="219"/>
      <c r="C596" s="219"/>
      <c r="D596" s="219"/>
      <c r="E596" s="219"/>
      <c r="F596" s="219"/>
      <c r="G596" s="219"/>
      <c r="H596" s="219"/>
      <c r="I596" s="219"/>
      <c r="J596" s="219"/>
      <c r="K596" s="219"/>
      <c r="L596" s="219"/>
      <c r="M596" s="219"/>
      <c r="N596" s="219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19"/>
      <c r="Z596" s="219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19"/>
      <c r="AL596" s="219"/>
      <c r="AM596" s="219"/>
      <c r="AN596" s="219"/>
      <c r="AO596" s="219"/>
      <c r="AP596" s="219"/>
      <c r="AQ596" s="219"/>
      <c r="AR596" s="219"/>
      <c r="AS596" s="219"/>
      <c r="AT596" s="219"/>
      <c r="AU596" s="219"/>
      <c r="AV596" s="219"/>
      <c r="AW596" s="219"/>
    </row>
    <row r="597" spans="1:49">
      <c r="A597" s="219"/>
      <c r="B597" s="219"/>
      <c r="C597" s="219"/>
      <c r="D597" s="219"/>
      <c r="E597" s="219"/>
      <c r="F597" s="219"/>
      <c r="G597" s="219"/>
      <c r="H597" s="219"/>
      <c r="I597" s="219"/>
      <c r="J597" s="219"/>
      <c r="K597" s="219"/>
      <c r="L597" s="219"/>
      <c r="M597" s="219"/>
      <c r="N597" s="219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19"/>
      <c r="Z597" s="219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19"/>
      <c r="AL597" s="219"/>
      <c r="AM597" s="219"/>
      <c r="AN597" s="219"/>
      <c r="AO597" s="219"/>
      <c r="AP597" s="219"/>
      <c r="AQ597" s="219"/>
      <c r="AR597" s="219"/>
      <c r="AS597" s="219"/>
      <c r="AT597" s="219"/>
      <c r="AU597" s="219"/>
      <c r="AV597" s="219"/>
      <c r="AW597" s="219"/>
    </row>
    <row r="598" spans="1:49">
      <c r="A598" s="219"/>
      <c r="B598" s="219"/>
      <c r="C598" s="219"/>
      <c r="D598" s="219"/>
      <c r="E598" s="219"/>
      <c r="F598" s="219"/>
      <c r="G598" s="219"/>
      <c r="H598" s="219"/>
      <c r="I598" s="219"/>
      <c r="J598" s="219"/>
      <c r="K598" s="219"/>
      <c r="L598" s="219"/>
      <c r="M598" s="219"/>
      <c r="N598" s="219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19"/>
      <c r="Z598" s="219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19"/>
      <c r="AL598" s="219"/>
      <c r="AM598" s="219"/>
      <c r="AN598" s="219"/>
      <c r="AO598" s="219"/>
      <c r="AP598" s="219"/>
      <c r="AQ598" s="219"/>
      <c r="AR598" s="219"/>
      <c r="AS598" s="219"/>
      <c r="AT598" s="219"/>
      <c r="AU598" s="219"/>
      <c r="AV598" s="219"/>
      <c r="AW598" s="219"/>
    </row>
    <row r="599" spans="1:49">
      <c r="A599" s="219"/>
      <c r="B599" s="219"/>
      <c r="C599" s="219"/>
      <c r="D599" s="219"/>
      <c r="E599" s="219"/>
      <c r="F599" s="219"/>
      <c r="G599" s="219"/>
      <c r="H599" s="219"/>
      <c r="I599" s="219"/>
      <c r="J599" s="219"/>
      <c r="K599" s="219"/>
      <c r="L599" s="219"/>
      <c r="M599" s="219"/>
      <c r="N599" s="219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19"/>
      <c r="Z599" s="219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19"/>
      <c r="AL599" s="219"/>
      <c r="AM599" s="219"/>
      <c r="AN599" s="219"/>
      <c r="AO599" s="219"/>
      <c r="AP599" s="219"/>
      <c r="AQ599" s="219"/>
      <c r="AR599" s="219"/>
      <c r="AS599" s="219"/>
      <c r="AT599" s="219"/>
      <c r="AU599" s="219"/>
      <c r="AV599" s="219"/>
      <c r="AW599" s="219"/>
    </row>
    <row r="600" spans="1:49">
      <c r="A600" s="219"/>
      <c r="B600" s="219"/>
      <c r="C600" s="219"/>
      <c r="D600" s="219"/>
      <c r="E600" s="219"/>
      <c r="F600" s="219"/>
      <c r="G600" s="219"/>
      <c r="H600" s="219"/>
      <c r="I600" s="219"/>
      <c r="J600" s="219"/>
      <c r="K600" s="219"/>
      <c r="L600" s="219"/>
      <c r="M600" s="219"/>
      <c r="N600" s="219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19"/>
      <c r="Z600" s="219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19"/>
      <c r="AL600" s="219"/>
      <c r="AM600" s="219"/>
      <c r="AN600" s="219"/>
      <c r="AO600" s="219"/>
      <c r="AP600" s="219"/>
      <c r="AQ600" s="219"/>
      <c r="AR600" s="219"/>
      <c r="AS600" s="219"/>
      <c r="AT600" s="219"/>
      <c r="AU600" s="219"/>
      <c r="AV600" s="219"/>
      <c r="AW600" s="219"/>
    </row>
    <row r="601" spans="1:49">
      <c r="A601" s="219"/>
      <c r="B601" s="219"/>
      <c r="C601" s="219"/>
      <c r="D601" s="219"/>
      <c r="E601" s="219"/>
      <c r="F601" s="219"/>
      <c r="G601" s="219"/>
      <c r="H601" s="219"/>
      <c r="I601" s="219"/>
      <c r="J601" s="219"/>
      <c r="K601" s="219"/>
      <c r="L601" s="219"/>
      <c r="M601" s="219"/>
      <c r="N601" s="219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19"/>
      <c r="Z601" s="219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19"/>
      <c r="AL601" s="219"/>
      <c r="AM601" s="219"/>
      <c r="AN601" s="219"/>
      <c r="AO601" s="219"/>
      <c r="AP601" s="219"/>
      <c r="AQ601" s="219"/>
      <c r="AR601" s="219"/>
      <c r="AS601" s="219"/>
      <c r="AT601" s="219"/>
      <c r="AU601" s="219"/>
      <c r="AV601" s="219"/>
      <c r="AW601" s="219"/>
    </row>
    <row r="602" spans="1:49">
      <c r="A602" s="219"/>
      <c r="B602" s="219"/>
      <c r="C602" s="219"/>
      <c r="D602" s="219"/>
      <c r="E602" s="219"/>
      <c r="F602" s="219"/>
      <c r="G602" s="219"/>
      <c r="H602" s="219"/>
      <c r="I602" s="219"/>
      <c r="J602" s="219"/>
      <c r="K602" s="219"/>
      <c r="L602" s="219"/>
      <c r="M602" s="219"/>
      <c r="N602" s="219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19"/>
      <c r="Z602" s="219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19"/>
      <c r="AL602" s="219"/>
      <c r="AM602" s="219"/>
      <c r="AN602" s="219"/>
      <c r="AO602" s="219"/>
      <c r="AP602" s="219"/>
      <c r="AQ602" s="219"/>
      <c r="AR602" s="219"/>
      <c r="AS602" s="219"/>
      <c r="AT602" s="219"/>
      <c r="AU602" s="219"/>
      <c r="AV602" s="219"/>
      <c r="AW602" s="219"/>
    </row>
    <row r="603" spans="1:49">
      <c r="A603" s="219"/>
      <c r="B603" s="219"/>
      <c r="C603" s="219"/>
      <c r="D603" s="219"/>
      <c r="E603" s="219"/>
      <c r="F603" s="219"/>
      <c r="G603" s="219"/>
      <c r="H603" s="219"/>
      <c r="I603" s="219"/>
      <c r="J603" s="219"/>
      <c r="K603" s="219"/>
      <c r="L603" s="219"/>
      <c r="M603" s="219"/>
      <c r="N603" s="219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19"/>
      <c r="Z603" s="219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19"/>
      <c r="AL603" s="219"/>
      <c r="AM603" s="219"/>
      <c r="AN603" s="219"/>
      <c r="AO603" s="219"/>
      <c r="AP603" s="219"/>
      <c r="AQ603" s="219"/>
      <c r="AR603" s="219"/>
      <c r="AS603" s="219"/>
      <c r="AT603" s="219"/>
      <c r="AU603" s="219"/>
      <c r="AV603" s="219"/>
      <c r="AW603" s="219"/>
    </row>
    <row r="604" spans="1:49">
      <c r="A604" s="219"/>
      <c r="B604" s="219"/>
      <c r="C604" s="219"/>
      <c r="D604" s="219"/>
      <c r="E604" s="219"/>
      <c r="F604" s="219"/>
      <c r="G604" s="219"/>
      <c r="H604" s="219"/>
      <c r="I604" s="219"/>
      <c r="J604" s="219"/>
      <c r="K604" s="219"/>
      <c r="L604" s="219"/>
      <c r="M604" s="219"/>
      <c r="N604" s="219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19"/>
      <c r="Z604" s="219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19"/>
      <c r="AL604" s="219"/>
      <c r="AM604" s="219"/>
      <c r="AN604" s="219"/>
      <c r="AO604" s="219"/>
      <c r="AP604" s="219"/>
      <c r="AQ604" s="219"/>
      <c r="AR604" s="219"/>
      <c r="AS604" s="219"/>
      <c r="AT604" s="219"/>
      <c r="AU604" s="219"/>
      <c r="AV604" s="219"/>
      <c r="AW604" s="219"/>
    </row>
    <row r="605" spans="1:49">
      <c r="A605" s="219"/>
      <c r="B605" s="219"/>
      <c r="C605" s="219"/>
      <c r="D605" s="219"/>
      <c r="E605" s="219"/>
      <c r="F605" s="219"/>
      <c r="G605" s="219"/>
      <c r="H605" s="219"/>
      <c r="I605" s="219"/>
      <c r="J605" s="219"/>
      <c r="K605" s="219"/>
      <c r="L605" s="219"/>
      <c r="M605" s="219"/>
      <c r="N605" s="219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19"/>
      <c r="Z605" s="219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19"/>
      <c r="AL605" s="219"/>
      <c r="AM605" s="219"/>
      <c r="AN605" s="219"/>
      <c r="AO605" s="219"/>
      <c r="AP605" s="219"/>
      <c r="AQ605" s="219"/>
      <c r="AR605" s="219"/>
      <c r="AS605" s="219"/>
      <c r="AT605" s="219"/>
      <c r="AU605" s="219"/>
      <c r="AV605" s="219"/>
      <c r="AW605" s="219"/>
    </row>
    <row r="606" spans="1:49">
      <c r="A606" s="219"/>
      <c r="B606" s="219"/>
      <c r="C606" s="219"/>
      <c r="D606" s="219"/>
      <c r="E606" s="219"/>
      <c r="F606" s="219"/>
      <c r="G606" s="219"/>
      <c r="H606" s="219"/>
      <c r="I606" s="219"/>
      <c r="J606" s="219"/>
      <c r="K606" s="219"/>
      <c r="L606" s="219"/>
      <c r="M606" s="219"/>
      <c r="N606" s="219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19"/>
      <c r="Z606" s="219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19"/>
      <c r="AL606" s="219"/>
      <c r="AM606" s="219"/>
      <c r="AN606" s="219"/>
      <c r="AO606" s="219"/>
      <c r="AP606" s="219"/>
      <c r="AQ606" s="219"/>
      <c r="AR606" s="219"/>
      <c r="AS606" s="219"/>
      <c r="AT606" s="219"/>
      <c r="AU606" s="219"/>
      <c r="AV606" s="219"/>
      <c r="AW606" s="219"/>
    </row>
    <row r="607" spans="1:49">
      <c r="A607" s="219"/>
      <c r="B607" s="219"/>
      <c r="C607" s="219"/>
      <c r="D607" s="219"/>
      <c r="E607" s="219"/>
      <c r="F607" s="219"/>
      <c r="G607" s="219"/>
      <c r="H607" s="219"/>
      <c r="I607" s="219"/>
      <c r="J607" s="219"/>
      <c r="K607" s="219"/>
      <c r="L607" s="219"/>
      <c r="M607" s="219"/>
      <c r="N607" s="219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19"/>
      <c r="Z607" s="219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19"/>
      <c r="AL607" s="219"/>
      <c r="AM607" s="219"/>
      <c r="AN607" s="219"/>
      <c r="AO607" s="219"/>
      <c r="AP607" s="219"/>
      <c r="AQ607" s="219"/>
      <c r="AR607" s="219"/>
      <c r="AS607" s="219"/>
      <c r="AT607" s="219"/>
      <c r="AU607" s="219"/>
      <c r="AV607" s="219"/>
      <c r="AW607" s="219"/>
    </row>
    <row r="608" spans="1:49">
      <c r="A608" s="219"/>
      <c r="B608" s="219"/>
      <c r="C608" s="219"/>
      <c r="D608" s="219"/>
      <c r="E608" s="219"/>
      <c r="F608" s="219"/>
      <c r="G608" s="219"/>
      <c r="H608" s="219"/>
      <c r="I608" s="219"/>
      <c r="J608" s="219"/>
      <c r="K608" s="219"/>
      <c r="L608" s="219"/>
      <c r="M608" s="219"/>
      <c r="N608" s="219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19"/>
      <c r="Z608" s="219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19"/>
      <c r="AL608" s="219"/>
      <c r="AM608" s="219"/>
      <c r="AN608" s="219"/>
      <c r="AO608" s="219"/>
      <c r="AP608" s="219"/>
      <c r="AQ608" s="219"/>
      <c r="AR608" s="219"/>
      <c r="AS608" s="219"/>
      <c r="AT608" s="219"/>
      <c r="AU608" s="219"/>
      <c r="AV608" s="219"/>
      <c r="AW608" s="219"/>
    </row>
    <row r="609" spans="1:49">
      <c r="A609" s="219"/>
      <c r="B609" s="219"/>
      <c r="C609" s="219"/>
      <c r="D609" s="219"/>
      <c r="E609" s="219"/>
      <c r="F609" s="219"/>
      <c r="G609" s="219"/>
      <c r="H609" s="219"/>
      <c r="I609" s="219"/>
      <c r="J609" s="219"/>
      <c r="K609" s="219"/>
      <c r="L609" s="219"/>
      <c r="M609" s="219"/>
      <c r="N609" s="219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19"/>
      <c r="Z609" s="219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19"/>
      <c r="AL609" s="219"/>
      <c r="AM609" s="219"/>
      <c r="AN609" s="219"/>
      <c r="AO609" s="219"/>
      <c r="AP609" s="219"/>
      <c r="AQ609" s="219"/>
      <c r="AR609" s="219"/>
      <c r="AS609" s="219"/>
      <c r="AT609" s="219"/>
      <c r="AU609" s="219"/>
      <c r="AV609" s="219"/>
      <c r="AW609" s="219"/>
    </row>
    <row r="610" spans="1:49">
      <c r="A610" s="219"/>
      <c r="B610" s="219"/>
      <c r="C610" s="219"/>
      <c r="D610" s="219"/>
      <c r="E610" s="219"/>
      <c r="F610" s="219"/>
      <c r="G610" s="219"/>
      <c r="H610" s="219"/>
      <c r="I610" s="219"/>
      <c r="J610" s="219"/>
      <c r="K610" s="219"/>
      <c r="L610" s="219"/>
      <c r="M610" s="219"/>
      <c r="N610" s="219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19"/>
      <c r="Z610" s="219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19"/>
      <c r="AL610" s="219"/>
      <c r="AM610" s="219"/>
      <c r="AN610" s="219"/>
      <c r="AO610" s="219"/>
      <c r="AP610" s="219"/>
      <c r="AQ610" s="219"/>
      <c r="AR610" s="219"/>
      <c r="AS610" s="219"/>
      <c r="AT610" s="219"/>
      <c r="AU610" s="219"/>
      <c r="AV610" s="219"/>
      <c r="AW610" s="219"/>
    </row>
    <row r="611" spans="1:49">
      <c r="A611" s="219"/>
      <c r="B611" s="219"/>
      <c r="C611" s="219"/>
      <c r="D611" s="219"/>
      <c r="E611" s="219"/>
      <c r="F611" s="219"/>
      <c r="G611" s="219"/>
      <c r="H611" s="219"/>
      <c r="I611" s="219"/>
      <c r="J611" s="219"/>
      <c r="K611" s="219"/>
      <c r="L611" s="219"/>
      <c r="M611" s="219"/>
      <c r="N611" s="219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19"/>
      <c r="Z611" s="219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19"/>
      <c r="AL611" s="219"/>
      <c r="AM611" s="219"/>
      <c r="AN611" s="219"/>
      <c r="AO611" s="219"/>
      <c r="AP611" s="219"/>
      <c r="AQ611" s="219"/>
      <c r="AR611" s="219"/>
      <c r="AS611" s="219"/>
      <c r="AT611" s="219"/>
      <c r="AU611" s="219"/>
      <c r="AV611" s="219"/>
      <c r="AW611" s="219"/>
    </row>
    <row r="612" spans="1:49">
      <c r="A612" s="219"/>
      <c r="B612" s="219"/>
      <c r="C612" s="219"/>
      <c r="D612" s="219"/>
      <c r="E612" s="219"/>
      <c r="F612" s="219"/>
      <c r="G612" s="219"/>
      <c r="H612" s="219"/>
      <c r="I612" s="219"/>
      <c r="J612" s="219"/>
      <c r="K612" s="219"/>
      <c r="L612" s="219"/>
      <c r="M612" s="219"/>
      <c r="N612" s="219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19"/>
      <c r="Z612" s="219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19"/>
      <c r="AL612" s="219"/>
      <c r="AM612" s="219"/>
      <c r="AN612" s="219"/>
      <c r="AO612" s="219"/>
      <c r="AP612" s="219"/>
      <c r="AQ612" s="219"/>
      <c r="AR612" s="219"/>
      <c r="AS612" s="219"/>
      <c r="AT612" s="219"/>
      <c r="AU612" s="219"/>
      <c r="AV612" s="219"/>
      <c r="AW612" s="219"/>
    </row>
    <row r="613" spans="1:49">
      <c r="A613" s="219"/>
      <c r="B613" s="219"/>
      <c r="C613" s="219"/>
      <c r="D613" s="219"/>
      <c r="E613" s="219"/>
      <c r="F613" s="219"/>
      <c r="G613" s="219"/>
      <c r="H613" s="219"/>
      <c r="I613" s="219"/>
      <c r="J613" s="219"/>
      <c r="K613" s="219"/>
      <c r="L613" s="219"/>
      <c r="M613" s="219"/>
      <c r="N613" s="219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19"/>
      <c r="Z613" s="219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19"/>
      <c r="AL613" s="219"/>
      <c r="AM613" s="219"/>
      <c r="AN613" s="219"/>
      <c r="AO613" s="219"/>
      <c r="AP613" s="219"/>
      <c r="AQ613" s="219"/>
      <c r="AR613" s="219"/>
      <c r="AS613" s="219"/>
      <c r="AT613" s="219"/>
      <c r="AU613" s="219"/>
      <c r="AV613" s="219"/>
      <c r="AW613" s="219"/>
    </row>
    <row r="614" spans="1:49">
      <c r="A614" s="219"/>
      <c r="B614" s="219"/>
      <c r="C614" s="219"/>
      <c r="D614" s="219"/>
      <c r="E614" s="219"/>
      <c r="F614" s="219"/>
      <c r="G614" s="219"/>
      <c r="H614" s="219"/>
      <c r="I614" s="219"/>
      <c r="J614" s="219"/>
      <c r="K614" s="219"/>
      <c r="L614" s="219"/>
      <c r="M614" s="219"/>
      <c r="N614" s="219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19"/>
      <c r="Z614" s="219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19"/>
      <c r="AL614" s="219"/>
      <c r="AM614" s="219"/>
      <c r="AN614" s="219"/>
      <c r="AO614" s="219"/>
      <c r="AP614" s="219"/>
      <c r="AQ614" s="219"/>
      <c r="AR614" s="219"/>
      <c r="AS614" s="219"/>
      <c r="AT614" s="219"/>
      <c r="AU614" s="219"/>
      <c r="AV614" s="219"/>
      <c r="AW614" s="219"/>
    </row>
    <row r="615" spans="1:49">
      <c r="A615" s="219"/>
      <c r="B615" s="219"/>
      <c r="C615" s="219"/>
      <c r="D615" s="219"/>
      <c r="E615" s="219"/>
      <c r="F615" s="219"/>
      <c r="G615" s="219"/>
      <c r="H615" s="219"/>
      <c r="I615" s="219"/>
      <c r="J615" s="219"/>
      <c r="K615" s="219"/>
      <c r="L615" s="219"/>
      <c r="M615" s="219"/>
      <c r="N615" s="219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19"/>
      <c r="Z615" s="219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19"/>
      <c r="AL615" s="219"/>
      <c r="AM615" s="219"/>
      <c r="AN615" s="219"/>
      <c r="AO615" s="219"/>
      <c r="AP615" s="219"/>
      <c r="AQ615" s="219"/>
      <c r="AR615" s="219"/>
      <c r="AS615" s="219"/>
      <c r="AT615" s="219"/>
      <c r="AU615" s="219"/>
      <c r="AV615" s="219"/>
      <c r="AW615" s="219"/>
    </row>
    <row r="616" spans="1:49">
      <c r="A616" s="219"/>
      <c r="B616" s="219"/>
      <c r="C616" s="219"/>
      <c r="D616" s="219"/>
      <c r="E616" s="219"/>
      <c r="F616" s="219"/>
      <c r="G616" s="219"/>
      <c r="H616" s="219"/>
      <c r="I616" s="219"/>
      <c r="J616" s="219"/>
      <c r="K616" s="219"/>
      <c r="L616" s="219"/>
      <c r="M616" s="219"/>
      <c r="N616" s="219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19"/>
      <c r="Z616" s="219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19"/>
      <c r="AL616" s="219"/>
      <c r="AM616" s="219"/>
      <c r="AN616" s="219"/>
      <c r="AO616" s="219"/>
      <c r="AP616" s="219"/>
      <c r="AQ616" s="219"/>
      <c r="AR616" s="219"/>
      <c r="AS616" s="219"/>
      <c r="AT616" s="219"/>
      <c r="AU616" s="219"/>
      <c r="AV616" s="219"/>
      <c r="AW616" s="219"/>
    </row>
    <row r="617" spans="1:49">
      <c r="A617" s="219"/>
      <c r="B617" s="219"/>
      <c r="C617" s="219"/>
      <c r="D617" s="219"/>
      <c r="E617" s="219"/>
      <c r="F617" s="219"/>
      <c r="G617" s="219"/>
      <c r="H617" s="219"/>
      <c r="I617" s="219"/>
      <c r="J617" s="219"/>
      <c r="K617" s="219"/>
      <c r="L617" s="219"/>
      <c r="M617" s="219"/>
      <c r="N617" s="219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19"/>
      <c r="Z617" s="219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19"/>
      <c r="AL617" s="219"/>
      <c r="AM617" s="219"/>
      <c r="AN617" s="219"/>
      <c r="AO617" s="219"/>
      <c r="AP617" s="219"/>
      <c r="AQ617" s="219"/>
      <c r="AR617" s="219"/>
      <c r="AS617" s="219"/>
      <c r="AT617" s="219"/>
      <c r="AU617" s="219"/>
      <c r="AV617" s="219"/>
      <c r="AW617" s="219"/>
    </row>
    <row r="618" spans="1:49">
      <c r="A618" s="219"/>
      <c r="B618" s="219"/>
      <c r="C618" s="219"/>
      <c r="D618" s="219"/>
      <c r="E618" s="219"/>
      <c r="F618" s="219"/>
      <c r="G618" s="219"/>
      <c r="H618" s="219"/>
      <c r="I618" s="219"/>
      <c r="J618" s="219"/>
      <c r="K618" s="219"/>
      <c r="L618" s="219"/>
      <c r="M618" s="219"/>
      <c r="N618" s="219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19"/>
      <c r="Z618" s="219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19"/>
      <c r="AL618" s="219"/>
      <c r="AM618" s="219"/>
      <c r="AN618" s="219"/>
      <c r="AO618" s="219"/>
      <c r="AP618" s="219"/>
      <c r="AQ618" s="219"/>
      <c r="AR618" s="219"/>
      <c r="AS618" s="219"/>
      <c r="AT618" s="219"/>
      <c r="AU618" s="219"/>
      <c r="AV618" s="219"/>
      <c r="AW618" s="219"/>
    </row>
    <row r="619" spans="1:49">
      <c r="A619" s="219"/>
      <c r="B619" s="219"/>
      <c r="C619" s="219"/>
      <c r="D619" s="219"/>
      <c r="E619" s="219"/>
      <c r="F619" s="219"/>
      <c r="G619" s="219"/>
      <c r="H619" s="219"/>
      <c r="I619" s="219"/>
      <c r="J619" s="219"/>
      <c r="K619" s="219"/>
      <c r="L619" s="219"/>
      <c r="M619" s="219"/>
      <c r="N619" s="219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19"/>
      <c r="Z619" s="219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19"/>
      <c r="AL619" s="219"/>
      <c r="AM619" s="219"/>
      <c r="AN619" s="219"/>
      <c r="AO619" s="219"/>
      <c r="AP619" s="219"/>
      <c r="AQ619" s="219"/>
      <c r="AR619" s="219"/>
      <c r="AS619" s="219"/>
      <c r="AT619" s="219"/>
      <c r="AU619" s="219"/>
      <c r="AV619" s="219"/>
      <c r="AW619" s="219"/>
    </row>
    <row r="620" spans="1:49">
      <c r="A620" s="219"/>
      <c r="B620" s="219"/>
      <c r="C620" s="219"/>
      <c r="D620" s="219"/>
      <c r="E620" s="219"/>
      <c r="F620" s="219"/>
      <c r="G620" s="219"/>
      <c r="H620" s="219"/>
      <c r="I620" s="219"/>
      <c r="J620" s="219"/>
      <c r="K620" s="219"/>
      <c r="L620" s="219"/>
      <c r="M620" s="219"/>
      <c r="N620" s="219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19"/>
      <c r="Z620" s="219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19"/>
      <c r="AL620" s="219"/>
      <c r="AM620" s="219"/>
      <c r="AN620" s="219"/>
      <c r="AO620" s="219"/>
      <c r="AP620" s="219"/>
      <c r="AQ620" s="219"/>
      <c r="AR620" s="219"/>
      <c r="AS620" s="219"/>
      <c r="AT620" s="219"/>
      <c r="AU620" s="219"/>
      <c r="AV620" s="219"/>
      <c r="AW620" s="219"/>
    </row>
    <row r="621" spans="1:49">
      <c r="A621" s="219"/>
      <c r="B621" s="219"/>
      <c r="C621" s="219"/>
      <c r="D621" s="219"/>
      <c r="E621" s="219"/>
      <c r="F621" s="219"/>
      <c r="G621" s="219"/>
      <c r="H621" s="219"/>
      <c r="I621" s="219"/>
      <c r="J621" s="219"/>
      <c r="K621" s="219"/>
      <c r="L621" s="219"/>
      <c r="M621" s="219"/>
      <c r="N621" s="219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19"/>
      <c r="Z621" s="219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19"/>
      <c r="AL621" s="219"/>
      <c r="AM621" s="219"/>
      <c r="AN621" s="219"/>
      <c r="AO621" s="219"/>
      <c r="AP621" s="219"/>
      <c r="AQ621" s="219"/>
      <c r="AR621" s="219"/>
      <c r="AS621" s="219"/>
      <c r="AT621" s="219"/>
      <c r="AU621" s="219"/>
      <c r="AV621" s="219"/>
      <c r="AW621" s="219"/>
    </row>
    <row r="622" spans="1:49">
      <c r="A622" s="219"/>
      <c r="B622" s="219"/>
      <c r="C622" s="219"/>
      <c r="D622" s="219"/>
      <c r="E622" s="219"/>
      <c r="F622" s="219"/>
      <c r="G622" s="219"/>
      <c r="H622" s="219"/>
      <c r="I622" s="219"/>
      <c r="J622" s="219"/>
      <c r="K622" s="219"/>
      <c r="L622" s="219"/>
      <c r="M622" s="219"/>
      <c r="N622" s="219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19"/>
      <c r="Z622" s="219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19"/>
      <c r="AL622" s="219"/>
      <c r="AM622" s="219"/>
      <c r="AN622" s="219"/>
      <c r="AO622" s="219"/>
      <c r="AP622" s="219"/>
      <c r="AQ622" s="219"/>
      <c r="AR622" s="219"/>
      <c r="AS622" s="219"/>
      <c r="AT622" s="219"/>
      <c r="AU622" s="219"/>
      <c r="AV622" s="219"/>
      <c r="AW622" s="219"/>
    </row>
    <row r="623" spans="1:49">
      <c r="A623" s="219"/>
      <c r="B623" s="219"/>
      <c r="C623" s="219"/>
      <c r="D623" s="219"/>
      <c r="E623" s="219"/>
      <c r="F623" s="219"/>
      <c r="G623" s="219"/>
      <c r="H623" s="219"/>
      <c r="I623" s="219"/>
      <c r="J623" s="219"/>
      <c r="K623" s="219"/>
      <c r="L623" s="219"/>
      <c r="M623" s="219"/>
      <c r="N623" s="219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19"/>
      <c r="Z623" s="219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19"/>
      <c r="AL623" s="219"/>
      <c r="AM623" s="219"/>
      <c r="AN623" s="219"/>
      <c r="AO623" s="219"/>
      <c r="AP623" s="219"/>
      <c r="AQ623" s="219"/>
      <c r="AR623" s="219"/>
      <c r="AS623" s="219"/>
      <c r="AT623" s="219"/>
      <c r="AU623" s="219"/>
      <c r="AV623" s="219"/>
      <c r="AW623" s="219"/>
    </row>
    <row r="624" spans="1:49">
      <c r="A624" s="219"/>
      <c r="B624" s="219"/>
      <c r="C624" s="219"/>
      <c r="D624" s="219"/>
      <c r="E624" s="219"/>
      <c r="F624" s="219"/>
      <c r="G624" s="219"/>
      <c r="H624" s="219"/>
      <c r="I624" s="219"/>
      <c r="J624" s="219"/>
      <c r="K624" s="219"/>
      <c r="L624" s="219"/>
      <c r="M624" s="219"/>
      <c r="N624" s="219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19"/>
      <c r="Z624" s="219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19"/>
      <c r="AL624" s="219"/>
      <c r="AM624" s="219"/>
      <c r="AN624" s="219"/>
      <c r="AO624" s="219"/>
      <c r="AP624" s="219"/>
      <c r="AQ624" s="219"/>
      <c r="AR624" s="219"/>
      <c r="AS624" s="219"/>
      <c r="AT624" s="219"/>
      <c r="AU624" s="219"/>
      <c r="AV624" s="219"/>
      <c r="AW624" s="219"/>
    </row>
    <row r="625" spans="1:49">
      <c r="A625" s="219"/>
      <c r="B625" s="219"/>
      <c r="C625" s="219"/>
      <c r="D625" s="219"/>
      <c r="E625" s="219"/>
      <c r="F625" s="219"/>
      <c r="G625" s="219"/>
      <c r="H625" s="219"/>
      <c r="I625" s="219"/>
      <c r="J625" s="219"/>
      <c r="K625" s="219"/>
      <c r="L625" s="219"/>
      <c r="M625" s="219"/>
      <c r="N625" s="219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19"/>
      <c r="Z625" s="219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19"/>
      <c r="AL625" s="219"/>
      <c r="AM625" s="219"/>
      <c r="AN625" s="219"/>
      <c r="AO625" s="219"/>
      <c r="AP625" s="219"/>
      <c r="AQ625" s="219"/>
      <c r="AR625" s="219"/>
      <c r="AS625" s="219"/>
      <c r="AT625" s="219"/>
      <c r="AU625" s="219"/>
      <c r="AV625" s="219"/>
      <c r="AW625" s="219"/>
    </row>
    <row r="626" spans="1:49">
      <c r="A626" s="219"/>
      <c r="B626" s="219"/>
      <c r="C626" s="219"/>
      <c r="D626" s="219"/>
      <c r="E626" s="219"/>
      <c r="F626" s="219"/>
      <c r="G626" s="219"/>
      <c r="H626" s="219"/>
      <c r="I626" s="219"/>
      <c r="J626" s="219"/>
      <c r="K626" s="219"/>
      <c r="L626" s="219"/>
      <c r="M626" s="219"/>
      <c r="N626" s="219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19"/>
      <c r="Z626" s="219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19"/>
      <c r="AL626" s="219"/>
      <c r="AM626" s="219"/>
      <c r="AN626" s="219"/>
      <c r="AO626" s="219"/>
      <c r="AP626" s="219"/>
      <c r="AQ626" s="219"/>
      <c r="AR626" s="219"/>
      <c r="AS626" s="219"/>
      <c r="AT626" s="219"/>
      <c r="AU626" s="219"/>
      <c r="AV626" s="219"/>
      <c r="AW626" s="219"/>
    </row>
    <row r="627" spans="1:49">
      <c r="A627" s="219"/>
      <c r="B627" s="219"/>
      <c r="C627" s="219"/>
      <c r="D627" s="219"/>
      <c r="E627" s="219"/>
      <c r="F627" s="219"/>
      <c r="G627" s="219"/>
      <c r="H627" s="219"/>
      <c r="I627" s="219"/>
      <c r="J627" s="219"/>
      <c r="K627" s="219"/>
      <c r="L627" s="219"/>
      <c r="M627" s="219"/>
      <c r="N627" s="219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19"/>
      <c r="Z627" s="219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19"/>
      <c r="AL627" s="219"/>
      <c r="AM627" s="219"/>
      <c r="AN627" s="219"/>
      <c r="AO627" s="219"/>
      <c r="AP627" s="219"/>
      <c r="AQ627" s="219"/>
      <c r="AR627" s="219"/>
      <c r="AS627" s="219"/>
      <c r="AT627" s="219"/>
      <c r="AU627" s="219"/>
      <c r="AV627" s="219"/>
      <c r="AW627" s="219"/>
    </row>
    <row r="628" spans="1:49">
      <c r="A628" s="219"/>
      <c r="B628" s="219"/>
      <c r="C628" s="219"/>
      <c r="D628" s="219"/>
      <c r="E628" s="219"/>
      <c r="F628" s="219"/>
      <c r="G628" s="219"/>
      <c r="H628" s="219"/>
      <c r="I628" s="219"/>
      <c r="J628" s="219"/>
      <c r="K628" s="219"/>
      <c r="L628" s="219"/>
      <c r="M628" s="219"/>
      <c r="N628" s="219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19"/>
      <c r="Z628" s="219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19"/>
      <c r="AL628" s="219"/>
      <c r="AM628" s="219"/>
      <c r="AN628" s="219"/>
      <c r="AO628" s="219"/>
      <c r="AP628" s="219"/>
      <c r="AQ628" s="219"/>
      <c r="AR628" s="219"/>
      <c r="AS628" s="219"/>
      <c r="AT628" s="219"/>
      <c r="AU628" s="219"/>
      <c r="AV628" s="219"/>
      <c r="AW628" s="219"/>
    </row>
    <row r="629" spans="1:49">
      <c r="A629" s="219"/>
      <c r="B629" s="219"/>
      <c r="C629" s="219"/>
      <c r="D629" s="219"/>
      <c r="E629" s="219"/>
      <c r="F629" s="219"/>
      <c r="G629" s="219"/>
      <c r="H629" s="219"/>
      <c r="I629" s="219"/>
      <c r="J629" s="219"/>
      <c r="K629" s="219"/>
      <c r="L629" s="219"/>
      <c r="M629" s="219"/>
      <c r="N629" s="219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19"/>
      <c r="Z629" s="219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19"/>
      <c r="AL629" s="219"/>
      <c r="AM629" s="219"/>
      <c r="AN629" s="219"/>
      <c r="AO629" s="219"/>
      <c r="AP629" s="219"/>
      <c r="AQ629" s="219"/>
      <c r="AR629" s="219"/>
      <c r="AS629" s="219"/>
      <c r="AT629" s="219"/>
      <c r="AU629" s="219"/>
      <c r="AV629" s="219"/>
      <c r="AW629" s="219"/>
    </row>
    <row r="630" spans="1:49">
      <c r="A630" s="219"/>
      <c r="B630" s="219"/>
      <c r="C630" s="219"/>
      <c r="D630" s="219"/>
      <c r="E630" s="219"/>
      <c r="F630" s="219"/>
      <c r="G630" s="219"/>
      <c r="H630" s="219"/>
      <c r="I630" s="219"/>
      <c r="J630" s="219"/>
      <c r="K630" s="219"/>
      <c r="L630" s="219"/>
      <c r="M630" s="219"/>
      <c r="N630" s="219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19"/>
      <c r="Z630" s="219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19"/>
      <c r="AL630" s="219"/>
      <c r="AM630" s="219"/>
      <c r="AN630" s="219"/>
      <c r="AO630" s="219"/>
      <c r="AP630" s="219"/>
      <c r="AQ630" s="219"/>
      <c r="AR630" s="219"/>
      <c r="AS630" s="219"/>
      <c r="AT630" s="219"/>
      <c r="AU630" s="219"/>
      <c r="AV630" s="219"/>
      <c r="AW630" s="219"/>
    </row>
    <row r="631" spans="1:49">
      <c r="A631" s="219"/>
      <c r="B631" s="219"/>
      <c r="C631" s="219"/>
      <c r="D631" s="219"/>
      <c r="E631" s="219"/>
      <c r="F631" s="219"/>
      <c r="G631" s="219"/>
      <c r="H631" s="219"/>
      <c r="I631" s="219"/>
      <c r="J631" s="219"/>
      <c r="K631" s="219"/>
      <c r="L631" s="219"/>
      <c r="M631" s="219"/>
      <c r="N631" s="219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19"/>
      <c r="Z631" s="219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19"/>
      <c r="AL631" s="219"/>
      <c r="AM631" s="219"/>
      <c r="AN631" s="219"/>
      <c r="AO631" s="219"/>
      <c r="AP631" s="219"/>
      <c r="AQ631" s="219"/>
      <c r="AR631" s="219"/>
      <c r="AS631" s="219"/>
      <c r="AT631" s="219"/>
      <c r="AU631" s="219"/>
      <c r="AV631" s="219"/>
      <c r="AW631" s="219"/>
    </row>
    <row r="632" spans="1:49">
      <c r="A632" s="219"/>
      <c r="B632" s="219"/>
      <c r="C632" s="219"/>
      <c r="D632" s="219"/>
      <c r="E632" s="219"/>
      <c r="F632" s="219"/>
      <c r="G632" s="219"/>
      <c r="H632" s="219"/>
      <c r="I632" s="219"/>
      <c r="J632" s="219"/>
      <c r="K632" s="219"/>
      <c r="L632" s="219"/>
      <c r="M632" s="219"/>
      <c r="N632" s="219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19"/>
      <c r="Z632" s="219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19"/>
      <c r="AL632" s="219"/>
      <c r="AM632" s="219"/>
      <c r="AN632" s="219"/>
      <c r="AO632" s="219"/>
      <c r="AP632" s="219"/>
      <c r="AQ632" s="219"/>
      <c r="AR632" s="219"/>
      <c r="AS632" s="219"/>
      <c r="AT632" s="219"/>
      <c r="AU632" s="219"/>
      <c r="AV632" s="219"/>
      <c r="AW632" s="219"/>
    </row>
    <row r="633" spans="1:49">
      <c r="A633" s="219"/>
      <c r="B633" s="219"/>
      <c r="C633" s="219"/>
      <c r="D633" s="219"/>
      <c r="E633" s="219"/>
      <c r="F633" s="219"/>
      <c r="G633" s="219"/>
      <c r="H633" s="219"/>
      <c r="I633" s="219"/>
      <c r="J633" s="219"/>
      <c r="K633" s="219"/>
      <c r="L633" s="219"/>
      <c r="M633" s="219"/>
      <c r="N633" s="219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19"/>
      <c r="Z633" s="219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19"/>
      <c r="AL633" s="219"/>
      <c r="AM633" s="219"/>
      <c r="AN633" s="219"/>
      <c r="AO633" s="219"/>
      <c r="AP633" s="219"/>
      <c r="AQ633" s="219"/>
      <c r="AR633" s="219"/>
      <c r="AS633" s="219"/>
      <c r="AT633" s="219"/>
      <c r="AU633" s="219"/>
      <c r="AV633" s="219"/>
      <c r="AW633" s="219"/>
    </row>
    <row r="634" spans="1:49">
      <c r="A634" s="219"/>
      <c r="B634" s="219"/>
      <c r="C634" s="219"/>
      <c r="D634" s="219"/>
      <c r="E634" s="219"/>
      <c r="F634" s="219"/>
      <c r="G634" s="219"/>
      <c r="H634" s="219"/>
      <c r="I634" s="219"/>
      <c r="J634" s="219"/>
      <c r="K634" s="219"/>
      <c r="L634" s="219"/>
      <c r="M634" s="219"/>
      <c r="N634" s="219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19"/>
      <c r="Z634" s="219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19"/>
      <c r="AL634" s="219"/>
      <c r="AM634" s="219"/>
      <c r="AN634" s="219"/>
      <c r="AO634" s="219"/>
      <c r="AP634" s="219"/>
      <c r="AQ634" s="219"/>
      <c r="AR634" s="219"/>
      <c r="AS634" s="219"/>
      <c r="AT634" s="219"/>
      <c r="AU634" s="219"/>
      <c r="AV634" s="219"/>
      <c r="AW634" s="219"/>
    </row>
    <row r="635" spans="1:49">
      <c r="A635" s="219"/>
      <c r="B635" s="219"/>
      <c r="C635" s="219"/>
      <c r="D635" s="219"/>
      <c r="E635" s="219"/>
      <c r="F635" s="219"/>
      <c r="G635" s="219"/>
      <c r="H635" s="219"/>
      <c r="I635" s="219"/>
      <c r="J635" s="219"/>
      <c r="K635" s="219"/>
      <c r="L635" s="219"/>
      <c r="M635" s="219"/>
      <c r="N635" s="219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19"/>
      <c r="Z635" s="219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19"/>
      <c r="AL635" s="219"/>
      <c r="AM635" s="219"/>
      <c r="AN635" s="219"/>
      <c r="AO635" s="219"/>
      <c r="AP635" s="219"/>
      <c r="AQ635" s="219"/>
      <c r="AR635" s="219"/>
      <c r="AS635" s="219"/>
      <c r="AT635" s="219"/>
      <c r="AU635" s="219"/>
      <c r="AV635" s="219"/>
      <c r="AW635" s="219"/>
    </row>
    <row r="636" spans="1:49">
      <c r="A636" s="219"/>
      <c r="B636" s="219"/>
      <c r="C636" s="219"/>
      <c r="D636" s="219"/>
      <c r="E636" s="219"/>
      <c r="F636" s="219"/>
      <c r="G636" s="219"/>
      <c r="H636" s="219"/>
      <c r="I636" s="219"/>
      <c r="J636" s="219"/>
      <c r="K636" s="219"/>
      <c r="L636" s="219"/>
      <c r="M636" s="219"/>
      <c r="N636" s="219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19"/>
      <c r="Z636" s="219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19"/>
      <c r="AL636" s="219"/>
      <c r="AM636" s="219"/>
      <c r="AN636" s="219"/>
      <c r="AO636" s="219"/>
      <c r="AP636" s="219"/>
      <c r="AQ636" s="219"/>
      <c r="AR636" s="219"/>
      <c r="AS636" s="219"/>
      <c r="AT636" s="219"/>
      <c r="AU636" s="219"/>
      <c r="AV636" s="219"/>
      <c r="AW636" s="219"/>
    </row>
    <row r="637" spans="1:49">
      <c r="A637" s="219"/>
      <c r="B637" s="219"/>
      <c r="C637" s="219"/>
      <c r="D637" s="219"/>
      <c r="E637" s="219"/>
      <c r="F637" s="219"/>
      <c r="G637" s="219"/>
      <c r="H637" s="219"/>
      <c r="I637" s="219"/>
      <c r="J637" s="219"/>
      <c r="K637" s="219"/>
      <c r="L637" s="219"/>
      <c r="M637" s="219"/>
      <c r="N637" s="219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19"/>
      <c r="Z637" s="219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19"/>
      <c r="AL637" s="219"/>
      <c r="AM637" s="219"/>
      <c r="AN637" s="219"/>
      <c r="AO637" s="219"/>
      <c r="AP637" s="219"/>
      <c r="AQ637" s="219"/>
      <c r="AR637" s="219"/>
      <c r="AS637" s="219"/>
      <c r="AT637" s="219"/>
      <c r="AU637" s="219"/>
      <c r="AV637" s="219"/>
      <c r="AW637" s="219"/>
    </row>
    <row r="638" spans="1:49">
      <c r="A638" s="219"/>
      <c r="B638" s="219"/>
      <c r="C638" s="219"/>
      <c r="D638" s="219"/>
      <c r="E638" s="219"/>
      <c r="F638" s="219"/>
      <c r="G638" s="219"/>
      <c r="H638" s="219"/>
      <c r="I638" s="219"/>
      <c r="J638" s="219"/>
      <c r="K638" s="219"/>
      <c r="L638" s="219"/>
      <c r="M638" s="219"/>
      <c r="N638" s="219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19"/>
      <c r="Z638" s="219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19"/>
      <c r="AL638" s="219"/>
      <c r="AM638" s="219"/>
      <c r="AN638" s="219"/>
      <c r="AO638" s="219"/>
      <c r="AP638" s="219"/>
      <c r="AQ638" s="219"/>
      <c r="AR638" s="219"/>
      <c r="AS638" s="219"/>
      <c r="AT638" s="219"/>
      <c r="AU638" s="219"/>
      <c r="AV638" s="219"/>
      <c r="AW638" s="219"/>
    </row>
    <row r="639" spans="1:49">
      <c r="A639" s="219"/>
      <c r="B639" s="219"/>
      <c r="C639" s="219"/>
      <c r="D639" s="219"/>
      <c r="E639" s="219"/>
      <c r="F639" s="219"/>
      <c r="G639" s="219"/>
      <c r="H639" s="219"/>
      <c r="I639" s="219"/>
      <c r="J639" s="219"/>
      <c r="K639" s="219"/>
      <c r="L639" s="219"/>
      <c r="M639" s="219"/>
      <c r="N639" s="219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19"/>
      <c r="Z639" s="219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19"/>
      <c r="AL639" s="219"/>
      <c r="AM639" s="219"/>
      <c r="AN639" s="219"/>
      <c r="AO639" s="219"/>
      <c r="AP639" s="219"/>
      <c r="AQ639" s="219"/>
      <c r="AR639" s="219"/>
      <c r="AS639" s="219"/>
      <c r="AT639" s="219"/>
      <c r="AU639" s="219"/>
      <c r="AV639" s="219"/>
      <c r="AW639" s="219"/>
    </row>
    <row r="640" spans="1:49">
      <c r="A640" s="219"/>
      <c r="B640" s="219"/>
      <c r="C640" s="219"/>
      <c r="D640" s="219"/>
      <c r="E640" s="219"/>
      <c r="F640" s="219"/>
      <c r="G640" s="219"/>
      <c r="H640" s="219"/>
      <c r="I640" s="219"/>
      <c r="J640" s="219"/>
      <c r="K640" s="219"/>
      <c r="L640" s="219"/>
      <c r="M640" s="219"/>
      <c r="N640" s="219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19"/>
      <c r="Z640" s="219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19"/>
      <c r="AL640" s="219"/>
      <c r="AM640" s="219"/>
      <c r="AN640" s="219"/>
      <c r="AO640" s="219"/>
      <c r="AP640" s="219"/>
      <c r="AQ640" s="219"/>
      <c r="AR640" s="219"/>
      <c r="AS640" s="219"/>
      <c r="AT640" s="219"/>
      <c r="AU640" s="219"/>
      <c r="AV640" s="219"/>
      <c r="AW640" s="219"/>
    </row>
    <row r="641" spans="1:49">
      <c r="A641" s="219"/>
      <c r="B641" s="219"/>
      <c r="C641" s="219"/>
      <c r="D641" s="219"/>
      <c r="E641" s="219"/>
      <c r="F641" s="219"/>
      <c r="G641" s="219"/>
      <c r="H641" s="219"/>
      <c r="I641" s="219"/>
      <c r="J641" s="219"/>
      <c r="K641" s="219"/>
      <c r="L641" s="219"/>
      <c r="M641" s="219"/>
      <c r="N641" s="219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19"/>
      <c r="Z641" s="219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19"/>
      <c r="AL641" s="219"/>
      <c r="AM641" s="219"/>
      <c r="AN641" s="219"/>
      <c r="AO641" s="219"/>
      <c r="AP641" s="219"/>
      <c r="AQ641" s="219"/>
      <c r="AR641" s="219"/>
      <c r="AS641" s="219"/>
      <c r="AT641" s="219"/>
      <c r="AU641" s="219"/>
      <c r="AV641" s="219"/>
      <c r="AW641" s="219"/>
    </row>
    <row r="642" spans="1:49">
      <c r="A642" s="219"/>
      <c r="B642" s="219"/>
      <c r="C642" s="219"/>
      <c r="D642" s="219"/>
      <c r="E642" s="219"/>
      <c r="F642" s="219"/>
      <c r="G642" s="219"/>
      <c r="H642" s="219"/>
      <c r="I642" s="219"/>
      <c r="J642" s="219"/>
      <c r="K642" s="219"/>
      <c r="L642" s="219"/>
      <c r="M642" s="219"/>
      <c r="N642" s="219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19"/>
      <c r="Z642" s="219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19"/>
      <c r="AL642" s="219"/>
      <c r="AM642" s="219"/>
      <c r="AN642" s="219"/>
      <c r="AO642" s="219"/>
      <c r="AP642" s="219"/>
      <c r="AQ642" s="219"/>
      <c r="AR642" s="219"/>
      <c r="AS642" s="219"/>
      <c r="AT642" s="219"/>
      <c r="AU642" s="219"/>
      <c r="AV642" s="219"/>
      <c r="AW642" s="219"/>
    </row>
    <row r="643" spans="1:49">
      <c r="A643" s="219"/>
      <c r="B643" s="219"/>
      <c r="C643" s="219"/>
      <c r="D643" s="219"/>
      <c r="E643" s="219"/>
      <c r="F643" s="219"/>
      <c r="G643" s="219"/>
      <c r="H643" s="219"/>
      <c r="I643" s="219"/>
      <c r="J643" s="219"/>
      <c r="K643" s="219"/>
      <c r="L643" s="219"/>
      <c r="M643" s="219"/>
      <c r="N643" s="219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19"/>
      <c r="Z643" s="219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19"/>
      <c r="AL643" s="219"/>
      <c r="AM643" s="219"/>
      <c r="AN643" s="219"/>
      <c r="AO643" s="219"/>
      <c r="AP643" s="219"/>
      <c r="AQ643" s="219"/>
      <c r="AR643" s="219"/>
      <c r="AS643" s="219"/>
      <c r="AT643" s="219"/>
      <c r="AU643" s="219"/>
      <c r="AV643" s="219"/>
      <c r="AW643" s="219"/>
    </row>
    <row r="644" spans="1:49">
      <c r="A644" s="219"/>
      <c r="B644" s="219"/>
      <c r="C644" s="219"/>
      <c r="D644" s="219"/>
      <c r="E644" s="219"/>
      <c r="F644" s="219"/>
      <c r="G644" s="219"/>
      <c r="H644" s="219"/>
      <c r="I644" s="219"/>
      <c r="J644" s="219"/>
      <c r="K644" s="219"/>
      <c r="L644" s="219"/>
      <c r="M644" s="219"/>
      <c r="N644" s="219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19"/>
      <c r="Z644" s="219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19"/>
      <c r="AL644" s="219"/>
      <c r="AM644" s="219"/>
      <c r="AN644" s="219"/>
      <c r="AO644" s="219"/>
      <c r="AP644" s="219"/>
      <c r="AQ644" s="219"/>
      <c r="AR644" s="219"/>
      <c r="AS644" s="219"/>
      <c r="AT644" s="219"/>
      <c r="AU644" s="219"/>
      <c r="AV644" s="219"/>
      <c r="AW644" s="219"/>
    </row>
    <row r="645" spans="1:49">
      <c r="A645" s="219"/>
      <c r="B645" s="219"/>
      <c r="C645" s="219"/>
      <c r="D645" s="219"/>
      <c r="E645" s="219"/>
      <c r="F645" s="219"/>
      <c r="G645" s="219"/>
      <c r="H645" s="219"/>
      <c r="I645" s="219"/>
      <c r="J645" s="219"/>
      <c r="K645" s="219"/>
      <c r="L645" s="219"/>
      <c r="M645" s="219"/>
      <c r="N645" s="219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19"/>
      <c r="Z645" s="219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19"/>
      <c r="AL645" s="219"/>
      <c r="AM645" s="219"/>
      <c r="AN645" s="219"/>
      <c r="AO645" s="219"/>
      <c r="AP645" s="219"/>
      <c r="AQ645" s="219"/>
      <c r="AR645" s="219"/>
      <c r="AS645" s="219"/>
      <c r="AT645" s="219"/>
      <c r="AU645" s="219"/>
      <c r="AV645" s="219"/>
      <c r="AW645" s="219"/>
    </row>
    <row r="646" spans="1:49">
      <c r="A646" s="219"/>
      <c r="B646" s="219"/>
      <c r="C646" s="219"/>
      <c r="D646" s="219"/>
      <c r="E646" s="219"/>
      <c r="F646" s="219"/>
      <c r="G646" s="219"/>
      <c r="H646" s="219"/>
      <c r="I646" s="219"/>
      <c r="J646" s="219"/>
      <c r="K646" s="219"/>
      <c r="L646" s="219"/>
      <c r="M646" s="219"/>
      <c r="N646" s="219"/>
      <c r="O646" s="219"/>
      <c r="P646" s="219"/>
      <c r="Q646" s="219"/>
      <c r="R646" s="219"/>
      <c r="S646" s="219"/>
      <c r="T646" s="219"/>
      <c r="U646" s="219"/>
      <c r="V646" s="219"/>
      <c r="W646" s="219"/>
      <c r="X646" s="219"/>
      <c r="Y646" s="219"/>
      <c r="Z646" s="219"/>
      <c r="AA646" s="219"/>
      <c r="AB646" s="219"/>
      <c r="AC646" s="219"/>
      <c r="AD646" s="219"/>
      <c r="AE646" s="219"/>
      <c r="AF646" s="219"/>
      <c r="AG646" s="219"/>
      <c r="AH646" s="219"/>
      <c r="AI646" s="219"/>
      <c r="AJ646" s="219"/>
      <c r="AK646" s="219"/>
      <c r="AL646" s="219"/>
      <c r="AM646" s="219"/>
      <c r="AN646" s="219"/>
      <c r="AO646" s="219"/>
      <c r="AP646" s="219"/>
      <c r="AQ646" s="219"/>
      <c r="AR646" s="219"/>
      <c r="AS646" s="219"/>
      <c r="AT646" s="219"/>
      <c r="AU646" s="219"/>
      <c r="AV646" s="219"/>
      <c r="AW646" s="219"/>
    </row>
    <row r="647" spans="1:49">
      <c r="A647" s="219"/>
      <c r="B647" s="219"/>
      <c r="C647" s="219"/>
      <c r="D647" s="219"/>
      <c r="E647" s="219"/>
      <c r="F647" s="219"/>
      <c r="G647" s="219"/>
      <c r="H647" s="219"/>
      <c r="I647" s="219"/>
      <c r="J647" s="219"/>
      <c r="K647" s="219"/>
      <c r="L647" s="219"/>
      <c r="M647" s="219"/>
      <c r="N647" s="219"/>
      <c r="O647" s="219"/>
      <c r="P647" s="219"/>
      <c r="Q647" s="219"/>
      <c r="R647" s="219"/>
      <c r="S647" s="219"/>
      <c r="T647" s="219"/>
      <c r="U647" s="219"/>
      <c r="V647" s="219"/>
      <c r="W647" s="219"/>
      <c r="X647" s="219"/>
      <c r="Y647" s="219"/>
      <c r="Z647" s="219"/>
      <c r="AA647" s="219"/>
      <c r="AB647" s="219"/>
      <c r="AC647" s="219"/>
      <c r="AD647" s="219"/>
      <c r="AE647" s="219"/>
      <c r="AF647" s="219"/>
      <c r="AG647" s="219"/>
      <c r="AH647" s="219"/>
      <c r="AI647" s="219"/>
      <c r="AJ647" s="219"/>
      <c r="AK647" s="219"/>
      <c r="AL647" s="219"/>
      <c r="AM647" s="219"/>
      <c r="AN647" s="219"/>
      <c r="AO647" s="219"/>
      <c r="AP647" s="219"/>
      <c r="AQ647" s="219"/>
      <c r="AR647" s="219"/>
      <c r="AS647" s="219"/>
      <c r="AT647" s="219"/>
      <c r="AU647" s="219"/>
      <c r="AV647" s="219"/>
      <c r="AW647" s="219"/>
    </row>
    <row r="648" spans="1:49">
      <c r="A648" s="219"/>
      <c r="B648" s="219"/>
      <c r="C648" s="219"/>
      <c r="D648" s="219"/>
      <c r="E648" s="219"/>
      <c r="F648" s="219"/>
      <c r="G648" s="219"/>
      <c r="H648" s="219"/>
      <c r="I648" s="219"/>
      <c r="J648" s="219"/>
      <c r="K648" s="219"/>
      <c r="L648" s="219"/>
      <c r="M648" s="219"/>
      <c r="N648" s="219"/>
      <c r="O648" s="219"/>
      <c r="P648" s="219"/>
      <c r="Q648" s="219"/>
      <c r="R648" s="219"/>
      <c r="S648" s="219"/>
      <c r="T648" s="219"/>
      <c r="U648" s="219"/>
      <c r="V648" s="219"/>
      <c r="W648" s="219"/>
      <c r="X648" s="219"/>
      <c r="Y648" s="219"/>
      <c r="Z648" s="219"/>
      <c r="AA648" s="219"/>
      <c r="AB648" s="219"/>
      <c r="AC648" s="219"/>
      <c r="AD648" s="219"/>
      <c r="AE648" s="219"/>
      <c r="AF648" s="219"/>
      <c r="AG648" s="219"/>
      <c r="AH648" s="219"/>
      <c r="AI648" s="219"/>
      <c r="AJ648" s="219"/>
      <c r="AK648" s="219"/>
      <c r="AL648" s="219"/>
      <c r="AM648" s="219"/>
      <c r="AN648" s="219"/>
      <c r="AO648" s="219"/>
      <c r="AP648" s="219"/>
      <c r="AQ648" s="219"/>
      <c r="AR648" s="219"/>
      <c r="AS648" s="219"/>
      <c r="AT648" s="219"/>
      <c r="AU648" s="219"/>
      <c r="AV648" s="219"/>
      <c r="AW648" s="219"/>
    </row>
    <row r="649" spans="1:49">
      <c r="A649" s="219"/>
      <c r="B649" s="219"/>
      <c r="C649" s="219"/>
      <c r="D649" s="219"/>
      <c r="E649" s="219"/>
      <c r="F649" s="219"/>
      <c r="G649" s="219"/>
      <c r="H649" s="219"/>
      <c r="I649" s="219"/>
      <c r="J649" s="219"/>
      <c r="K649" s="219"/>
      <c r="L649" s="219"/>
      <c r="M649" s="219"/>
      <c r="N649" s="219"/>
      <c r="O649" s="219"/>
      <c r="P649" s="219"/>
      <c r="Q649" s="219"/>
      <c r="R649" s="219"/>
      <c r="S649" s="219"/>
      <c r="T649" s="219"/>
      <c r="U649" s="219"/>
      <c r="V649" s="219"/>
      <c r="W649" s="219"/>
      <c r="X649" s="219"/>
      <c r="Y649" s="219"/>
      <c r="Z649" s="219"/>
      <c r="AA649" s="219"/>
      <c r="AB649" s="219"/>
      <c r="AC649" s="219"/>
      <c r="AD649" s="219"/>
      <c r="AE649" s="219"/>
      <c r="AF649" s="219"/>
      <c r="AG649" s="219"/>
      <c r="AH649" s="219"/>
      <c r="AI649" s="219"/>
      <c r="AJ649" s="219"/>
      <c r="AK649" s="219"/>
      <c r="AL649" s="219"/>
      <c r="AM649" s="219"/>
      <c r="AN649" s="219"/>
      <c r="AO649" s="219"/>
      <c r="AP649" s="219"/>
      <c r="AQ649" s="219"/>
      <c r="AR649" s="219"/>
      <c r="AS649" s="219"/>
      <c r="AT649" s="219"/>
      <c r="AU649" s="219"/>
      <c r="AV649" s="219"/>
      <c r="AW649" s="219"/>
    </row>
    <row r="650" spans="1:49">
      <c r="A650" s="219"/>
      <c r="B650" s="219"/>
      <c r="C650" s="219"/>
      <c r="D650" s="219"/>
      <c r="E650" s="219"/>
      <c r="F650" s="219"/>
      <c r="G650" s="219"/>
      <c r="H650" s="219"/>
      <c r="I650" s="219"/>
      <c r="J650" s="219"/>
      <c r="K650" s="219"/>
      <c r="L650" s="219"/>
      <c r="M650" s="219"/>
      <c r="N650" s="219"/>
      <c r="O650" s="219"/>
      <c r="P650" s="219"/>
      <c r="Q650" s="219"/>
      <c r="R650" s="219"/>
      <c r="S650" s="219"/>
      <c r="T650" s="219"/>
      <c r="U650" s="219"/>
      <c r="V650" s="219"/>
      <c r="W650" s="219"/>
      <c r="X650" s="219"/>
      <c r="Y650" s="219"/>
      <c r="Z650" s="219"/>
      <c r="AA650" s="219"/>
      <c r="AB650" s="219"/>
      <c r="AC650" s="219"/>
      <c r="AD650" s="219"/>
      <c r="AE650" s="219"/>
      <c r="AF650" s="219"/>
      <c r="AG650" s="219"/>
      <c r="AH650" s="219"/>
      <c r="AI650" s="219"/>
      <c r="AJ650" s="219"/>
      <c r="AK650" s="219"/>
      <c r="AL650" s="219"/>
      <c r="AM650" s="219"/>
      <c r="AN650" s="219"/>
      <c r="AO650" s="219"/>
      <c r="AP650" s="219"/>
      <c r="AQ650" s="219"/>
      <c r="AR650" s="219"/>
      <c r="AS650" s="219"/>
      <c r="AT650" s="219"/>
      <c r="AU650" s="219"/>
      <c r="AV650" s="219"/>
      <c r="AW650" s="219"/>
    </row>
    <row r="651" spans="1:49">
      <c r="A651" s="219"/>
      <c r="B651" s="219"/>
      <c r="C651" s="219"/>
      <c r="D651" s="219"/>
      <c r="E651" s="219"/>
      <c r="F651" s="219"/>
      <c r="G651" s="219"/>
      <c r="H651" s="219"/>
      <c r="I651" s="219"/>
      <c r="J651" s="219"/>
      <c r="K651" s="219"/>
      <c r="L651" s="219"/>
      <c r="M651" s="219"/>
      <c r="N651" s="219"/>
      <c r="O651" s="219"/>
      <c r="P651" s="219"/>
      <c r="Q651" s="219"/>
      <c r="R651" s="219"/>
      <c r="S651" s="219"/>
      <c r="T651" s="219"/>
      <c r="U651" s="219"/>
      <c r="V651" s="219"/>
      <c r="W651" s="219"/>
      <c r="X651" s="219"/>
      <c r="Y651" s="219"/>
      <c r="Z651" s="219"/>
      <c r="AA651" s="219"/>
      <c r="AB651" s="219"/>
      <c r="AC651" s="219"/>
      <c r="AD651" s="219"/>
      <c r="AE651" s="219"/>
      <c r="AF651" s="219"/>
      <c r="AG651" s="219"/>
      <c r="AH651" s="219"/>
      <c r="AI651" s="219"/>
      <c r="AJ651" s="219"/>
      <c r="AK651" s="219"/>
      <c r="AL651" s="219"/>
      <c r="AM651" s="219"/>
      <c r="AN651" s="219"/>
      <c r="AO651" s="219"/>
      <c r="AP651" s="219"/>
      <c r="AQ651" s="219"/>
      <c r="AR651" s="219"/>
      <c r="AS651" s="219"/>
      <c r="AT651" s="219"/>
      <c r="AU651" s="219"/>
      <c r="AV651" s="219"/>
      <c r="AW651" s="219"/>
    </row>
    <row r="652" spans="1:49">
      <c r="A652" s="219"/>
      <c r="B652" s="219"/>
      <c r="C652" s="219"/>
      <c r="D652" s="219"/>
      <c r="E652" s="219"/>
      <c r="F652" s="219"/>
      <c r="G652" s="219"/>
      <c r="H652" s="219"/>
      <c r="I652" s="219"/>
      <c r="J652" s="219"/>
      <c r="K652" s="219"/>
      <c r="L652" s="219"/>
      <c r="M652" s="219"/>
      <c r="N652" s="219"/>
      <c r="O652" s="219"/>
      <c r="P652" s="219"/>
      <c r="Q652" s="219"/>
      <c r="R652" s="219"/>
      <c r="S652" s="219"/>
      <c r="T652" s="219"/>
      <c r="U652" s="219"/>
      <c r="V652" s="219"/>
      <c r="W652" s="219"/>
      <c r="X652" s="219"/>
      <c r="Y652" s="219"/>
      <c r="Z652" s="219"/>
      <c r="AA652" s="219"/>
      <c r="AB652" s="219"/>
      <c r="AC652" s="219"/>
      <c r="AD652" s="219"/>
      <c r="AE652" s="219"/>
      <c r="AF652" s="219"/>
      <c r="AG652" s="219"/>
      <c r="AH652" s="219"/>
      <c r="AI652" s="219"/>
      <c r="AJ652" s="219"/>
      <c r="AK652" s="219"/>
      <c r="AL652" s="219"/>
      <c r="AM652" s="219"/>
      <c r="AN652" s="219"/>
      <c r="AO652" s="219"/>
      <c r="AP652" s="219"/>
      <c r="AQ652" s="219"/>
      <c r="AR652" s="219"/>
      <c r="AS652" s="219"/>
      <c r="AT652" s="219"/>
      <c r="AU652" s="219"/>
      <c r="AV652" s="219"/>
      <c r="AW652" s="219"/>
    </row>
    <row r="653" spans="1:49">
      <c r="A653" s="219"/>
      <c r="B653" s="219"/>
      <c r="C653" s="219"/>
      <c r="D653" s="219"/>
      <c r="E653" s="219"/>
      <c r="F653" s="219"/>
      <c r="G653" s="219"/>
      <c r="H653" s="219"/>
      <c r="I653" s="219"/>
      <c r="J653" s="219"/>
      <c r="K653" s="219"/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19"/>
      <c r="Z653" s="219"/>
      <c r="AA653" s="219"/>
      <c r="AB653" s="219"/>
      <c r="AC653" s="219"/>
      <c r="AD653" s="219"/>
      <c r="AE653" s="219"/>
      <c r="AF653" s="219"/>
      <c r="AG653" s="219"/>
      <c r="AH653" s="219"/>
      <c r="AI653" s="219"/>
      <c r="AJ653" s="219"/>
      <c r="AK653" s="219"/>
      <c r="AL653" s="219"/>
      <c r="AM653" s="219"/>
      <c r="AN653" s="219"/>
      <c r="AO653" s="219"/>
      <c r="AP653" s="219"/>
      <c r="AQ653" s="219"/>
      <c r="AR653" s="219"/>
      <c r="AS653" s="219"/>
      <c r="AT653" s="219"/>
      <c r="AU653" s="219"/>
      <c r="AV653" s="219"/>
      <c r="AW653" s="219"/>
    </row>
    <row r="654" spans="1:49">
      <c r="A654" s="219"/>
      <c r="B654" s="219"/>
      <c r="C654" s="219"/>
      <c r="D654" s="219"/>
      <c r="E654" s="219"/>
      <c r="F654" s="219"/>
      <c r="G654" s="219"/>
      <c r="H654" s="219"/>
      <c r="I654" s="219"/>
      <c r="J654" s="219"/>
      <c r="K654" s="219"/>
      <c r="L654" s="219"/>
      <c r="M654" s="219"/>
      <c r="N654" s="219"/>
      <c r="O654" s="219"/>
      <c r="P654" s="219"/>
      <c r="Q654" s="219"/>
      <c r="R654" s="219"/>
      <c r="S654" s="219"/>
      <c r="T654" s="219"/>
      <c r="U654" s="219"/>
      <c r="V654" s="219"/>
      <c r="W654" s="219"/>
      <c r="X654" s="219"/>
      <c r="Y654" s="219"/>
      <c r="Z654" s="219"/>
      <c r="AA654" s="219"/>
      <c r="AB654" s="219"/>
      <c r="AC654" s="219"/>
      <c r="AD654" s="219"/>
      <c r="AE654" s="219"/>
      <c r="AF654" s="219"/>
      <c r="AG654" s="219"/>
      <c r="AH654" s="219"/>
      <c r="AI654" s="219"/>
      <c r="AJ654" s="219"/>
      <c r="AK654" s="219"/>
      <c r="AL654" s="219"/>
      <c r="AM654" s="219"/>
      <c r="AN654" s="219"/>
      <c r="AO654" s="219"/>
      <c r="AP654" s="219"/>
      <c r="AQ654" s="219"/>
      <c r="AR654" s="219"/>
      <c r="AS654" s="219"/>
      <c r="AT654" s="219"/>
      <c r="AU654" s="219"/>
      <c r="AV654" s="219"/>
      <c r="AW654" s="219"/>
    </row>
    <row r="655" spans="1:49">
      <c r="A655" s="219"/>
      <c r="B655" s="219"/>
      <c r="C655" s="219"/>
      <c r="D655" s="219"/>
      <c r="E655" s="219"/>
      <c r="F655" s="219"/>
      <c r="G655" s="219"/>
      <c r="H655" s="219"/>
      <c r="I655" s="219"/>
      <c r="J655" s="219"/>
      <c r="K655" s="219"/>
      <c r="L655" s="219"/>
      <c r="M655" s="219"/>
      <c r="N655" s="219"/>
      <c r="O655" s="219"/>
      <c r="P655" s="219"/>
      <c r="Q655" s="219"/>
      <c r="R655" s="219"/>
      <c r="S655" s="219"/>
      <c r="T655" s="219"/>
      <c r="U655" s="219"/>
      <c r="V655" s="219"/>
      <c r="W655" s="219"/>
      <c r="X655" s="219"/>
      <c r="Y655" s="219"/>
      <c r="Z655" s="219"/>
      <c r="AA655" s="219"/>
      <c r="AB655" s="219"/>
      <c r="AC655" s="219"/>
      <c r="AD655" s="219"/>
      <c r="AE655" s="219"/>
      <c r="AF655" s="219"/>
      <c r="AG655" s="219"/>
      <c r="AH655" s="219"/>
      <c r="AI655" s="219"/>
      <c r="AJ655" s="219"/>
      <c r="AK655" s="219"/>
      <c r="AL655" s="219"/>
      <c r="AM655" s="219"/>
      <c r="AN655" s="219"/>
      <c r="AO655" s="219"/>
      <c r="AP655" s="219"/>
      <c r="AQ655" s="219"/>
      <c r="AR655" s="219"/>
      <c r="AS655" s="219"/>
      <c r="AT655" s="219"/>
      <c r="AU655" s="219"/>
      <c r="AV655" s="219"/>
      <c r="AW655" s="219"/>
    </row>
    <row r="656" spans="1:49">
      <c r="A656" s="219"/>
      <c r="B656" s="219"/>
      <c r="C656" s="219"/>
      <c r="D656" s="219"/>
      <c r="E656" s="219"/>
      <c r="F656" s="219"/>
      <c r="G656" s="219"/>
      <c r="H656" s="219"/>
      <c r="I656" s="219"/>
      <c r="J656" s="219"/>
      <c r="K656" s="219"/>
      <c r="L656" s="219"/>
      <c r="M656" s="219"/>
      <c r="N656" s="219"/>
      <c r="O656" s="219"/>
      <c r="P656" s="219"/>
      <c r="Q656" s="219"/>
      <c r="R656" s="219"/>
      <c r="S656" s="219"/>
      <c r="T656" s="219"/>
      <c r="U656" s="219"/>
      <c r="V656" s="219"/>
      <c r="W656" s="219"/>
      <c r="X656" s="219"/>
      <c r="Y656" s="219"/>
      <c r="Z656" s="219"/>
      <c r="AA656" s="219"/>
      <c r="AB656" s="219"/>
      <c r="AC656" s="219"/>
      <c r="AD656" s="219"/>
      <c r="AE656" s="219"/>
      <c r="AF656" s="219"/>
      <c r="AG656" s="219"/>
      <c r="AH656" s="219"/>
      <c r="AI656" s="219"/>
      <c r="AJ656" s="219"/>
      <c r="AK656" s="219"/>
      <c r="AL656" s="219"/>
      <c r="AM656" s="219"/>
      <c r="AN656" s="219"/>
      <c r="AO656" s="219"/>
      <c r="AP656" s="219"/>
      <c r="AQ656" s="219"/>
      <c r="AR656" s="219"/>
      <c r="AS656" s="219"/>
      <c r="AT656" s="219"/>
      <c r="AU656" s="219"/>
      <c r="AV656" s="219"/>
      <c r="AW656" s="219"/>
    </row>
    <row r="657" spans="1:49">
      <c r="A657" s="219"/>
      <c r="B657" s="219"/>
      <c r="C657" s="219"/>
      <c r="D657" s="219"/>
      <c r="E657" s="219"/>
      <c r="F657" s="219"/>
      <c r="G657" s="219"/>
      <c r="H657" s="219"/>
      <c r="I657" s="219"/>
      <c r="J657" s="219"/>
      <c r="K657" s="219"/>
      <c r="L657" s="219"/>
      <c r="M657" s="219"/>
      <c r="N657" s="219"/>
      <c r="O657" s="219"/>
      <c r="P657" s="219"/>
      <c r="Q657" s="219"/>
      <c r="R657" s="219"/>
      <c r="S657" s="219"/>
      <c r="T657" s="219"/>
      <c r="U657" s="219"/>
      <c r="V657" s="219"/>
      <c r="W657" s="219"/>
      <c r="X657" s="219"/>
      <c r="Y657" s="219"/>
      <c r="Z657" s="219"/>
      <c r="AA657" s="219"/>
      <c r="AB657" s="219"/>
      <c r="AC657" s="219"/>
      <c r="AD657" s="219"/>
      <c r="AE657" s="219"/>
      <c r="AF657" s="219"/>
      <c r="AG657" s="219"/>
      <c r="AH657" s="219"/>
      <c r="AI657" s="219"/>
      <c r="AJ657" s="219"/>
      <c r="AK657" s="219"/>
      <c r="AL657" s="219"/>
      <c r="AM657" s="219"/>
      <c r="AN657" s="219"/>
      <c r="AO657" s="219"/>
      <c r="AP657" s="219"/>
      <c r="AQ657" s="219"/>
      <c r="AR657" s="219"/>
      <c r="AS657" s="219"/>
      <c r="AT657" s="219"/>
      <c r="AU657" s="219"/>
      <c r="AV657" s="219"/>
      <c r="AW657" s="219"/>
    </row>
    <row r="658" spans="1:49">
      <c r="A658" s="219"/>
      <c r="B658" s="219"/>
      <c r="C658" s="219"/>
      <c r="D658" s="219"/>
      <c r="E658" s="219"/>
      <c r="F658" s="219"/>
      <c r="G658" s="219"/>
      <c r="H658" s="219"/>
      <c r="I658" s="219"/>
      <c r="J658" s="219"/>
      <c r="K658" s="219"/>
      <c r="L658" s="219"/>
      <c r="M658" s="219"/>
      <c r="N658" s="219"/>
      <c r="O658" s="219"/>
      <c r="P658" s="219"/>
      <c r="Q658" s="219"/>
      <c r="R658" s="219"/>
      <c r="S658" s="219"/>
      <c r="T658" s="219"/>
      <c r="U658" s="219"/>
      <c r="V658" s="219"/>
      <c r="W658" s="219"/>
      <c r="X658" s="219"/>
      <c r="Y658" s="219"/>
      <c r="Z658" s="219"/>
      <c r="AA658" s="219"/>
      <c r="AB658" s="219"/>
      <c r="AC658" s="219"/>
      <c r="AD658" s="219"/>
      <c r="AE658" s="219"/>
      <c r="AF658" s="219"/>
      <c r="AG658" s="219"/>
      <c r="AH658" s="219"/>
      <c r="AI658" s="219"/>
      <c r="AJ658" s="219"/>
      <c r="AK658" s="219"/>
      <c r="AL658" s="219"/>
      <c r="AM658" s="219"/>
      <c r="AN658" s="219"/>
      <c r="AO658" s="219"/>
      <c r="AP658" s="219"/>
      <c r="AQ658" s="219"/>
      <c r="AR658" s="219"/>
      <c r="AS658" s="219"/>
      <c r="AT658" s="219"/>
      <c r="AU658" s="219"/>
      <c r="AV658" s="219"/>
      <c r="AW658" s="219"/>
    </row>
    <row r="659" spans="1:49">
      <c r="A659" s="219"/>
      <c r="B659" s="219"/>
      <c r="C659" s="219"/>
      <c r="D659" s="219"/>
      <c r="E659" s="219"/>
      <c r="F659" s="219"/>
      <c r="G659" s="219"/>
      <c r="H659" s="219"/>
      <c r="I659" s="219"/>
      <c r="J659" s="219"/>
      <c r="K659" s="219"/>
      <c r="L659" s="219"/>
      <c r="M659" s="219"/>
      <c r="N659" s="219"/>
      <c r="O659" s="219"/>
      <c r="P659" s="219"/>
      <c r="Q659" s="219"/>
      <c r="R659" s="219"/>
      <c r="S659" s="219"/>
      <c r="T659" s="219"/>
      <c r="U659" s="219"/>
      <c r="V659" s="219"/>
      <c r="W659" s="219"/>
      <c r="X659" s="219"/>
      <c r="Y659" s="219"/>
      <c r="Z659" s="219"/>
      <c r="AA659" s="219"/>
      <c r="AB659" s="219"/>
      <c r="AC659" s="219"/>
      <c r="AD659" s="219"/>
      <c r="AE659" s="219"/>
      <c r="AF659" s="219"/>
      <c r="AG659" s="219"/>
      <c r="AH659" s="219"/>
      <c r="AI659" s="219"/>
      <c r="AJ659" s="219"/>
      <c r="AK659" s="219"/>
      <c r="AL659" s="219"/>
      <c r="AM659" s="219"/>
      <c r="AN659" s="219"/>
      <c r="AO659" s="219"/>
      <c r="AP659" s="219"/>
      <c r="AQ659" s="219"/>
      <c r="AR659" s="219"/>
      <c r="AS659" s="219"/>
      <c r="AT659" s="219"/>
      <c r="AU659" s="219"/>
      <c r="AV659" s="219"/>
      <c r="AW659" s="219"/>
    </row>
    <row r="660" spans="1:49">
      <c r="A660" s="219"/>
      <c r="B660" s="219"/>
      <c r="C660" s="219"/>
      <c r="D660" s="219"/>
      <c r="E660" s="219"/>
      <c r="F660" s="219"/>
      <c r="G660" s="219"/>
      <c r="H660" s="219"/>
      <c r="I660" s="219"/>
      <c r="J660" s="219"/>
      <c r="K660" s="219"/>
      <c r="L660" s="219"/>
      <c r="M660" s="219"/>
      <c r="N660" s="219"/>
      <c r="O660" s="219"/>
      <c r="P660" s="219"/>
      <c r="Q660" s="219"/>
      <c r="R660" s="219"/>
      <c r="S660" s="219"/>
      <c r="T660" s="219"/>
      <c r="U660" s="219"/>
      <c r="V660" s="219"/>
      <c r="W660" s="219"/>
      <c r="X660" s="219"/>
      <c r="Y660" s="219"/>
      <c r="Z660" s="219"/>
      <c r="AA660" s="219"/>
      <c r="AB660" s="219"/>
      <c r="AC660" s="219"/>
      <c r="AD660" s="219"/>
      <c r="AE660" s="219"/>
      <c r="AF660" s="219"/>
      <c r="AG660" s="219"/>
      <c r="AH660" s="219"/>
      <c r="AI660" s="219"/>
      <c r="AJ660" s="219"/>
      <c r="AK660" s="219"/>
      <c r="AL660" s="219"/>
      <c r="AM660" s="219"/>
      <c r="AN660" s="219"/>
      <c r="AO660" s="219"/>
      <c r="AP660" s="219"/>
      <c r="AQ660" s="219"/>
      <c r="AR660" s="219"/>
      <c r="AS660" s="219"/>
      <c r="AT660" s="219"/>
      <c r="AU660" s="219"/>
      <c r="AV660" s="219"/>
      <c r="AW660" s="219"/>
    </row>
    <row r="661" spans="1:49">
      <c r="A661" s="219"/>
      <c r="B661" s="219"/>
      <c r="C661" s="219"/>
      <c r="D661" s="219"/>
      <c r="E661" s="219"/>
      <c r="F661" s="219"/>
      <c r="G661" s="219"/>
      <c r="H661" s="219"/>
      <c r="I661" s="219"/>
      <c r="J661" s="219"/>
      <c r="K661" s="219"/>
      <c r="L661" s="219"/>
      <c r="M661" s="219"/>
      <c r="N661" s="219"/>
      <c r="O661" s="219"/>
      <c r="P661" s="219"/>
      <c r="Q661" s="219"/>
      <c r="R661" s="219"/>
      <c r="S661" s="219"/>
      <c r="T661" s="219"/>
      <c r="U661" s="219"/>
      <c r="V661" s="219"/>
      <c r="W661" s="219"/>
      <c r="X661" s="219"/>
      <c r="Y661" s="219"/>
      <c r="Z661" s="219"/>
      <c r="AA661" s="219"/>
      <c r="AB661" s="219"/>
      <c r="AC661" s="219"/>
      <c r="AD661" s="219"/>
      <c r="AE661" s="219"/>
      <c r="AF661" s="219"/>
      <c r="AG661" s="219"/>
      <c r="AH661" s="219"/>
      <c r="AI661" s="219"/>
      <c r="AJ661" s="219"/>
      <c r="AK661" s="219"/>
      <c r="AL661" s="219"/>
      <c r="AM661" s="219"/>
      <c r="AN661" s="219"/>
      <c r="AO661" s="219"/>
      <c r="AP661" s="219"/>
      <c r="AQ661" s="219"/>
      <c r="AR661" s="219"/>
      <c r="AS661" s="219"/>
      <c r="AT661" s="219"/>
      <c r="AU661" s="219"/>
      <c r="AV661" s="219"/>
      <c r="AW661" s="219"/>
    </row>
    <row r="662" spans="1:49">
      <c r="A662" s="219"/>
      <c r="B662" s="219"/>
      <c r="C662" s="219"/>
      <c r="D662" s="219"/>
      <c r="E662" s="219"/>
      <c r="F662" s="219"/>
      <c r="G662" s="219"/>
      <c r="H662" s="219"/>
      <c r="I662" s="219"/>
      <c r="J662" s="219"/>
      <c r="K662" s="219"/>
      <c r="L662" s="219"/>
      <c r="M662" s="219"/>
      <c r="N662" s="219"/>
      <c r="O662" s="219"/>
      <c r="P662" s="219"/>
      <c r="Q662" s="219"/>
      <c r="R662" s="219"/>
      <c r="S662" s="219"/>
      <c r="T662" s="219"/>
      <c r="U662" s="219"/>
      <c r="V662" s="219"/>
      <c r="W662" s="219"/>
      <c r="X662" s="219"/>
      <c r="Y662" s="219"/>
      <c r="Z662" s="219"/>
      <c r="AA662" s="219"/>
      <c r="AB662" s="219"/>
      <c r="AC662" s="219"/>
      <c r="AD662" s="219"/>
      <c r="AE662" s="219"/>
      <c r="AF662" s="219"/>
      <c r="AG662" s="219"/>
      <c r="AH662" s="219"/>
      <c r="AI662" s="219"/>
      <c r="AJ662" s="219"/>
      <c r="AK662" s="219"/>
      <c r="AL662" s="219"/>
      <c r="AM662" s="219"/>
      <c r="AN662" s="219"/>
      <c r="AO662" s="219"/>
      <c r="AP662" s="219"/>
      <c r="AQ662" s="219"/>
      <c r="AR662" s="219"/>
      <c r="AS662" s="219"/>
      <c r="AT662" s="219"/>
      <c r="AU662" s="219"/>
      <c r="AV662" s="219"/>
      <c r="AW662" s="219"/>
    </row>
    <row r="663" spans="1:49">
      <c r="A663" s="219"/>
      <c r="B663" s="219"/>
      <c r="C663" s="219"/>
      <c r="D663" s="219"/>
      <c r="E663" s="219"/>
      <c r="F663" s="219"/>
      <c r="G663" s="219"/>
      <c r="H663" s="219"/>
      <c r="I663" s="219"/>
      <c r="J663" s="219"/>
      <c r="K663" s="219"/>
      <c r="L663" s="219"/>
      <c r="M663" s="219"/>
      <c r="N663" s="219"/>
      <c r="O663" s="219"/>
      <c r="P663" s="219"/>
      <c r="Q663" s="219"/>
      <c r="R663" s="219"/>
      <c r="S663" s="219"/>
      <c r="T663" s="219"/>
      <c r="U663" s="219"/>
      <c r="V663" s="219"/>
      <c r="W663" s="219"/>
      <c r="X663" s="219"/>
      <c r="Y663" s="219"/>
      <c r="Z663" s="219"/>
      <c r="AA663" s="219"/>
      <c r="AB663" s="219"/>
      <c r="AC663" s="219"/>
      <c r="AD663" s="219"/>
      <c r="AE663" s="219"/>
      <c r="AF663" s="219"/>
      <c r="AG663" s="219"/>
      <c r="AH663" s="219"/>
      <c r="AI663" s="219"/>
      <c r="AJ663" s="219"/>
      <c r="AK663" s="219"/>
      <c r="AL663" s="219"/>
      <c r="AM663" s="219"/>
      <c r="AN663" s="219"/>
      <c r="AO663" s="219"/>
      <c r="AP663" s="219"/>
      <c r="AQ663" s="219"/>
      <c r="AR663" s="219"/>
      <c r="AS663" s="219"/>
      <c r="AT663" s="219"/>
      <c r="AU663" s="219"/>
      <c r="AV663" s="219"/>
      <c r="AW663" s="219"/>
    </row>
    <row r="664" spans="1:49">
      <c r="A664" s="219"/>
      <c r="B664" s="219"/>
      <c r="C664" s="219"/>
      <c r="D664" s="219"/>
      <c r="E664" s="219"/>
      <c r="F664" s="219"/>
      <c r="G664" s="219"/>
      <c r="H664" s="219"/>
      <c r="I664" s="219"/>
      <c r="J664" s="219"/>
      <c r="K664" s="219"/>
      <c r="L664" s="219"/>
      <c r="M664" s="219"/>
      <c r="N664" s="219"/>
      <c r="O664" s="219"/>
      <c r="P664" s="219"/>
      <c r="Q664" s="219"/>
      <c r="R664" s="219"/>
      <c r="S664" s="219"/>
      <c r="T664" s="219"/>
      <c r="U664" s="219"/>
      <c r="V664" s="219"/>
      <c r="W664" s="219"/>
      <c r="X664" s="219"/>
      <c r="Y664" s="219"/>
      <c r="Z664" s="219"/>
      <c r="AA664" s="219"/>
      <c r="AB664" s="219"/>
      <c r="AC664" s="219"/>
      <c r="AD664" s="219"/>
      <c r="AE664" s="219"/>
      <c r="AF664" s="219"/>
      <c r="AG664" s="219"/>
      <c r="AH664" s="219"/>
      <c r="AI664" s="219"/>
      <c r="AJ664" s="219"/>
      <c r="AK664" s="219"/>
      <c r="AL664" s="219"/>
      <c r="AM664" s="219"/>
      <c r="AN664" s="219"/>
      <c r="AO664" s="219"/>
      <c r="AP664" s="219"/>
      <c r="AQ664" s="219"/>
      <c r="AR664" s="219"/>
      <c r="AS664" s="219"/>
      <c r="AT664" s="219"/>
      <c r="AU664" s="219"/>
      <c r="AV664" s="219"/>
      <c r="AW664" s="219"/>
    </row>
    <row r="665" spans="1:49">
      <c r="A665" s="219"/>
      <c r="B665" s="219"/>
      <c r="C665" s="219"/>
      <c r="D665" s="219"/>
      <c r="E665" s="219"/>
      <c r="F665" s="219"/>
      <c r="G665" s="219"/>
      <c r="H665" s="219"/>
      <c r="I665" s="219"/>
      <c r="J665" s="219"/>
      <c r="K665" s="219"/>
      <c r="L665" s="219"/>
      <c r="M665" s="219"/>
      <c r="N665" s="219"/>
      <c r="O665" s="219"/>
      <c r="P665" s="219"/>
      <c r="Q665" s="219"/>
      <c r="R665" s="219"/>
      <c r="S665" s="219"/>
      <c r="T665" s="219"/>
      <c r="U665" s="219"/>
      <c r="V665" s="219"/>
      <c r="W665" s="219"/>
      <c r="X665" s="219"/>
      <c r="Y665" s="219"/>
      <c r="Z665" s="219"/>
      <c r="AA665" s="219"/>
      <c r="AB665" s="219"/>
      <c r="AC665" s="219"/>
      <c r="AD665" s="219"/>
      <c r="AE665" s="219"/>
      <c r="AF665" s="219"/>
      <c r="AG665" s="219"/>
      <c r="AH665" s="219"/>
      <c r="AI665" s="219"/>
      <c r="AJ665" s="219"/>
      <c r="AK665" s="219"/>
      <c r="AL665" s="219"/>
      <c r="AM665" s="219"/>
      <c r="AN665" s="219"/>
      <c r="AO665" s="219"/>
      <c r="AP665" s="219"/>
      <c r="AQ665" s="219"/>
      <c r="AR665" s="219"/>
      <c r="AS665" s="219"/>
      <c r="AT665" s="219"/>
      <c r="AU665" s="219"/>
      <c r="AV665" s="219"/>
      <c r="AW665" s="219"/>
    </row>
    <row r="666" spans="1:49">
      <c r="A666" s="219"/>
      <c r="B666" s="219"/>
      <c r="C666" s="219"/>
      <c r="D666" s="219"/>
      <c r="E666" s="219"/>
      <c r="F666" s="219"/>
      <c r="G666" s="219"/>
      <c r="H666" s="219"/>
      <c r="I666" s="219"/>
      <c r="J666" s="219"/>
      <c r="K666" s="219"/>
      <c r="L666" s="219"/>
      <c r="M666" s="219"/>
      <c r="N666" s="219"/>
      <c r="O666" s="219"/>
      <c r="P666" s="219"/>
      <c r="Q666" s="219"/>
      <c r="R666" s="219"/>
      <c r="S666" s="219"/>
      <c r="T666" s="219"/>
      <c r="U666" s="219"/>
      <c r="V666" s="219"/>
      <c r="W666" s="219"/>
      <c r="X666" s="219"/>
      <c r="Y666" s="219"/>
      <c r="Z666" s="219"/>
      <c r="AA666" s="219"/>
      <c r="AB666" s="219"/>
      <c r="AC666" s="219"/>
      <c r="AD666" s="219"/>
      <c r="AE666" s="219"/>
      <c r="AF666" s="219"/>
      <c r="AG666" s="219"/>
      <c r="AH666" s="219"/>
      <c r="AI666" s="219"/>
      <c r="AJ666" s="219"/>
      <c r="AK666" s="219"/>
      <c r="AL666" s="219"/>
      <c r="AM666" s="219"/>
      <c r="AN666" s="219"/>
      <c r="AO666" s="219"/>
      <c r="AP666" s="219"/>
      <c r="AQ666" s="219"/>
      <c r="AR666" s="219"/>
      <c r="AS666" s="219"/>
      <c r="AT666" s="219"/>
      <c r="AU666" s="219"/>
      <c r="AV666" s="219"/>
      <c r="AW666" s="219"/>
    </row>
    <row r="667" spans="1:49">
      <c r="A667" s="219"/>
      <c r="B667" s="219"/>
      <c r="C667" s="219"/>
      <c r="D667" s="219"/>
      <c r="E667" s="219"/>
      <c r="F667" s="219"/>
      <c r="G667" s="219"/>
      <c r="H667" s="219"/>
      <c r="I667" s="219"/>
      <c r="J667" s="219"/>
      <c r="K667" s="219"/>
      <c r="L667" s="219"/>
      <c r="M667" s="219"/>
      <c r="N667" s="219"/>
      <c r="O667" s="219"/>
      <c r="P667" s="219"/>
      <c r="Q667" s="219"/>
      <c r="R667" s="219"/>
      <c r="S667" s="219"/>
      <c r="T667" s="219"/>
      <c r="U667" s="219"/>
      <c r="V667" s="219"/>
      <c r="W667" s="219"/>
      <c r="X667" s="219"/>
      <c r="Y667" s="219"/>
      <c r="Z667" s="219"/>
      <c r="AA667" s="219"/>
      <c r="AB667" s="219"/>
      <c r="AC667" s="219"/>
      <c r="AD667" s="219"/>
      <c r="AE667" s="219"/>
      <c r="AF667" s="219"/>
      <c r="AG667" s="219"/>
      <c r="AH667" s="219"/>
      <c r="AI667" s="219"/>
      <c r="AJ667" s="219"/>
      <c r="AK667" s="219"/>
      <c r="AL667" s="219"/>
      <c r="AM667" s="219"/>
      <c r="AN667" s="219"/>
      <c r="AO667" s="219"/>
      <c r="AP667" s="219"/>
      <c r="AQ667" s="219"/>
      <c r="AR667" s="219"/>
      <c r="AS667" s="219"/>
      <c r="AT667" s="219"/>
      <c r="AU667" s="219"/>
      <c r="AV667" s="219"/>
      <c r="AW667" s="219"/>
    </row>
    <row r="668" spans="1:49">
      <c r="A668" s="219"/>
      <c r="B668" s="219"/>
      <c r="C668" s="219"/>
      <c r="D668" s="219"/>
      <c r="E668" s="219"/>
      <c r="F668" s="219"/>
      <c r="G668" s="219"/>
      <c r="H668" s="219"/>
      <c r="I668" s="219"/>
      <c r="J668" s="219"/>
      <c r="K668" s="219"/>
      <c r="L668" s="219"/>
      <c r="M668" s="219"/>
      <c r="N668" s="219"/>
      <c r="O668" s="219"/>
      <c r="P668" s="219"/>
      <c r="Q668" s="219"/>
      <c r="R668" s="219"/>
      <c r="S668" s="219"/>
      <c r="T668" s="219"/>
      <c r="U668" s="219"/>
      <c r="V668" s="219"/>
      <c r="W668" s="219"/>
      <c r="X668" s="219"/>
      <c r="Y668" s="219"/>
      <c r="Z668" s="219"/>
      <c r="AA668" s="219"/>
      <c r="AB668" s="219"/>
      <c r="AC668" s="219"/>
      <c r="AD668" s="219"/>
      <c r="AE668" s="219"/>
      <c r="AF668" s="219"/>
      <c r="AG668" s="219"/>
      <c r="AH668" s="219"/>
      <c r="AI668" s="219"/>
      <c r="AJ668" s="219"/>
      <c r="AK668" s="219"/>
      <c r="AL668" s="219"/>
      <c r="AM668" s="219"/>
      <c r="AN668" s="219"/>
      <c r="AO668" s="219"/>
      <c r="AP668" s="219"/>
      <c r="AQ668" s="219"/>
      <c r="AR668" s="219"/>
      <c r="AS668" s="219"/>
      <c r="AT668" s="219"/>
      <c r="AU668" s="219"/>
      <c r="AV668" s="219"/>
      <c r="AW668" s="219"/>
    </row>
    <row r="669" spans="1:49">
      <c r="A669" s="219"/>
      <c r="B669" s="219"/>
      <c r="C669" s="219"/>
      <c r="D669" s="219"/>
      <c r="E669" s="219"/>
      <c r="F669" s="219"/>
      <c r="G669" s="219"/>
      <c r="H669" s="219"/>
      <c r="I669" s="219"/>
      <c r="J669" s="219"/>
      <c r="K669" s="219"/>
      <c r="L669" s="219"/>
      <c r="M669" s="219"/>
      <c r="N669" s="219"/>
      <c r="O669" s="219"/>
      <c r="P669" s="219"/>
      <c r="Q669" s="219"/>
      <c r="R669" s="219"/>
      <c r="S669" s="219"/>
      <c r="T669" s="219"/>
      <c r="U669" s="219"/>
      <c r="V669" s="219"/>
      <c r="W669" s="219"/>
      <c r="X669" s="219"/>
      <c r="Y669" s="219"/>
      <c r="Z669" s="219"/>
      <c r="AA669" s="219"/>
      <c r="AB669" s="219"/>
      <c r="AC669" s="219"/>
      <c r="AD669" s="219"/>
      <c r="AE669" s="219"/>
      <c r="AF669" s="219"/>
      <c r="AG669" s="219"/>
      <c r="AH669" s="219"/>
      <c r="AI669" s="219"/>
      <c r="AJ669" s="219"/>
      <c r="AK669" s="219"/>
      <c r="AL669" s="219"/>
      <c r="AM669" s="219"/>
      <c r="AN669" s="219"/>
      <c r="AO669" s="219"/>
      <c r="AP669" s="219"/>
      <c r="AQ669" s="219"/>
      <c r="AR669" s="219"/>
      <c r="AS669" s="219"/>
      <c r="AT669" s="219"/>
      <c r="AU669" s="219"/>
      <c r="AV669" s="219"/>
      <c r="AW669" s="219"/>
    </row>
    <row r="670" spans="1:49">
      <c r="A670" s="219"/>
      <c r="B670" s="219"/>
      <c r="C670" s="219"/>
      <c r="D670" s="219"/>
      <c r="E670" s="219"/>
      <c r="F670" s="219"/>
      <c r="G670" s="219"/>
      <c r="H670" s="219"/>
      <c r="I670" s="219"/>
      <c r="J670" s="219"/>
      <c r="K670" s="219"/>
      <c r="L670" s="219"/>
      <c r="M670" s="219"/>
      <c r="N670" s="219"/>
      <c r="O670" s="219"/>
      <c r="P670" s="219"/>
      <c r="Q670" s="219"/>
      <c r="R670" s="219"/>
      <c r="S670" s="219"/>
      <c r="T670" s="219"/>
      <c r="U670" s="219"/>
      <c r="V670" s="219"/>
      <c r="W670" s="219"/>
      <c r="X670" s="219"/>
      <c r="Y670" s="219"/>
      <c r="Z670" s="219"/>
      <c r="AA670" s="219"/>
      <c r="AB670" s="219"/>
      <c r="AC670" s="219"/>
      <c r="AD670" s="219"/>
      <c r="AE670" s="219"/>
      <c r="AF670" s="219"/>
      <c r="AG670" s="219"/>
      <c r="AH670" s="219"/>
      <c r="AI670" s="219"/>
      <c r="AJ670" s="219"/>
      <c r="AK670" s="219"/>
      <c r="AL670" s="219"/>
      <c r="AM670" s="219"/>
      <c r="AN670" s="219"/>
      <c r="AO670" s="219"/>
      <c r="AP670" s="219"/>
      <c r="AQ670" s="219"/>
      <c r="AR670" s="219"/>
      <c r="AS670" s="219"/>
      <c r="AT670" s="219"/>
      <c r="AU670" s="219"/>
      <c r="AV670" s="219"/>
      <c r="AW670" s="219"/>
    </row>
    <row r="671" spans="1:49">
      <c r="A671" s="219"/>
      <c r="B671" s="219"/>
      <c r="C671" s="219"/>
      <c r="D671" s="219"/>
      <c r="E671" s="219"/>
      <c r="F671" s="219"/>
      <c r="G671" s="219"/>
      <c r="H671" s="219"/>
      <c r="I671" s="219"/>
      <c r="J671" s="219"/>
      <c r="K671" s="219"/>
      <c r="L671" s="219"/>
      <c r="M671" s="219"/>
      <c r="N671" s="219"/>
      <c r="O671" s="219"/>
      <c r="P671" s="219"/>
      <c r="Q671" s="219"/>
      <c r="R671" s="219"/>
      <c r="S671" s="219"/>
      <c r="T671" s="219"/>
      <c r="U671" s="219"/>
      <c r="V671" s="219"/>
      <c r="W671" s="219"/>
      <c r="X671" s="219"/>
      <c r="Y671" s="219"/>
      <c r="Z671" s="219"/>
      <c r="AA671" s="219"/>
      <c r="AB671" s="219"/>
      <c r="AC671" s="219"/>
      <c r="AD671" s="219"/>
      <c r="AE671" s="219"/>
      <c r="AF671" s="219"/>
      <c r="AG671" s="219"/>
      <c r="AH671" s="219"/>
      <c r="AI671" s="219"/>
      <c r="AJ671" s="219"/>
      <c r="AK671" s="219"/>
      <c r="AL671" s="219"/>
      <c r="AM671" s="219"/>
      <c r="AN671" s="219"/>
      <c r="AO671" s="219"/>
      <c r="AP671" s="219"/>
      <c r="AQ671" s="219"/>
      <c r="AR671" s="219"/>
      <c r="AS671" s="219"/>
      <c r="AT671" s="219"/>
      <c r="AU671" s="219"/>
      <c r="AV671" s="219"/>
      <c r="AW671" s="219"/>
    </row>
    <row r="672" spans="1:49">
      <c r="A672" s="219"/>
      <c r="B672" s="219"/>
      <c r="C672" s="219"/>
      <c r="D672" s="219"/>
      <c r="E672" s="219"/>
      <c r="F672" s="219"/>
      <c r="G672" s="219"/>
      <c r="H672" s="219"/>
      <c r="I672" s="219"/>
      <c r="J672" s="219"/>
      <c r="K672" s="219"/>
      <c r="L672" s="219"/>
      <c r="M672" s="219"/>
      <c r="N672" s="219"/>
      <c r="O672" s="219"/>
      <c r="P672" s="219"/>
      <c r="Q672" s="219"/>
      <c r="R672" s="219"/>
      <c r="S672" s="219"/>
      <c r="T672" s="219"/>
      <c r="U672" s="219"/>
      <c r="V672" s="219"/>
      <c r="W672" s="219"/>
      <c r="X672" s="219"/>
      <c r="Y672" s="219"/>
      <c r="Z672" s="219"/>
      <c r="AA672" s="219"/>
      <c r="AB672" s="219"/>
      <c r="AC672" s="219"/>
      <c r="AD672" s="219"/>
      <c r="AE672" s="219"/>
      <c r="AF672" s="219"/>
      <c r="AG672" s="219"/>
      <c r="AH672" s="219"/>
      <c r="AI672" s="219"/>
      <c r="AJ672" s="219"/>
      <c r="AK672" s="219"/>
      <c r="AL672" s="219"/>
      <c r="AM672" s="219"/>
      <c r="AN672" s="219"/>
      <c r="AO672" s="219"/>
      <c r="AP672" s="219"/>
      <c r="AQ672" s="219"/>
      <c r="AR672" s="219"/>
      <c r="AS672" s="219"/>
      <c r="AT672" s="219"/>
      <c r="AU672" s="219"/>
      <c r="AV672" s="219"/>
      <c r="AW672" s="219"/>
    </row>
    <row r="673" spans="1:49">
      <c r="A673" s="219"/>
      <c r="B673" s="219"/>
      <c r="C673" s="219"/>
      <c r="D673" s="219"/>
      <c r="E673" s="219"/>
      <c r="F673" s="219"/>
      <c r="G673" s="219"/>
      <c r="H673" s="219"/>
      <c r="I673" s="219"/>
      <c r="J673" s="219"/>
      <c r="K673" s="219"/>
      <c r="L673" s="219"/>
      <c r="M673" s="219"/>
      <c r="N673" s="219"/>
      <c r="O673" s="219"/>
      <c r="P673" s="219"/>
      <c r="Q673" s="219"/>
      <c r="R673" s="219"/>
      <c r="S673" s="219"/>
      <c r="T673" s="219"/>
      <c r="U673" s="219"/>
      <c r="V673" s="219"/>
      <c r="W673" s="219"/>
      <c r="X673" s="219"/>
      <c r="Y673" s="219"/>
      <c r="Z673" s="219"/>
      <c r="AA673" s="219"/>
      <c r="AB673" s="219"/>
      <c r="AC673" s="219"/>
      <c r="AD673" s="219"/>
      <c r="AE673" s="219"/>
      <c r="AF673" s="219"/>
      <c r="AG673" s="219"/>
      <c r="AH673" s="219"/>
      <c r="AI673" s="219"/>
      <c r="AJ673" s="219"/>
      <c r="AK673" s="219"/>
      <c r="AL673" s="219"/>
      <c r="AM673" s="219"/>
      <c r="AN673" s="219"/>
      <c r="AO673" s="219"/>
      <c r="AP673" s="219"/>
      <c r="AQ673" s="219"/>
      <c r="AR673" s="219"/>
      <c r="AS673" s="219"/>
      <c r="AT673" s="219"/>
      <c r="AU673" s="219"/>
      <c r="AV673" s="219"/>
      <c r="AW673" s="219"/>
    </row>
    <row r="674" spans="1:49">
      <c r="A674" s="219"/>
      <c r="B674" s="219"/>
      <c r="C674" s="219"/>
      <c r="D674" s="219"/>
      <c r="E674" s="219"/>
      <c r="F674" s="219"/>
      <c r="G674" s="219"/>
      <c r="H674" s="219"/>
      <c r="I674" s="219"/>
      <c r="J674" s="219"/>
      <c r="K674" s="219"/>
      <c r="L674" s="219"/>
      <c r="M674" s="219"/>
      <c r="N674" s="219"/>
      <c r="O674" s="219"/>
      <c r="P674" s="219"/>
      <c r="Q674" s="219"/>
      <c r="R674" s="219"/>
      <c r="S674" s="219"/>
      <c r="T674" s="219"/>
      <c r="U674" s="219"/>
      <c r="V674" s="219"/>
      <c r="W674" s="219"/>
      <c r="X674" s="219"/>
      <c r="Y674" s="219"/>
      <c r="Z674" s="219"/>
      <c r="AA674" s="219"/>
      <c r="AB674" s="219"/>
      <c r="AC674" s="219"/>
      <c r="AD674" s="219"/>
      <c r="AE674" s="219"/>
      <c r="AF674" s="219"/>
      <c r="AG674" s="219"/>
      <c r="AH674" s="219"/>
      <c r="AI674" s="219"/>
      <c r="AJ674" s="219"/>
      <c r="AK674" s="219"/>
      <c r="AL674" s="219"/>
      <c r="AM674" s="219"/>
      <c r="AN674" s="219"/>
      <c r="AO674" s="219"/>
      <c r="AP674" s="219"/>
      <c r="AQ674" s="219"/>
      <c r="AR674" s="219"/>
      <c r="AS674" s="219"/>
      <c r="AT674" s="219"/>
      <c r="AU674" s="219"/>
      <c r="AV674" s="219"/>
      <c r="AW674" s="219"/>
    </row>
    <row r="675" spans="1:49">
      <c r="A675" s="219"/>
      <c r="B675" s="219"/>
      <c r="C675" s="219"/>
      <c r="D675" s="219"/>
      <c r="E675" s="219"/>
      <c r="F675" s="219"/>
      <c r="G675" s="219"/>
      <c r="H675" s="219"/>
      <c r="I675" s="219"/>
      <c r="J675" s="219"/>
      <c r="K675" s="219"/>
      <c r="L675" s="219"/>
      <c r="M675" s="219"/>
      <c r="N675" s="219"/>
      <c r="O675" s="219"/>
      <c r="P675" s="219"/>
      <c r="Q675" s="219"/>
      <c r="R675" s="219"/>
      <c r="S675" s="219"/>
      <c r="T675" s="219"/>
      <c r="U675" s="219"/>
      <c r="V675" s="219"/>
      <c r="W675" s="219"/>
      <c r="X675" s="219"/>
      <c r="Y675" s="219"/>
      <c r="Z675" s="219"/>
      <c r="AA675" s="219"/>
      <c r="AB675" s="219"/>
      <c r="AC675" s="219"/>
      <c r="AD675" s="219"/>
      <c r="AE675" s="219"/>
      <c r="AF675" s="219"/>
      <c r="AG675" s="219"/>
      <c r="AH675" s="219"/>
      <c r="AI675" s="219"/>
      <c r="AJ675" s="219"/>
      <c r="AK675" s="219"/>
      <c r="AL675" s="219"/>
      <c r="AM675" s="219"/>
      <c r="AN675" s="219"/>
      <c r="AO675" s="219"/>
      <c r="AP675" s="219"/>
      <c r="AQ675" s="219"/>
      <c r="AR675" s="219"/>
      <c r="AS675" s="219"/>
      <c r="AT675" s="219"/>
      <c r="AU675" s="219"/>
      <c r="AV675" s="219"/>
      <c r="AW675" s="219"/>
    </row>
    <row r="676" spans="1:49">
      <c r="A676" s="219"/>
      <c r="B676" s="219"/>
      <c r="C676" s="219"/>
      <c r="D676" s="219"/>
      <c r="E676" s="219"/>
      <c r="F676" s="219"/>
      <c r="G676" s="219"/>
      <c r="H676" s="219"/>
      <c r="I676" s="219"/>
      <c r="J676" s="219"/>
      <c r="K676" s="219"/>
      <c r="L676" s="219"/>
      <c r="M676" s="219"/>
      <c r="N676" s="219"/>
      <c r="O676" s="219"/>
      <c r="P676" s="219"/>
      <c r="Q676" s="219"/>
      <c r="R676" s="219"/>
      <c r="S676" s="219"/>
      <c r="T676" s="219"/>
      <c r="U676" s="219"/>
      <c r="V676" s="219"/>
      <c r="W676" s="219"/>
      <c r="X676" s="219"/>
      <c r="Y676" s="219"/>
      <c r="Z676" s="219"/>
      <c r="AA676" s="219"/>
      <c r="AB676" s="219"/>
      <c r="AC676" s="219"/>
      <c r="AD676" s="219"/>
      <c r="AE676" s="219"/>
      <c r="AF676" s="219"/>
      <c r="AG676" s="219"/>
      <c r="AH676" s="219"/>
      <c r="AI676" s="219"/>
      <c r="AJ676" s="219"/>
      <c r="AK676" s="219"/>
      <c r="AL676" s="219"/>
      <c r="AM676" s="219"/>
      <c r="AN676" s="219"/>
      <c r="AO676" s="219"/>
      <c r="AP676" s="219"/>
      <c r="AQ676" s="219"/>
      <c r="AR676" s="219"/>
      <c r="AS676" s="219"/>
      <c r="AT676" s="219"/>
      <c r="AU676" s="219"/>
      <c r="AV676" s="219"/>
      <c r="AW676" s="219"/>
    </row>
    <row r="677" spans="1:49">
      <c r="A677" s="219"/>
      <c r="B677" s="219"/>
      <c r="C677" s="219"/>
      <c r="D677" s="219"/>
      <c r="E677" s="219"/>
      <c r="F677" s="219"/>
      <c r="G677" s="219"/>
      <c r="H677" s="219"/>
      <c r="I677" s="219"/>
      <c r="J677" s="219"/>
      <c r="K677" s="219"/>
      <c r="L677" s="219"/>
      <c r="M677" s="219"/>
      <c r="N677" s="219"/>
      <c r="O677" s="219"/>
      <c r="P677" s="219"/>
      <c r="Q677" s="219"/>
      <c r="R677" s="219"/>
      <c r="S677" s="219"/>
      <c r="T677" s="219"/>
      <c r="U677" s="219"/>
      <c r="V677" s="219"/>
      <c r="W677" s="219"/>
      <c r="X677" s="219"/>
      <c r="Y677" s="219"/>
      <c r="Z677" s="219"/>
      <c r="AA677" s="219"/>
      <c r="AB677" s="219"/>
      <c r="AC677" s="219"/>
      <c r="AD677" s="219"/>
      <c r="AE677" s="219"/>
      <c r="AF677" s="219"/>
      <c r="AG677" s="219"/>
      <c r="AH677" s="219"/>
      <c r="AI677" s="219"/>
      <c r="AJ677" s="219"/>
      <c r="AK677" s="219"/>
      <c r="AL677" s="219"/>
      <c r="AM677" s="219"/>
      <c r="AN677" s="219"/>
      <c r="AO677" s="219"/>
      <c r="AP677" s="219"/>
      <c r="AQ677" s="219"/>
      <c r="AR677" s="219"/>
      <c r="AS677" s="219"/>
      <c r="AT677" s="219"/>
      <c r="AU677" s="219"/>
      <c r="AV677" s="219"/>
      <c r="AW677" s="219"/>
    </row>
    <row r="678" spans="1:49">
      <c r="A678" s="219"/>
      <c r="B678" s="219"/>
      <c r="C678" s="219"/>
      <c r="D678" s="219"/>
      <c r="E678" s="219"/>
      <c r="F678" s="219"/>
      <c r="G678" s="219"/>
      <c r="H678" s="219"/>
      <c r="I678" s="219"/>
      <c r="J678" s="219"/>
      <c r="K678" s="219"/>
      <c r="L678" s="219"/>
      <c r="M678" s="219"/>
      <c r="N678" s="219"/>
      <c r="O678" s="219"/>
      <c r="P678" s="219"/>
      <c r="Q678" s="219"/>
      <c r="R678" s="219"/>
      <c r="S678" s="219"/>
      <c r="T678" s="219"/>
      <c r="U678" s="219"/>
      <c r="V678" s="219"/>
      <c r="W678" s="219"/>
      <c r="X678" s="219"/>
      <c r="Y678" s="219"/>
      <c r="Z678" s="219"/>
      <c r="AA678" s="219"/>
      <c r="AB678" s="219"/>
      <c r="AC678" s="219"/>
      <c r="AD678" s="219"/>
      <c r="AE678" s="219"/>
      <c r="AF678" s="219"/>
      <c r="AG678" s="219"/>
      <c r="AH678" s="219"/>
      <c r="AI678" s="219"/>
      <c r="AJ678" s="219"/>
      <c r="AK678" s="219"/>
      <c r="AL678" s="219"/>
      <c r="AM678" s="219"/>
      <c r="AN678" s="219"/>
      <c r="AO678" s="219"/>
      <c r="AP678" s="219"/>
      <c r="AQ678" s="219"/>
      <c r="AR678" s="219"/>
      <c r="AS678" s="219"/>
      <c r="AT678" s="219"/>
      <c r="AU678" s="219"/>
      <c r="AV678" s="219"/>
      <c r="AW678" s="219"/>
    </row>
    <row r="679" spans="1:49">
      <c r="A679" s="219"/>
      <c r="B679" s="219"/>
      <c r="C679" s="219"/>
      <c r="D679" s="219"/>
      <c r="E679" s="219"/>
      <c r="F679" s="219"/>
      <c r="G679" s="219"/>
      <c r="H679" s="219"/>
      <c r="I679" s="219"/>
      <c r="J679" s="219"/>
      <c r="K679" s="219"/>
      <c r="L679" s="219"/>
      <c r="M679" s="219"/>
      <c r="N679" s="219"/>
      <c r="O679" s="219"/>
      <c r="P679" s="219"/>
      <c r="Q679" s="219"/>
      <c r="R679" s="219"/>
      <c r="S679" s="219"/>
      <c r="T679" s="219"/>
      <c r="U679" s="219"/>
      <c r="V679" s="219"/>
      <c r="W679" s="219"/>
      <c r="X679" s="219"/>
      <c r="Y679" s="219"/>
      <c r="Z679" s="219"/>
      <c r="AA679" s="219"/>
      <c r="AB679" s="219"/>
      <c r="AC679" s="219"/>
      <c r="AD679" s="219"/>
      <c r="AE679" s="219"/>
      <c r="AF679" s="219"/>
      <c r="AG679" s="219"/>
      <c r="AH679" s="219"/>
      <c r="AI679" s="219"/>
      <c r="AJ679" s="219"/>
      <c r="AK679" s="219"/>
      <c r="AL679" s="219"/>
      <c r="AM679" s="219"/>
      <c r="AN679" s="219"/>
      <c r="AO679" s="219"/>
      <c r="AP679" s="219"/>
      <c r="AQ679" s="219"/>
      <c r="AR679" s="219"/>
      <c r="AS679" s="219"/>
      <c r="AT679" s="219"/>
      <c r="AU679" s="219"/>
      <c r="AV679" s="219"/>
      <c r="AW679" s="219"/>
    </row>
    <row r="680" spans="1:49">
      <c r="A680" s="219"/>
      <c r="B680" s="219"/>
      <c r="C680" s="219"/>
      <c r="D680" s="219"/>
      <c r="E680" s="219"/>
      <c r="F680" s="219"/>
      <c r="G680" s="219"/>
      <c r="H680" s="219"/>
      <c r="I680" s="219"/>
      <c r="J680" s="219"/>
      <c r="K680" s="219"/>
      <c r="L680" s="219"/>
      <c r="M680" s="219"/>
      <c r="N680" s="219"/>
      <c r="O680" s="219"/>
      <c r="P680" s="219"/>
      <c r="Q680" s="219"/>
      <c r="R680" s="219"/>
      <c r="S680" s="219"/>
      <c r="T680" s="219"/>
      <c r="U680" s="219"/>
      <c r="V680" s="219"/>
      <c r="W680" s="219"/>
      <c r="X680" s="219"/>
      <c r="Y680" s="219"/>
      <c r="Z680" s="219"/>
      <c r="AA680" s="219"/>
      <c r="AB680" s="219"/>
      <c r="AC680" s="219"/>
      <c r="AD680" s="219"/>
      <c r="AE680" s="219"/>
      <c r="AF680" s="219"/>
      <c r="AG680" s="219"/>
      <c r="AH680" s="219"/>
      <c r="AI680" s="219"/>
      <c r="AJ680" s="219"/>
      <c r="AK680" s="219"/>
      <c r="AL680" s="219"/>
      <c r="AM680" s="219"/>
      <c r="AN680" s="219"/>
      <c r="AO680" s="219"/>
      <c r="AP680" s="219"/>
      <c r="AQ680" s="219"/>
      <c r="AR680" s="219"/>
      <c r="AS680" s="219"/>
      <c r="AT680" s="219"/>
      <c r="AU680" s="219"/>
      <c r="AV680" s="219"/>
      <c r="AW680" s="219"/>
    </row>
    <row r="681" spans="1:49">
      <c r="A681" s="219"/>
      <c r="B681" s="219"/>
      <c r="C681" s="219"/>
      <c r="D681" s="219"/>
      <c r="E681" s="219"/>
      <c r="F681" s="219"/>
      <c r="G681" s="219"/>
      <c r="H681" s="219"/>
      <c r="I681" s="219"/>
      <c r="J681" s="219"/>
      <c r="K681" s="219"/>
      <c r="L681" s="219"/>
      <c r="M681" s="219"/>
      <c r="N681" s="219"/>
      <c r="O681" s="219"/>
      <c r="P681" s="219"/>
      <c r="Q681" s="219"/>
      <c r="R681" s="219"/>
      <c r="S681" s="219"/>
      <c r="T681" s="219"/>
      <c r="U681" s="219"/>
      <c r="V681" s="219"/>
      <c r="W681" s="219"/>
      <c r="X681" s="219"/>
      <c r="Y681" s="219"/>
      <c r="Z681" s="219"/>
      <c r="AA681" s="219"/>
      <c r="AB681" s="219"/>
      <c r="AC681" s="219"/>
      <c r="AD681" s="219"/>
      <c r="AE681" s="219"/>
      <c r="AF681" s="219"/>
      <c r="AG681" s="219"/>
      <c r="AH681" s="219"/>
      <c r="AI681" s="219"/>
      <c r="AJ681" s="219"/>
      <c r="AK681" s="219"/>
      <c r="AL681" s="219"/>
      <c r="AM681" s="219"/>
      <c r="AN681" s="219"/>
      <c r="AO681" s="219"/>
      <c r="AP681" s="219"/>
      <c r="AQ681" s="219"/>
      <c r="AR681" s="219"/>
      <c r="AS681" s="219"/>
      <c r="AT681" s="219"/>
      <c r="AU681" s="219"/>
      <c r="AV681" s="219"/>
      <c r="AW681" s="219"/>
    </row>
    <row r="682" spans="1:49">
      <c r="A682" s="219"/>
      <c r="B682" s="219"/>
      <c r="C682" s="219"/>
      <c r="D682" s="219"/>
      <c r="E682" s="219"/>
      <c r="F682" s="219"/>
      <c r="G682" s="219"/>
      <c r="H682" s="219"/>
      <c r="I682" s="219"/>
      <c r="J682" s="219"/>
      <c r="K682" s="219"/>
      <c r="L682" s="219"/>
      <c r="M682" s="219"/>
      <c r="N682" s="219"/>
      <c r="O682" s="219"/>
      <c r="P682" s="219"/>
      <c r="Q682" s="219"/>
      <c r="R682" s="219"/>
      <c r="S682" s="219"/>
      <c r="T682" s="219"/>
      <c r="U682" s="219"/>
      <c r="V682" s="219"/>
      <c r="W682" s="219"/>
      <c r="X682" s="219"/>
      <c r="Y682" s="219"/>
      <c r="Z682" s="219"/>
      <c r="AA682" s="219"/>
      <c r="AB682" s="219"/>
      <c r="AC682" s="219"/>
      <c r="AD682" s="219"/>
      <c r="AE682" s="219"/>
      <c r="AF682" s="219"/>
      <c r="AG682" s="219"/>
      <c r="AH682" s="219"/>
      <c r="AI682" s="219"/>
      <c r="AJ682" s="219"/>
      <c r="AK682" s="219"/>
      <c r="AL682" s="219"/>
      <c r="AM682" s="219"/>
      <c r="AN682" s="219"/>
      <c r="AO682" s="219"/>
      <c r="AP682" s="219"/>
      <c r="AQ682" s="219"/>
      <c r="AR682" s="219"/>
      <c r="AS682" s="219"/>
      <c r="AT682" s="219"/>
      <c r="AU682" s="219"/>
      <c r="AV682" s="219"/>
      <c r="AW682" s="219"/>
    </row>
    <row r="683" spans="1:49">
      <c r="A683" s="219"/>
      <c r="B683" s="219"/>
      <c r="C683" s="219"/>
      <c r="D683" s="219"/>
      <c r="E683" s="219"/>
      <c r="F683" s="219"/>
      <c r="G683" s="219"/>
      <c r="H683" s="219"/>
      <c r="I683" s="219"/>
      <c r="J683" s="219"/>
      <c r="K683" s="219"/>
      <c r="L683" s="219"/>
      <c r="M683" s="219"/>
      <c r="N683" s="219"/>
      <c r="O683" s="219"/>
      <c r="P683" s="219"/>
      <c r="Q683" s="219"/>
      <c r="R683" s="219"/>
      <c r="S683" s="219"/>
      <c r="T683" s="219"/>
      <c r="U683" s="219"/>
      <c r="V683" s="219"/>
      <c r="W683" s="219"/>
      <c r="X683" s="219"/>
      <c r="Y683" s="219"/>
      <c r="Z683" s="219"/>
      <c r="AA683" s="219"/>
      <c r="AB683" s="219"/>
      <c r="AC683" s="219"/>
      <c r="AD683" s="219"/>
      <c r="AE683" s="219"/>
      <c r="AF683" s="219"/>
      <c r="AG683" s="219"/>
      <c r="AH683" s="219"/>
      <c r="AI683" s="219"/>
      <c r="AJ683" s="219"/>
      <c r="AK683" s="219"/>
      <c r="AL683" s="219"/>
      <c r="AM683" s="219"/>
      <c r="AN683" s="219"/>
      <c r="AO683" s="219"/>
      <c r="AP683" s="219"/>
      <c r="AQ683" s="219"/>
      <c r="AR683" s="219"/>
      <c r="AS683" s="219"/>
      <c r="AT683" s="219"/>
      <c r="AU683" s="219"/>
      <c r="AV683" s="219"/>
      <c r="AW683" s="219"/>
    </row>
    <row r="684" spans="1:49">
      <c r="A684" s="219"/>
      <c r="B684" s="219"/>
      <c r="C684" s="219"/>
      <c r="D684" s="219"/>
      <c r="E684" s="219"/>
      <c r="F684" s="219"/>
      <c r="G684" s="219"/>
      <c r="H684" s="219"/>
      <c r="I684" s="219"/>
      <c r="J684" s="219"/>
      <c r="K684" s="219"/>
      <c r="L684" s="219"/>
      <c r="M684" s="219"/>
      <c r="N684" s="219"/>
      <c r="O684" s="219"/>
      <c r="P684" s="219"/>
      <c r="Q684" s="219"/>
      <c r="R684" s="219"/>
      <c r="S684" s="219"/>
      <c r="T684" s="219"/>
      <c r="U684" s="219"/>
      <c r="V684" s="219"/>
      <c r="W684" s="219"/>
      <c r="X684" s="219"/>
      <c r="Y684" s="219"/>
      <c r="Z684" s="219"/>
      <c r="AA684" s="219"/>
      <c r="AB684" s="219"/>
      <c r="AC684" s="219"/>
      <c r="AD684" s="219"/>
      <c r="AE684" s="219"/>
      <c r="AF684" s="219"/>
      <c r="AG684" s="219"/>
      <c r="AH684" s="219"/>
      <c r="AI684" s="219"/>
      <c r="AJ684" s="219"/>
      <c r="AK684" s="219"/>
      <c r="AL684" s="219"/>
      <c r="AM684" s="219"/>
      <c r="AN684" s="219"/>
      <c r="AO684" s="219"/>
      <c r="AP684" s="219"/>
      <c r="AQ684" s="219"/>
      <c r="AR684" s="219"/>
      <c r="AS684" s="219"/>
      <c r="AT684" s="219"/>
      <c r="AU684" s="219"/>
      <c r="AV684" s="219"/>
      <c r="AW684" s="219"/>
    </row>
    <row r="685" spans="1:49">
      <c r="A685" s="219"/>
      <c r="B685" s="219"/>
      <c r="C685" s="219"/>
      <c r="D685" s="219"/>
      <c r="E685" s="219"/>
      <c r="F685" s="219"/>
      <c r="G685" s="219"/>
      <c r="H685" s="219"/>
      <c r="I685" s="219"/>
      <c r="J685" s="219"/>
      <c r="K685" s="219"/>
      <c r="L685" s="219"/>
      <c r="M685" s="219"/>
      <c r="N685" s="219"/>
      <c r="O685" s="219"/>
      <c r="P685" s="219"/>
      <c r="Q685" s="219"/>
      <c r="R685" s="219"/>
      <c r="S685" s="219"/>
      <c r="T685" s="219"/>
      <c r="U685" s="219"/>
      <c r="V685" s="219"/>
      <c r="W685" s="219"/>
      <c r="X685" s="219"/>
      <c r="Y685" s="219"/>
      <c r="Z685" s="219"/>
      <c r="AA685" s="219"/>
      <c r="AB685" s="219"/>
      <c r="AC685" s="219"/>
      <c r="AD685" s="219"/>
      <c r="AE685" s="219"/>
      <c r="AF685" s="219"/>
      <c r="AG685" s="219"/>
      <c r="AH685" s="219"/>
      <c r="AI685" s="219"/>
      <c r="AJ685" s="219"/>
      <c r="AK685" s="219"/>
      <c r="AL685" s="219"/>
      <c r="AM685" s="219"/>
      <c r="AN685" s="219"/>
      <c r="AO685" s="219"/>
      <c r="AP685" s="219"/>
      <c r="AQ685" s="219"/>
      <c r="AR685" s="219"/>
      <c r="AS685" s="219"/>
      <c r="AT685" s="219"/>
      <c r="AU685" s="219"/>
      <c r="AV685" s="219"/>
      <c r="AW685" s="219"/>
    </row>
    <row r="686" spans="1:49">
      <c r="A686" s="219"/>
      <c r="B686" s="219"/>
      <c r="C686" s="219"/>
      <c r="D686" s="219"/>
      <c r="E686" s="219"/>
      <c r="F686" s="219"/>
      <c r="G686" s="219"/>
      <c r="H686" s="219"/>
      <c r="I686" s="219"/>
      <c r="J686" s="219"/>
      <c r="K686" s="219"/>
      <c r="L686" s="219"/>
      <c r="M686" s="219"/>
      <c r="N686" s="219"/>
      <c r="O686" s="219"/>
      <c r="P686" s="219"/>
      <c r="Q686" s="219"/>
      <c r="R686" s="219"/>
      <c r="S686" s="219"/>
      <c r="T686" s="219"/>
      <c r="U686" s="219"/>
      <c r="V686" s="219"/>
      <c r="W686" s="219"/>
      <c r="X686" s="219"/>
      <c r="Y686" s="219"/>
      <c r="Z686" s="219"/>
      <c r="AA686" s="219"/>
      <c r="AB686" s="219"/>
      <c r="AC686" s="219"/>
      <c r="AD686" s="219"/>
      <c r="AE686" s="219"/>
      <c r="AF686" s="219"/>
      <c r="AG686" s="219"/>
      <c r="AH686" s="219"/>
      <c r="AI686" s="219"/>
      <c r="AJ686" s="219"/>
      <c r="AK686" s="219"/>
      <c r="AL686" s="219"/>
      <c r="AM686" s="219"/>
      <c r="AN686" s="219"/>
      <c r="AO686" s="219"/>
      <c r="AP686" s="219"/>
      <c r="AQ686" s="219"/>
      <c r="AR686" s="219"/>
      <c r="AS686" s="219"/>
      <c r="AT686" s="219"/>
      <c r="AU686" s="219"/>
      <c r="AV686" s="219"/>
      <c r="AW686" s="219"/>
    </row>
    <row r="687" spans="1:49">
      <c r="A687" s="219"/>
      <c r="B687" s="219"/>
      <c r="C687" s="219"/>
      <c r="D687" s="219"/>
      <c r="E687" s="219"/>
      <c r="F687" s="219"/>
      <c r="G687" s="219"/>
      <c r="H687" s="219"/>
      <c r="I687" s="219"/>
      <c r="J687" s="219"/>
      <c r="K687" s="219"/>
      <c r="L687" s="219"/>
      <c r="M687" s="219"/>
      <c r="N687" s="219"/>
      <c r="O687" s="219"/>
      <c r="P687" s="219"/>
      <c r="Q687" s="219"/>
      <c r="R687" s="219"/>
      <c r="S687" s="219"/>
      <c r="T687" s="219"/>
      <c r="U687" s="219"/>
      <c r="V687" s="219"/>
      <c r="W687" s="219"/>
      <c r="X687" s="219"/>
      <c r="Y687" s="219"/>
      <c r="Z687" s="219"/>
      <c r="AA687" s="219"/>
      <c r="AB687" s="219"/>
      <c r="AC687" s="219"/>
      <c r="AD687" s="219"/>
      <c r="AE687" s="219"/>
      <c r="AF687" s="219"/>
      <c r="AG687" s="219"/>
      <c r="AH687" s="219"/>
      <c r="AI687" s="219"/>
      <c r="AJ687" s="219"/>
      <c r="AK687" s="219"/>
      <c r="AL687" s="219"/>
      <c r="AM687" s="219"/>
      <c r="AN687" s="219"/>
      <c r="AO687" s="219"/>
      <c r="AP687" s="219"/>
      <c r="AQ687" s="219"/>
      <c r="AR687" s="219"/>
      <c r="AS687" s="219"/>
      <c r="AT687" s="219"/>
      <c r="AU687" s="219"/>
      <c r="AV687" s="219"/>
      <c r="AW687" s="219"/>
    </row>
    <row r="688" spans="1:49">
      <c r="A688" s="219"/>
      <c r="B688" s="219"/>
      <c r="C688" s="219"/>
      <c r="D688" s="219"/>
      <c r="E688" s="219"/>
      <c r="F688" s="219"/>
      <c r="G688" s="219"/>
      <c r="H688" s="219"/>
      <c r="I688" s="219"/>
      <c r="J688" s="219"/>
      <c r="K688" s="219"/>
      <c r="L688" s="219"/>
      <c r="M688" s="219"/>
      <c r="N688" s="219"/>
      <c r="O688" s="219"/>
      <c r="P688" s="219"/>
      <c r="Q688" s="219"/>
      <c r="R688" s="219"/>
      <c r="S688" s="219"/>
      <c r="T688" s="219"/>
      <c r="U688" s="219"/>
      <c r="V688" s="219"/>
      <c r="W688" s="219"/>
      <c r="X688" s="219"/>
      <c r="Y688" s="219"/>
      <c r="Z688" s="219"/>
      <c r="AA688" s="219"/>
      <c r="AB688" s="219"/>
      <c r="AC688" s="219"/>
      <c r="AD688" s="219"/>
      <c r="AE688" s="219"/>
      <c r="AF688" s="219"/>
      <c r="AG688" s="219"/>
      <c r="AH688" s="219"/>
      <c r="AI688" s="219"/>
      <c r="AJ688" s="219"/>
      <c r="AK688" s="219"/>
      <c r="AL688" s="219"/>
      <c r="AM688" s="219"/>
      <c r="AN688" s="219"/>
      <c r="AO688" s="219"/>
      <c r="AP688" s="219"/>
      <c r="AQ688" s="219"/>
      <c r="AR688" s="219"/>
      <c r="AS688" s="219"/>
      <c r="AT688" s="219"/>
      <c r="AU688" s="219"/>
      <c r="AV688" s="219"/>
      <c r="AW688" s="219"/>
    </row>
    <row r="689" spans="1:49">
      <c r="A689" s="219"/>
      <c r="B689" s="219"/>
      <c r="C689" s="219"/>
      <c r="D689" s="219"/>
      <c r="E689" s="219"/>
      <c r="F689" s="219"/>
      <c r="G689" s="219"/>
      <c r="H689" s="219"/>
      <c r="I689" s="219"/>
      <c r="J689" s="219"/>
      <c r="K689" s="219"/>
      <c r="L689" s="219"/>
      <c r="M689" s="219"/>
      <c r="N689" s="219"/>
      <c r="O689" s="219"/>
      <c r="P689" s="219"/>
      <c r="Q689" s="219"/>
      <c r="R689" s="219"/>
      <c r="S689" s="219"/>
      <c r="T689" s="219"/>
      <c r="U689" s="219"/>
      <c r="V689" s="219"/>
      <c r="W689" s="219"/>
      <c r="X689" s="219"/>
      <c r="Y689" s="219"/>
      <c r="Z689" s="219"/>
      <c r="AA689" s="219"/>
      <c r="AB689" s="219"/>
      <c r="AC689" s="219"/>
      <c r="AD689" s="219"/>
      <c r="AE689" s="219"/>
      <c r="AF689" s="219"/>
      <c r="AG689" s="219"/>
      <c r="AH689" s="219"/>
      <c r="AI689" s="219"/>
      <c r="AJ689" s="219"/>
      <c r="AK689" s="219"/>
      <c r="AL689" s="219"/>
      <c r="AM689" s="219"/>
      <c r="AN689" s="219"/>
      <c r="AO689" s="219"/>
      <c r="AP689" s="219"/>
      <c r="AQ689" s="219"/>
      <c r="AR689" s="219"/>
      <c r="AS689" s="219"/>
      <c r="AT689" s="219"/>
      <c r="AU689" s="219"/>
      <c r="AV689" s="219"/>
      <c r="AW689" s="219"/>
    </row>
    <row r="690" spans="1:49">
      <c r="A690" s="219"/>
      <c r="B690" s="219"/>
      <c r="C690" s="219"/>
      <c r="D690" s="219"/>
      <c r="E690" s="219"/>
      <c r="F690" s="219"/>
      <c r="G690" s="219"/>
      <c r="H690" s="219"/>
      <c r="I690" s="219"/>
      <c r="J690" s="219"/>
      <c r="K690" s="219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19"/>
      <c r="Z690" s="219"/>
      <c r="AA690" s="219"/>
      <c r="AB690" s="219"/>
      <c r="AC690" s="219"/>
      <c r="AD690" s="219"/>
      <c r="AE690" s="219"/>
      <c r="AF690" s="219"/>
      <c r="AG690" s="219"/>
      <c r="AH690" s="219"/>
      <c r="AI690" s="219"/>
      <c r="AJ690" s="219"/>
      <c r="AK690" s="219"/>
      <c r="AL690" s="219"/>
      <c r="AM690" s="219"/>
      <c r="AN690" s="219"/>
      <c r="AO690" s="219"/>
      <c r="AP690" s="219"/>
      <c r="AQ690" s="219"/>
      <c r="AR690" s="219"/>
      <c r="AS690" s="219"/>
      <c r="AT690" s="219"/>
      <c r="AU690" s="219"/>
      <c r="AV690" s="219"/>
      <c r="AW690" s="219"/>
    </row>
    <row r="691" spans="1:49">
      <c r="A691" s="219"/>
      <c r="B691" s="219"/>
      <c r="C691" s="219"/>
      <c r="D691" s="219"/>
      <c r="E691" s="219"/>
      <c r="F691" s="219"/>
      <c r="G691" s="219"/>
      <c r="H691" s="219"/>
      <c r="I691" s="219"/>
      <c r="J691" s="219"/>
      <c r="K691" s="219"/>
      <c r="L691" s="219"/>
      <c r="M691" s="219"/>
      <c r="N691" s="219"/>
      <c r="O691" s="219"/>
      <c r="P691" s="219"/>
      <c r="Q691" s="219"/>
      <c r="R691" s="219"/>
      <c r="S691" s="219"/>
      <c r="T691" s="219"/>
      <c r="U691" s="219"/>
      <c r="V691" s="219"/>
      <c r="W691" s="219"/>
      <c r="X691" s="219"/>
      <c r="Y691" s="219"/>
      <c r="Z691" s="219"/>
      <c r="AA691" s="219"/>
      <c r="AB691" s="219"/>
      <c r="AC691" s="219"/>
      <c r="AD691" s="219"/>
      <c r="AE691" s="219"/>
      <c r="AF691" s="219"/>
      <c r="AG691" s="219"/>
      <c r="AH691" s="219"/>
      <c r="AI691" s="219"/>
      <c r="AJ691" s="219"/>
      <c r="AK691" s="219"/>
      <c r="AL691" s="219"/>
      <c r="AM691" s="219"/>
      <c r="AN691" s="219"/>
      <c r="AO691" s="219"/>
      <c r="AP691" s="219"/>
      <c r="AQ691" s="219"/>
      <c r="AR691" s="219"/>
      <c r="AS691" s="219"/>
      <c r="AT691" s="219"/>
      <c r="AU691" s="219"/>
      <c r="AV691" s="219"/>
      <c r="AW691" s="219"/>
    </row>
    <row r="692" spans="1:49">
      <c r="A692" s="219"/>
      <c r="B692" s="219"/>
      <c r="C692" s="219"/>
      <c r="D692" s="219"/>
      <c r="E692" s="219"/>
      <c r="F692" s="219"/>
      <c r="G692" s="219"/>
      <c r="H692" s="219"/>
      <c r="I692" s="219"/>
      <c r="J692" s="219"/>
      <c r="K692" s="219"/>
      <c r="L692" s="219"/>
      <c r="M692" s="219"/>
      <c r="N692" s="219"/>
      <c r="O692" s="219"/>
      <c r="P692" s="219"/>
      <c r="Q692" s="219"/>
      <c r="R692" s="219"/>
      <c r="S692" s="219"/>
      <c r="T692" s="219"/>
      <c r="U692" s="219"/>
      <c r="V692" s="219"/>
      <c r="W692" s="219"/>
      <c r="X692" s="219"/>
      <c r="Y692" s="219"/>
      <c r="Z692" s="219"/>
      <c r="AA692" s="219"/>
      <c r="AB692" s="219"/>
      <c r="AC692" s="219"/>
      <c r="AD692" s="219"/>
      <c r="AE692" s="219"/>
      <c r="AF692" s="219"/>
      <c r="AG692" s="219"/>
      <c r="AH692" s="219"/>
      <c r="AI692" s="219"/>
      <c r="AJ692" s="219"/>
      <c r="AK692" s="219"/>
      <c r="AL692" s="219"/>
      <c r="AM692" s="219"/>
      <c r="AN692" s="219"/>
      <c r="AO692" s="219"/>
      <c r="AP692" s="219"/>
      <c r="AQ692" s="219"/>
      <c r="AR692" s="219"/>
      <c r="AS692" s="219"/>
      <c r="AT692" s="219"/>
      <c r="AU692" s="219"/>
      <c r="AV692" s="219"/>
      <c r="AW692" s="219"/>
    </row>
    <row r="693" spans="1:49">
      <c r="A693" s="219"/>
      <c r="B693" s="219"/>
      <c r="C693" s="219"/>
      <c r="D693" s="219"/>
      <c r="E693" s="219"/>
      <c r="F693" s="219"/>
      <c r="G693" s="219"/>
      <c r="H693" s="219"/>
      <c r="I693" s="219"/>
      <c r="J693" s="219"/>
      <c r="K693" s="219"/>
      <c r="L693" s="219"/>
      <c r="M693" s="219"/>
      <c r="N693" s="219"/>
      <c r="O693" s="219"/>
      <c r="P693" s="219"/>
      <c r="Q693" s="219"/>
      <c r="R693" s="219"/>
      <c r="S693" s="219"/>
      <c r="T693" s="219"/>
      <c r="U693" s="219"/>
      <c r="V693" s="219"/>
      <c r="W693" s="219"/>
      <c r="X693" s="219"/>
      <c r="Y693" s="219"/>
      <c r="Z693" s="219"/>
      <c r="AA693" s="219"/>
      <c r="AB693" s="219"/>
      <c r="AC693" s="219"/>
      <c r="AD693" s="219"/>
      <c r="AE693" s="219"/>
      <c r="AF693" s="219"/>
      <c r="AG693" s="219"/>
      <c r="AH693" s="219"/>
      <c r="AI693" s="219"/>
      <c r="AJ693" s="219"/>
      <c r="AK693" s="219"/>
      <c r="AL693" s="219"/>
      <c r="AM693" s="219"/>
      <c r="AN693" s="219"/>
      <c r="AO693" s="219"/>
      <c r="AP693" s="219"/>
      <c r="AQ693" s="219"/>
      <c r="AR693" s="219"/>
      <c r="AS693" s="219"/>
      <c r="AT693" s="219"/>
      <c r="AU693" s="219"/>
      <c r="AV693" s="219"/>
      <c r="AW693" s="219"/>
    </row>
    <row r="694" spans="1:49">
      <c r="A694" s="219"/>
      <c r="B694" s="219"/>
      <c r="C694" s="219"/>
      <c r="D694" s="219"/>
      <c r="E694" s="219"/>
      <c r="F694" s="219"/>
      <c r="G694" s="219"/>
      <c r="H694" s="219"/>
      <c r="I694" s="219"/>
      <c r="J694" s="219"/>
      <c r="K694" s="219"/>
      <c r="L694" s="219"/>
      <c r="M694" s="219"/>
      <c r="N694" s="219"/>
      <c r="O694" s="219"/>
      <c r="P694" s="219"/>
      <c r="Q694" s="219"/>
      <c r="R694" s="219"/>
      <c r="S694" s="219"/>
      <c r="T694" s="219"/>
      <c r="U694" s="219"/>
      <c r="V694" s="219"/>
      <c r="W694" s="219"/>
      <c r="X694" s="219"/>
      <c r="Y694" s="219"/>
      <c r="Z694" s="219"/>
      <c r="AA694" s="219"/>
      <c r="AB694" s="219"/>
      <c r="AC694" s="219"/>
      <c r="AD694" s="219"/>
      <c r="AE694" s="219"/>
      <c r="AF694" s="219"/>
      <c r="AG694" s="219"/>
      <c r="AH694" s="219"/>
      <c r="AI694" s="219"/>
      <c r="AJ694" s="219"/>
      <c r="AK694" s="219"/>
      <c r="AL694" s="219"/>
      <c r="AM694" s="219"/>
      <c r="AN694" s="219"/>
      <c r="AO694" s="219"/>
      <c r="AP694" s="219"/>
      <c r="AQ694" s="219"/>
      <c r="AR694" s="219"/>
      <c r="AS694" s="219"/>
      <c r="AT694" s="219"/>
      <c r="AU694" s="219"/>
      <c r="AV694" s="219"/>
      <c r="AW694" s="219"/>
    </row>
    <row r="695" spans="1:49">
      <c r="A695" s="219"/>
      <c r="B695" s="219"/>
      <c r="C695" s="219"/>
      <c r="D695" s="219"/>
      <c r="E695" s="219"/>
      <c r="F695" s="219"/>
      <c r="G695" s="219"/>
      <c r="H695" s="219"/>
      <c r="I695" s="219"/>
      <c r="J695" s="219"/>
      <c r="K695" s="219"/>
      <c r="L695" s="219"/>
      <c r="M695" s="219"/>
      <c r="N695" s="219"/>
      <c r="O695" s="219"/>
      <c r="P695" s="219"/>
      <c r="Q695" s="219"/>
      <c r="R695" s="219"/>
      <c r="S695" s="219"/>
      <c r="T695" s="219"/>
      <c r="U695" s="219"/>
      <c r="V695" s="219"/>
      <c r="W695" s="219"/>
      <c r="X695" s="219"/>
      <c r="Y695" s="219"/>
      <c r="Z695" s="219"/>
      <c r="AA695" s="219"/>
      <c r="AB695" s="219"/>
      <c r="AC695" s="219"/>
      <c r="AD695" s="219"/>
      <c r="AE695" s="219"/>
      <c r="AF695" s="219"/>
      <c r="AG695" s="219"/>
      <c r="AH695" s="219"/>
      <c r="AI695" s="219"/>
      <c r="AJ695" s="219"/>
      <c r="AK695" s="219"/>
      <c r="AL695" s="219"/>
      <c r="AM695" s="219"/>
      <c r="AN695" s="219"/>
      <c r="AO695" s="219"/>
      <c r="AP695" s="219"/>
      <c r="AQ695" s="219"/>
      <c r="AR695" s="219"/>
      <c r="AS695" s="219"/>
      <c r="AT695" s="219"/>
      <c r="AU695" s="219"/>
      <c r="AV695" s="219"/>
      <c r="AW695" s="219"/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M8" sqref="M8"/>
    </sheetView>
  </sheetViews>
  <sheetFormatPr baseColWidth="10" defaultColWidth="9.7109375" defaultRowHeight="12.75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5" customWidth="1"/>
    <col min="10" max="10" width="12.28515625" style="2" customWidth="1"/>
    <col min="11" max="11" width="15.5703125" style="2" customWidth="1"/>
    <col min="12" max="12" width="12" style="5" customWidth="1"/>
    <col min="13" max="13" width="17.7109375" style="6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4" style="2" customWidth="1"/>
    <col min="21" max="21" width="12.85546875" style="2" customWidth="1"/>
    <col min="22" max="22" width="14.42578125" style="2" customWidth="1"/>
    <col min="23" max="23" width="16.85546875" style="2" customWidth="1"/>
    <col min="24" max="24" width="14.140625" style="5" customWidth="1"/>
    <col min="25" max="25" width="18.42578125" style="2" bestFit="1" customWidth="1"/>
    <col min="26" max="26" width="16.85546875" style="2" bestFit="1" customWidth="1"/>
    <col min="27" max="27" width="13.85546875" style="5" customWidth="1"/>
    <col min="28" max="28" width="15.140625" style="5" customWidth="1"/>
    <col min="29" max="29" width="17.5703125" style="6" customWidth="1"/>
    <col min="30" max="30" width="3.7109375" style="1" customWidth="1"/>
    <col min="31" max="33" width="18.42578125" style="2" customWidth="1"/>
    <col min="34" max="34" width="20.140625" style="2" customWidth="1"/>
    <col min="35" max="35" width="16.140625" style="2" bestFit="1" customWidth="1"/>
    <col min="36" max="16384" width="9.7109375" style="2"/>
  </cols>
  <sheetData>
    <row r="1" spans="1:64" ht="33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64" ht="26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64" ht="18.75" thickBot="1">
      <c r="B3" s="407" t="s">
        <v>115</v>
      </c>
      <c r="C3" s="407"/>
      <c r="D3" s="407"/>
      <c r="E3" s="407"/>
      <c r="F3" s="407"/>
      <c r="G3" s="408" t="s">
        <v>66</v>
      </c>
      <c r="H3" s="408"/>
      <c r="I3" s="408"/>
      <c r="J3" s="408"/>
      <c r="K3" s="408"/>
      <c r="L3" s="408"/>
      <c r="M3" s="408"/>
      <c r="N3" s="408" t="s">
        <v>102</v>
      </c>
      <c r="O3" s="408"/>
      <c r="P3" s="408"/>
      <c r="Q3" s="408"/>
      <c r="R3" s="408"/>
      <c r="S3" s="408"/>
      <c r="T3" s="408"/>
      <c r="U3" s="408"/>
      <c r="V3" s="10"/>
      <c r="W3" s="408"/>
      <c r="X3" s="408"/>
      <c r="Y3" s="407" t="s">
        <v>102</v>
      </c>
      <c r="Z3" s="407"/>
      <c r="AA3" s="407"/>
      <c r="AB3" s="407"/>
      <c r="AC3" s="407"/>
      <c r="AE3" s="407" t="s">
        <v>135</v>
      </c>
      <c r="AF3" s="407"/>
      <c r="AG3" s="407"/>
      <c r="AH3" s="407"/>
      <c r="AI3" s="407"/>
    </row>
    <row r="4" spans="1:64" ht="64.5" thickBot="1">
      <c r="A4" s="112" t="s">
        <v>0</v>
      </c>
      <c r="B4" s="135" t="s">
        <v>325</v>
      </c>
      <c r="C4" s="112" t="s">
        <v>322</v>
      </c>
      <c r="D4" s="135" t="s">
        <v>133</v>
      </c>
      <c r="E4" s="136" t="s">
        <v>134</v>
      </c>
      <c r="F4" s="137" t="s">
        <v>92</v>
      </c>
      <c r="G4" s="112" t="s">
        <v>250</v>
      </c>
      <c r="H4" s="135" t="s">
        <v>88</v>
      </c>
      <c r="I4" s="138">
        <v>0.85</v>
      </c>
      <c r="J4" s="112" t="s">
        <v>58</v>
      </c>
      <c r="K4" s="135" t="s">
        <v>89</v>
      </c>
      <c r="L4" s="138">
        <v>0.15</v>
      </c>
      <c r="M4" s="113" t="s">
        <v>90</v>
      </c>
      <c r="N4" s="112" t="s">
        <v>81</v>
      </c>
      <c r="O4" s="112" t="s">
        <v>327</v>
      </c>
      <c r="P4" s="112" t="s">
        <v>328</v>
      </c>
      <c r="Q4" s="112" t="s">
        <v>329</v>
      </c>
      <c r="R4" s="112" t="s">
        <v>330</v>
      </c>
      <c r="S4" s="112" t="s">
        <v>86</v>
      </c>
      <c r="T4" s="112" t="s">
        <v>331</v>
      </c>
      <c r="U4" s="112" t="s">
        <v>332</v>
      </c>
      <c r="V4" s="112" t="s">
        <v>333</v>
      </c>
      <c r="W4" s="112" t="s">
        <v>334</v>
      </c>
      <c r="X4" s="138">
        <v>0.85</v>
      </c>
      <c r="Y4" s="112" t="s">
        <v>342</v>
      </c>
      <c r="Z4" s="136" t="s">
        <v>61</v>
      </c>
      <c r="AA4" s="139" t="s">
        <v>63</v>
      </c>
      <c r="AB4" s="138">
        <v>0.15</v>
      </c>
      <c r="AC4" s="113" t="s">
        <v>91</v>
      </c>
      <c r="AD4" s="80"/>
      <c r="AE4" s="114" t="s">
        <v>105</v>
      </c>
      <c r="AF4" s="114" t="s">
        <v>103</v>
      </c>
      <c r="AG4" s="114" t="s">
        <v>104</v>
      </c>
      <c r="AH4" s="114" t="s">
        <v>141</v>
      </c>
      <c r="AI4" s="114" t="s">
        <v>93</v>
      </c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</row>
    <row r="5" spans="1:64">
      <c r="A5" s="115"/>
      <c r="B5" s="140" t="s">
        <v>109</v>
      </c>
      <c r="C5" s="115" t="s">
        <v>109</v>
      </c>
      <c r="D5" s="140"/>
      <c r="E5" s="141"/>
      <c r="F5" s="142"/>
      <c r="G5" s="115"/>
      <c r="H5" s="140"/>
      <c r="I5" s="143"/>
      <c r="J5" s="86"/>
      <c r="K5" s="140"/>
      <c r="L5" s="143"/>
      <c r="M5" s="116"/>
      <c r="N5" s="86"/>
      <c r="O5" s="86"/>
      <c r="P5" s="86"/>
      <c r="Q5" s="86"/>
      <c r="R5" s="86"/>
      <c r="S5" s="86"/>
      <c r="T5" s="86"/>
      <c r="U5" s="86"/>
      <c r="V5" s="86"/>
      <c r="W5" s="115"/>
      <c r="X5" s="143"/>
      <c r="Y5" s="115"/>
      <c r="Z5" s="141"/>
      <c r="AA5" s="144"/>
      <c r="AB5" s="143"/>
      <c r="AC5" s="116"/>
      <c r="AD5" s="103"/>
      <c r="AE5" s="117" t="s">
        <v>109</v>
      </c>
      <c r="AF5" s="117" t="s">
        <v>109</v>
      </c>
      <c r="AG5" s="117" t="s">
        <v>109</v>
      </c>
      <c r="AH5" s="117" t="s">
        <v>109</v>
      </c>
      <c r="AI5" s="117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</row>
    <row r="6" spans="1:64" s="3" customFormat="1" ht="22.5">
      <c r="A6" s="118"/>
      <c r="B6" s="145" t="s">
        <v>176</v>
      </c>
      <c r="C6" s="146" t="s">
        <v>177</v>
      </c>
      <c r="D6" s="146" t="s">
        <v>54</v>
      </c>
      <c r="E6" s="146" t="s">
        <v>55</v>
      </c>
      <c r="F6" s="147" t="s">
        <v>74</v>
      </c>
      <c r="G6" s="118" t="s">
        <v>57</v>
      </c>
      <c r="H6" s="146" t="s">
        <v>72</v>
      </c>
      <c r="I6" s="148" t="s">
        <v>75</v>
      </c>
      <c r="J6" s="121" t="s">
        <v>65</v>
      </c>
      <c r="K6" s="146" t="s">
        <v>76</v>
      </c>
      <c r="L6" s="148" t="s">
        <v>77</v>
      </c>
      <c r="M6" s="149" t="s">
        <v>67</v>
      </c>
      <c r="N6" s="121" t="s">
        <v>82</v>
      </c>
      <c r="O6" s="121" t="s">
        <v>83</v>
      </c>
      <c r="P6" s="121" t="s">
        <v>84</v>
      </c>
      <c r="Q6" s="121" t="s">
        <v>85</v>
      </c>
      <c r="R6" s="118" t="s">
        <v>341</v>
      </c>
      <c r="S6" s="121" t="s">
        <v>82</v>
      </c>
      <c r="T6" s="121" t="s">
        <v>83</v>
      </c>
      <c r="U6" s="121" t="s">
        <v>84</v>
      </c>
      <c r="V6" s="121" t="s">
        <v>85</v>
      </c>
      <c r="W6" s="146" t="s">
        <v>59</v>
      </c>
      <c r="X6" s="148" t="s">
        <v>78</v>
      </c>
      <c r="Y6" s="146" t="s">
        <v>62</v>
      </c>
      <c r="Z6" s="146" t="s">
        <v>60</v>
      </c>
      <c r="AA6" s="148" t="s">
        <v>79</v>
      </c>
      <c r="AB6" s="148" t="s">
        <v>80</v>
      </c>
      <c r="AC6" s="120" t="s">
        <v>64</v>
      </c>
      <c r="AD6" s="119"/>
      <c r="AE6" s="121">
        <f>+AH6*0.5</f>
        <v>4053861964.5130367</v>
      </c>
      <c r="AF6" s="121">
        <f>+AH6*0.25</f>
        <v>2026930982.2565184</v>
      </c>
      <c r="AG6" s="121">
        <f>+AH6*0.25</f>
        <v>2026930982.2565184</v>
      </c>
      <c r="AH6" s="121">
        <f>+'PART PEF2021'!E13</f>
        <v>8107723929.0260735</v>
      </c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</row>
    <row r="7" spans="1:64" s="4" customFormat="1" ht="23.25" customHeight="1" thickBot="1">
      <c r="A7" s="122"/>
      <c r="B7" s="123"/>
      <c r="C7" s="123"/>
      <c r="D7" s="123"/>
      <c r="E7" s="123"/>
      <c r="F7" s="150"/>
      <c r="G7" s="122"/>
      <c r="H7" s="123"/>
      <c r="I7" s="151"/>
      <c r="J7" s="123"/>
      <c r="K7" s="123"/>
      <c r="L7" s="151"/>
      <c r="M7" s="124"/>
      <c r="N7" s="121"/>
      <c r="O7" s="121"/>
      <c r="P7" s="121"/>
      <c r="Q7" s="121"/>
      <c r="R7" s="122"/>
      <c r="S7" s="121"/>
      <c r="T7" s="121"/>
      <c r="U7" s="121"/>
      <c r="V7" s="121"/>
      <c r="W7" s="123"/>
      <c r="X7" s="152"/>
      <c r="Y7" s="123"/>
      <c r="Z7" s="123"/>
      <c r="AA7" s="151"/>
      <c r="AB7" s="151"/>
      <c r="AC7" s="124"/>
      <c r="AD7" s="123"/>
      <c r="AE7" s="121" t="s">
        <v>116</v>
      </c>
      <c r="AF7" s="121" t="s">
        <v>117</v>
      </c>
      <c r="AG7" s="121" t="s">
        <v>71</v>
      </c>
      <c r="AH7" s="125" t="s">
        <v>118</v>
      </c>
      <c r="AI7" s="125" t="s">
        <v>69</v>
      </c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</row>
    <row r="8" spans="1:64" ht="13.5" thickTop="1">
      <c r="A8" s="72" t="s">
        <v>1</v>
      </c>
      <c r="B8" s="153">
        <v>558823</v>
      </c>
      <c r="C8" s="153">
        <v>145672.85</v>
      </c>
      <c r="D8" s="154">
        <f t="shared" ref="D8:D39" si="0">+C8/B8</f>
        <v>0.26067797853703228</v>
      </c>
      <c r="E8" s="155">
        <f>+D8*C8</f>
        <v>37973.704065728321</v>
      </c>
      <c r="F8" s="327">
        <f t="shared" ref="F8:F39" si="1">+E8/E$59</f>
        <v>2.3846074066165529E-5</v>
      </c>
      <c r="G8" s="126">
        <f>+'CENSO POB 2020'!C5</f>
        <v>2974</v>
      </c>
      <c r="H8" s="156">
        <f t="shared" ref="H8:H39" si="2">+G8/$G$59</f>
        <v>5.141377508841821E-4</v>
      </c>
      <c r="I8" s="156">
        <f>+H8*I$4</f>
        <v>4.3701708825155477E-4</v>
      </c>
      <c r="J8" s="153">
        <f>+'TERRITORIO INEGI 2021'!B2</f>
        <v>46.9</v>
      </c>
      <c r="K8" s="156">
        <f t="shared" ref="K8:K39" si="3">+J8/$J$59</f>
        <v>7.3102605507790314E-4</v>
      </c>
      <c r="L8" s="157">
        <f>+K8*L$4</f>
        <v>1.0965390826168547E-4</v>
      </c>
      <c r="M8" s="327">
        <f>+L8+I8</f>
        <v>5.4667099651324028E-4</v>
      </c>
      <c r="N8" s="158">
        <v>334</v>
      </c>
      <c r="O8" s="159">
        <v>51</v>
      </c>
      <c r="P8" s="159">
        <v>69</v>
      </c>
      <c r="Q8" s="159">
        <v>52</v>
      </c>
      <c r="R8" s="395">
        <f t="shared" ref="R8:R39" si="4">(0.25*(N8/N$59))+(0.25*(O8/O$59))+(0.25*(P8/P$59))+(0.25*(Q8/Q$59))</f>
        <v>1.456616500754656E-3</v>
      </c>
      <c r="S8" s="367">
        <v>195</v>
      </c>
      <c r="T8" s="367">
        <v>48</v>
      </c>
      <c r="U8" s="367">
        <v>30</v>
      </c>
      <c r="V8" s="367">
        <v>7</v>
      </c>
      <c r="W8" s="395">
        <f t="shared" ref="W8:W39" si="5">(0.25*(S8/S$59))+(0.25*(T8/T$59))+(0.25*(U8/U$59))+(0.25*(V8/V$59))</f>
        <v>7.6890873659602387E-4</v>
      </c>
      <c r="X8" s="160">
        <f t="shared" ref="X8:X39" si="6">+W8*X$4</f>
        <v>6.5357242610662031E-4</v>
      </c>
      <c r="Y8" s="398">
        <f t="shared" ref="Y8:Y39" si="7">+(W8-R8)/R8</f>
        <v>-0.47212685274561889</v>
      </c>
      <c r="Z8" s="398">
        <f t="shared" ref="Z8:Z58" si="8">IF(Y8&gt;0,0,Y8)</f>
        <v>-0.47212685274561889</v>
      </c>
      <c r="AA8" s="156">
        <f>+Z8/Z$59</f>
        <v>5.9883783216983795E-2</v>
      </c>
      <c r="AB8" s="156">
        <f t="shared" ref="AB8:AB39" si="9">+AA8*AB$4</f>
        <v>8.9825674825475682E-3</v>
      </c>
      <c r="AC8" s="327">
        <f t="shared" ref="AC8:AC58" si="10">+AB8+X8</f>
        <v>9.6361399086541885E-3</v>
      </c>
      <c r="AD8" s="80"/>
      <c r="AE8" s="127">
        <f t="shared" ref="AE8:AE39" si="11">+F8*AE$6</f>
        <v>96668.692659789172</v>
      </c>
      <c r="AF8" s="128">
        <f t="shared" ref="AF8:AF39" si="12">+M8*AF$6</f>
        <v>1108064.3799337319</v>
      </c>
      <c r="AG8" s="128">
        <f t="shared" ref="AG8:AG39" si="13">+AC8*AG$6</f>
        <v>19531790.530209672</v>
      </c>
      <c r="AH8" s="128">
        <f>SUM(AE8:AG8)</f>
        <v>20736523.602803193</v>
      </c>
      <c r="AI8" s="363">
        <f>+AH8/AH$59</f>
        <v>2.5576257633249402E-3</v>
      </c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</row>
    <row r="9" spans="1:64">
      <c r="A9" s="73" t="s">
        <v>2</v>
      </c>
      <c r="B9" s="161">
        <v>2588435</v>
      </c>
      <c r="C9" s="161">
        <v>768052</v>
      </c>
      <c r="D9" s="162">
        <f t="shared" si="0"/>
        <v>0.2967244686461124</v>
      </c>
      <c r="E9" s="163">
        <f t="shared" ref="E9:E58" si="14">+D9*C9</f>
        <v>227899.82159258393</v>
      </c>
      <c r="F9" s="328">
        <f t="shared" si="1"/>
        <v>1.4311261329566678E-4</v>
      </c>
      <c r="G9" s="129">
        <f>+'CENSO POB 2020'!C6</f>
        <v>3382</v>
      </c>
      <c r="H9" s="164">
        <f t="shared" si="2"/>
        <v>5.8467177992276519E-4</v>
      </c>
      <c r="I9" s="164">
        <f t="shared" ref="I9:I58" si="15">+H9*I$4</f>
        <v>4.9697101293435045E-4</v>
      </c>
      <c r="J9" s="161">
        <f>+'TERRITORIO INEGI 2021'!B3</f>
        <v>980.9</v>
      </c>
      <c r="K9" s="164">
        <f t="shared" si="3"/>
        <v>1.528919951867623E-2</v>
      </c>
      <c r="L9" s="165">
        <f t="shared" ref="L9:L58" si="16">+K9*L$4</f>
        <v>2.2933799278014345E-3</v>
      </c>
      <c r="M9" s="328">
        <f t="shared" ref="M9:M58" si="17">+L9+I9</f>
        <v>2.7903509407357849E-3</v>
      </c>
      <c r="N9" s="166">
        <v>768</v>
      </c>
      <c r="O9" s="167">
        <v>120</v>
      </c>
      <c r="P9" s="167">
        <v>175</v>
      </c>
      <c r="Q9" s="167">
        <v>44</v>
      </c>
      <c r="R9" s="396">
        <f t="shared" si="4"/>
        <v>2.0154670291984656E-3</v>
      </c>
      <c r="S9" s="368">
        <v>469</v>
      </c>
      <c r="T9" s="368">
        <v>131</v>
      </c>
      <c r="U9" s="368">
        <v>85</v>
      </c>
      <c r="V9" s="368">
        <v>16</v>
      </c>
      <c r="W9" s="396">
        <f t="shared" si="5"/>
        <v>1.9410335279363734E-3</v>
      </c>
      <c r="X9" s="168">
        <f t="shared" si="6"/>
        <v>1.6498784987459174E-3</v>
      </c>
      <c r="Y9" s="399">
        <f t="shared" si="7"/>
        <v>-3.6931143096741101E-2</v>
      </c>
      <c r="Z9" s="399">
        <f t="shared" si="8"/>
        <v>-3.6931143096741101E-2</v>
      </c>
      <c r="AA9" s="164">
        <f t="shared" ref="AA9:AA58" si="18">+Z9/Z$59</f>
        <v>4.6842846457459284E-3</v>
      </c>
      <c r="AB9" s="164">
        <f t="shared" si="9"/>
        <v>7.0264269686188922E-4</v>
      </c>
      <c r="AC9" s="328">
        <f t="shared" si="10"/>
        <v>2.3525211956078066E-3</v>
      </c>
      <c r="AD9" s="80"/>
      <c r="AE9" s="130">
        <f t="shared" si="11"/>
        <v>580158.77968136629</v>
      </c>
      <c r="AF9" s="131">
        <f t="shared" si="12"/>
        <v>5655848.7731459849</v>
      </c>
      <c r="AG9" s="131">
        <f t="shared" si="13"/>
        <v>4768398.0977926105</v>
      </c>
      <c r="AH9" s="131">
        <f t="shared" ref="AH9:AH58" si="19">SUM(AE9:AG9)</f>
        <v>11004405.650619961</v>
      </c>
      <c r="AI9" s="364">
        <f t="shared" ref="AI9:AI58" si="20">+AH9/AH$59</f>
        <v>1.3572743407337315E-3</v>
      </c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</row>
    <row r="10" spans="1:64">
      <c r="A10" s="73" t="s">
        <v>3</v>
      </c>
      <c r="B10" s="161">
        <v>1115974</v>
      </c>
      <c r="C10" s="161">
        <v>272877</v>
      </c>
      <c r="D10" s="162">
        <f t="shared" si="0"/>
        <v>0.24451913754263091</v>
      </c>
      <c r="E10" s="163">
        <f t="shared" si="14"/>
        <v>66723.648695220501</v>
      </c>
      <c r="F10" s="328">
        <f t="shared" si="1"/>
        <v>4.1899970200352918E-5</v>
      </c>
      <c r="G10" s="129">
        <f>+'CENSO POB 2020'!C36</f>
        <v>1407</v>
      </c>
      <c r="H10" s="164">
        <f t="shared" si="2"/>
        <v>2.4323867366981983E-4</v>
      </c>
      <c r="I10" s="164">
        <f t="shared" si="15"/>
        <v>2.0675287261934686E-4</v>
      </c>
      <c r="J10" s="161">
        <f>+'TERRITORIO INEGI 2021'!B4</f>
        <v>694.5</v>
      </c>
      <c r="K10" s="164">
        <f t="shared" si="3"/>
        <v>1.0825108640759142E-2</v>
      </c>
      <c r="L10" s="165">
        <f t="shared" si="16"/>
        <v>1.6237662961138713E-3</v>
      </c>
      <c r="M10" s="328">
        <f t="shared" si="17"/>
        <v>1.8305191687332182E-3</v>
      </c>
      <c r="N10" s="166">
        <v>363</v>
      </c>
      <c r="O10" s="167">
        <v>60</v>
      </c>
      <c r="P10" s="167">
        <v>193</v>
      </c>
      <c r="Q10" s="167">
        <v>19</v>
      </c>
      <c r="R10" s="396">
        <f t="shared" si="4"/>
        <v>1.1550411585427741E-3</v>
      </c>
      <c r="S10" s="368">
        <v>209</v>
      </c>
      <c r="T10" s="368">
        <v>47</v>
      </c>
      <c r="U10" s="368">
        <v>10</v>
      </c>
      <c r="V10" s="368">
        <v>2</v>
      </c>
      <c r="W10" s="396">
        <f t="shared" si="5"/>
        <v>4.7743907478128595E-4</v>
      </c>
      <c r="X10" s="168">
        <f t="shared" si="6"/>
        <v>4.0582321356409304E-4</v>
      </c>
      <c r="Y10" s="399">
        <f t="shared" si="7"/>
        <v>-0.58664756554334929</v>
      </c>
      <c r="Z10" s="399">
        <f t="shared" si="8"/>
        <v>-0.58664756554334929</v>
      </c>
      <c r="AA10" s="164">
        <f t="shared" si="18"/>
        <v>7.4409399582907362E-2</v>
      </c>
      <c r="AB10" s="164">
        <f t="shared" si="9"/>
        <v>1.1161409937436103E-2</v>
      </c>
      <c r="AC10" s="328">
        <f t="shared" si="10"/>
        <v>1.1567233151000196E-2</v>
      </c>
      <c r="AD10" s="80"/>
      <c r="AE10" s="130">
        <f t="shared" si="11"/>
        <v>169856.69550944038</v>
      </c>
      <c r="AF10" s="131">
        <f t="shared" si="12"/>
        <v>3710336.0167198074</v>
      </c>
      <c r="AG10" s="131">
        <f t="shared" si="13"/>
        <v>23445983.252746992</v>
      </c>
      <c r="AH10" s="131">
        <f t="shared" si="19"/>
        <v>27326175.96497624</v>
      </c>
      <c r="AI10" s="364">
        <f t="shared" si="20"/>
        <v>3.3703880650335308E-3</v>
      </c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</row>
    <row r="11" spans="1:64" ht="13.5" customHeight="1">
      <c r="A11" s="73" t="s">
        <v>4</v>
      </c>
      <c r="B11" s="161">
        <v>37146815</v>
      </c>
      <c r="C11" s="161">
        <v>23142962</v>
      </c>
      <c r="D11" s="162">
        <f t="shared" si="0"/>
        <v>0.62301335928800361</v>
      </c>
      <c r="E11" s="163">
        <f t="shared" si="14"/>
        <v>14418374.499494614</v>
      </c>
      <c r="F11" s="328">
        <f t="shared" si="1"/>
        <v>9.0542030251656077E-3</v>
      </c>
      <c r="G11" s="129">
        <f>+'CENSO POB 2020'!C7</f>
        <v>35289</v>
      </c>
      <c r="H11" s="164">
        <f t="shared" si="2"/>
        <v>6.1006748792709828E-3</v>
      </c>
      <c r="I11" s="164">
        <f t="shared" si="15"/>
        <v>5.1855736473803348E-3</v>
      </c>
      <c r="J11" s="161">
        <f>+'TERRITORIO INEGI 2021'!B5</f>
        <v>190.5</v>
      </c>
      <c r="K11" s="164">
        <f t="shared" si="3"/>
        <v>2.9693062578324213E-3</v>
      </c>
      <c r="L11" s="165">
        <f t="shared" si="16"/>
        <v>4.4539593867486317E-4</v>
      </c>
      <c r="M11" s="328">
        <f t="shared" si="17"/>
        <v>5.6309695860551979E-3</v>
      </c>
      <c r="N11" s="166">
        <v>3420</v>
      </c>
      <c r="O11" s="167">
        <v>629</v>
      </c>
      <c r="P11" s="167">
        <v>1238</v>
      </c>
      <c r="Q11" s="167">
        <v>59</v>
      </c>
      <c r="R11" s="396">
        <f t="shared" si="4"/>
        <v>7.7354329857561889E-3</v>
      </c>
      <c r="S11" s="368">
        <v>2055</v>
      </c>
      <c r="T11" s="368">
        <v>459</v>
      </c>
      <c r="U11" s="368">
        <v>244</v>
      </c>
      <c r="V11" s="368">
        <v>11</v>
      </c>
      <c r="W11" s="396">
        <f t="shared" si="5"/>
        <v>5.0653367967831734E-3</v>
      </c>
      <c r="X11" s="168">
        <f t="shared" si="6"/>
        <v>4.3055362772656969E-3</v>
      </c>
      <c r="Y11" s="399">
        <f t="shared" si="7"/>
        <v>-0.34517734093096747</v>
      </c>
      <c r="Z11" s="399">
        <f t="shared" si="8"/>
        <v>-0.34517734093096747</v>
      </c>
      <c r="AA11" s="164">
        <f t="shared" si="18"/>
        <v>4.3781718695975559E-2</v>
      </c>
      <c r="AB11" s="164">
        <f t="shared" si="9"/>
        <v>6.5672578043963334E-3</v>
      </c>
      <c r="AC11" s="328">
        <f t="shared" si="10"/>
        <v>1.0872794081662029E-2</v>
      </c>
      <c r="AD11" s="80"/>
      <c r="AE11" s="130">
        <f t="shared" si="11"/>
        <v>36704489.262697734</v>
      </c>
      <c r="AF11" s="131">
        <f t="shared" si="12"/>
        <v>11413586.714119444</v>
      </c>
      <c r="AG11" s="131">
        <f t="shared" si="13"/>
        <v>22038403.187816076</v>
      </c>
      <c r="AH11" s="131">
        <f t="shared" si="19"/>
        <v>70156479.164633244</v>
      </c>
      <c r="AI11" s="364">
        <f t="shared" si="20"/>
        <v>8.6530424295121113E-3</v>
      </c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</row>
    <row r="12" spans="1:64">
      <c r="A12" s="73" t="s">
        <v>5</v>
      </c>
      <c r="B12" s="161">
        <v>10240869</v>
      </c>
      <c r="C12" s="161">
        <v>2531264</v>
      </c>
      <c r="D12" s="162">
        <f t="shared" si="0"/>
        <v>0.24717277410735358</v>
      </c>
      <c r="E12" s="163">
        <f t="shared" si="14"/>
        <v>625659.5448780763</v>
      </c>
      <c r="F12" s="328">
        <f t="shared" si="1"/>
        <v>3.9289092845780761E-4</v>
      </c>
      <c r="G12" s="129">
        <f>+'CENSO POB 2020'!C8</f>
        <v>18030</v>
      </c>
      <c r="H12" s="164">
        <f t="shared" si="2"/>
        <v>3.1169817244256232E-3</v>
      </c>
      <c r="I12" s="164">
        <f t="shared" si="15"/>
        <v>2.6494344657617798E-3</v>
      </c>
      <c r="J12" s="161">
        <f>+'TERRITORIO INEGI 2021'!B6</f>
        <v>4539.2</v>
      </c>
      <c r="K12" s="164">
        <f t="shared" si="3"/>
        <v>7.0752099556708276E-2</v>
      </c>
      <c r="L12" s="165">
        <f t="shared" si="16"/>
        <v>1.0612814933506241E-2</v>
      </c>
      <c r="M12" s="328">
        <f t="shared" si="17"/>
        <v>1.3262249399268022E-2</v>
      </c>
      <c r="N12" s="166">
        <v>3207</v>
      </c>
      <c r="O12" s="167">
        <v>510</v>
      </c>
      <c r="P12" s="167">
        <v>1865</v>
      </c>
      <c r="Q12" s="167">
        <v>534</v>
      </c>
      <c r="R12" s="396">
        <f t="shared" si="4"/>
        <v>1.7129340967256722E-2</v>
      </c>
      <c r="S12" s="368">
        <v>2802</v>
      </c>
      <c r="T12" s="368">
        <v>476</v>
      </c>
      <c r="U12" s="368">
        <v>516</v>
      </c>
      <c r="V12" s="368">
        <v>204</v>
      </c>
      <c r="W12" s="396">
        <f t="shared" si="5"/>
        <v>1.4747255888017929E-2</v>
      </c>
      <c r="X12" s="168">
        <f t="shared" si="6"/>
        <v>1.253516750481524E-2</v>
      </c>
      <c r="Y12" s="399">
        <f t="shared" si="7"/>
        <v>-0.13906460755216588</v>
      </c>
      <c r="Z12" s="399">
        <f t="shared" si="8"/>
        <v>-0.13906460755216588</v>
      </c>
      <c r="AA12" s="164">
        <f t="shared" si="18"/>
        <v>1.7638723074910097E-2</v>
      </c>
      <c r="AB12" s="164">
        <f t="shared" si="9"/>
        <v>2.6458084612365146E-3</v>
      </c>
      <c r="AC12" s="328">
        <f t="shared" si="10"/>
        <v>1.5180975966051755E-2</v>
      </c>
      <c r="AD12" s="80"/>
      <c r="AE12" s="130">
        <f t="shared" si="11"/>
        <v>1592725.5910773189</v>
      </c>
      <c r="AF12" s="131">
        <f t="shared" si="12"/>
        <v>26881664.201789252</v>
      </c>
      <c r="AG12" s="131">
        <f t="shared" si="13"/>
        <v>30770790.526481882</v>
      </c>
      <c r="AH12" s="131">
        <f t="shared" si="19"/>
        <v>59245180.319348454</v>
      </c>
      <c r="AI12" s="364">
        <f t="shared" si="20"/>
        <v>7.3072518055588495E-3</v>
      </c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</row>
    <row r="13" spans="1:64">
      <c r="A13" s="73" t="s">
        <v>6</v>
      </c>
      <c r="B13" s="161">
        <v>679461530</v>
      </c>
      <c r="C13" s="161">
        <v>299493654.98000002</v>
      </c>
      <c r="D13" s="162">
        <f t="shared" si="0"/>
        <v>0.44078088568163676</v>
      </c>
      <c r="E13" s="163">
        <f t="shared" si="14"/>
        <v>132011078.49811494</v>
      </c>
      <c r="F13" s="328">
        <f t="shared" si="1"/>
        <v>8.2898048343445538E-2</v>
      </c>
      <c r="G13" s="129">
        <f>+'CENSO POB 2020'!C9</f>
        <v>656464</v>
      </c>
      <c r="H13" s="164">
        <f t="shared" si="2"/>
        <v>0.11348786970290306</v>
      </c>
      <c r="I13" s="164">
        <f t="shared" si="15"/>
        <v>9.6464689247467594E-2</v>
      </c>
      <c r="J13" s="161">
        <f>+'TERRITORIO INEGI 2021'!B7</f>
        <v>224</v>
      </c>
      <c r="K13" s="164">
        <f t="shared" si="3"/>
        <v>3.4914677257452094E-3</v>
      </c>
      <c r="L13" s="165">
        <f t="shared" si="16"/>
        <v>5.2372015886178135E-4</v>
      </c>
      <c r="M13" s="328">
        <f t="shared" si="17"/>
        <v>9.6988409406329371E-2</v>
      </c>
      <c r="N13" s="166">
        <v>27572</v>
      </c>
      <c r="O13" s="167">
        <v>3826</v>
      </c>
      <c r="P13" s="167">
        <v>1071</v>
      </c>
      <c r="Q13" s="167">
        <v>267</v>
      </c>
      <c r="R13" s="396">
        <f t="shared" si="4"/>
        <v>3.6220820415084468E-2</v>
      </c>
      <c r="S13" s="368">
        <v>34239</v>
      </c>
      <c r="T13" s="368">
        <v>3599</v>
      </c>
      <c r="U13" s="368">
        <v>155</v>
      </c>
      <c r="V13" s="368">
        <v>93</v>
      </c>
      <c r="W13" s="396">
        <f t="shared" si="5"/>
        <v>4.5460568080825985E-2</v>
      </c>
      <c r="X13" s="168">
        <f t="shared" si="6"/>
        <v>3.8641482868702087E-2</v>
      </c>
      <c r="Y13" s="399">
        <f t="shared" si="7"/>
        <v>0.25509493048074489</v>
      </c>
      <c r="Z13" s="399">
        <f t="shared" si="8"/>
        <v>0</v>
      </c>
      <c r="AA13" s="164">
        <f t="shared" si="18"/>
        <v>0</v>
      </c>
      <c r="AB13" s="164">
        <f t="shared" si="9"/>
        <v>0</v>
      </c>
      <c r="AC13" s="328">
        <f t="shared" si="10"/>
        <v>3.8641482868702087E-2</v>
      </c>
      <c r="AD13" s="80"/>
      <c r="AE13" s="130">
        <f t="shared" si="11"/>
        <v>336057245.11185682</v>
      </c>
      <c r="AF13" s="131">
        <f t="shared" si="12"/>
        <v>196588811.94546854</v>
      </c>
      <c r="AG13" s="131">
        <f t="shared" si="13"/>
        <v>78323618.826906756</v>
      </c>
      <c r="AH13" s="131">
        <f t="shared" si="19"/>
        <v>610969675.88423216</v>
      </c>
      <c r="AI13" s="364">
        <f t="shared" si="20"/>
        <v>7.5356497240480644E-2</v>
      </c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</row>
    <row r="14" spans="1:64">
      <c r="A14" s="73" t="s">
        <v>7</v>
      </c>
      <c r="B14" s="161">
        <v>1835394</v>
      </c>
      <c r="C14" s="161">
        <v>788778.4</v>
      </c>
      <c r="D14" s="162">
        <f t="shared" si="0"/>
        <v>0.42975971371814448</v>
      </c>
      <c r="E14" s="163">
        <f t="shared" si="14"/>
        <v>338985.17937105609</v>
      </c>
      <c r="F14" s="328">
        <f t="shared" si="1"/>
        <v>2.1287008716934795E-4</v>
      </c>
      <c r="G14" s="129">
        <f>+'CENSO POB 2020'!C10</f>
        <v>14992</v>
      </c>
      <c r="H14" s="164">
        <f t="shared" si="2"/>
        <v>2.5917798121236242E-3</v>
      </c>
      <c r="I14" s="164">
        <f t="shared" si="15"/>
        <v>2.2030128403050806E-3</v>
      </c>
      <c r="J14" s="161">
        <f>+'TERRITORIO INEGI 2021'!B8</f>
        <v>2688.6</v>
      </c>
      <c r="K14" s="164">
        <f t="shared" si="3"/>
        <v>4.1906964854636471E-2</v>
      </c>
      <c r="L14" s="165">
        <f t="shared" si="16"/>
        <v>6.2860447281954702E-3</v>
      </c>
      <c r="M14" s="328">
        <f t="shared" si="17"/>
        <v>8.48905756850055E-3</v>
      </c>
      <c r="N14" s="166">
        <v>3888</v>
      </c>
      <c r="O14" s="167">
        <v>1140</v>
      </c>
      <c r="P14" s="167">
        <v>7405</v>
      </c>
      <c r="Q14" s="167">
        <v>920</v>
      </c>
      <c r="R14" s="396">
        <f t="shared" si="4"/>
        <v>3.7957988260772901E-2</v>
      </c>
      <c r="S14" s="368">
        <v>3560</v>
      </c>
      <c r="T14" s="368">
        <v>882</v>
      </c>
      <c r="U14" s="368">
        <v>2312</v>
      </c>
      <c r="V14" s="368">
        <v>356</v>
      </c>
      <c r="W14" s="396">
        <f t="shared" si="5"/>
        <v>3.1939083535783723E-2</v>
      </c>
      <c r="X14" s="168">
        <f t="shared" si="6"/>
        <v>2.7148221005416164E-2</v>
      </c>
      <c r="Y14" s="399">
        <f t="shared" si="7"/>
        <v>-0.15856753744795593</v>
      </c>
      <c r="Z14" s="399">
        <f t="shared" si="8"/>
        <v>-0.15856753744795593</v>
      </c>
      <c r="AA14" s="164">
        <f t="shared" si="18"/>
        <v>2.0112442201843109E-2</v>
      </c>
      <c r="AB14" s="164">
        <f t="shared" si="9"/>
        <v>3.0168663302764663E-3</v>
      </c>
      <c r="AC14" s="328">
        <f t="shared" si="10"/>
        <v>3.016508733569263E-2</v>
      </c>
      <c r="AD14" s="80"/>
      <c r="AE14" s="130">
        <f t="shared" si="11"/>
        <v>862945.94975839427</v>
      </c>
      <c r="AF14" s="131">
        <f t="shared" si="12"/>
        <v>17206733.79575295</v>
      </c>
      <c r="AG14" s="131">
        <f t="shared" si="13"/>
        <v>61142550.103189126</v>
      </c>
      <c r="AH14" s="131">
        <f t="shared" si="19"/>
        <v>79212229.848700464</v>
      </c>
      <c r="AI14" s="364">
        <f t="shared" si="20"/>
        <v>9.7699712696329693E-3</v>
      </c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</row>
    <row r="15" spans="1:64">
      <c r="A15" s="73" t="s">
        <v>8</v>
      </c>
      <c r="B15" s="161">
        <v>2443492</v>
      </c>
      <c r="C15" s="161">
        <v>799410</v>
      </c>
      <c r="D15" s="162">
        <f t="shared" si="0"/>
        <v>0.32715883661579409</v>
      </c>
      <c r="E15" s="163">
        <f t="shared" si="14"/>
        <v>261534.04557903195</v>
      </c>
      <c r="F15" s="328">
        <f t="shared" si="1"/>
        <v>1.6423365523960225E-4</v>
      </c>
      <c r="G15" s="129">
        <f>+'CENSO POB 2020'!C11</f>
        <v>3661</v>
      </c>
      <c r="H15" s="164">
        <f t="shared" si="2"/>
        <v>6.329046086035611E-4</v>
      </c>
      <c r="I15" s="164">
        <f t="shared" si="15"/>
        <v>5.3796891731302697E-4</v>
      </c>
      <c r="J15" s="161">
        <f>+'TERRITORIO INEGI 2021'!B9</f>
        <v>466.7</v>
      </c>
      <c r="K15" s="164">
        <f t="shared" si="3"/>
        <v>7.2744106589521839E-3</v>
      </c>
      <c r="L15" s="165">
        <f t="shared" si="16"/>
        <v>1.0911615988428275E-3</v>
      </c>
      <c r="M15" s="328">
        <f t="shared" si="17"/>
        <v>1.6291305161558545E-3</v>
      </c>
      <c r="N15" s="166">
        <v>739</v>
      </c>
      <c r="O15" s="167">
        <v>104</v>
      </c>
      <c r="P15" s="167">
        <v>89</v>
      </c>
      <c r="Q15" s="167">
        <v>41</v>
      </c>
      <c r="R15" s="396">
        <f t="shared" si="4"/>
        <v>1.7146220461403579E-3</v>
      </c>
      <c r="S15" s="368">
        <v>519</v>
      </c>
      <c r="T15" s="368">
        <v>104</v>
      </c>
      <c r="U15" s="368">
        <v>66</v>
      </c>
      <c r="V15" s="368">
        <v>26</v>
      </c>
      <c r="W15" s="396">
        <f t="shared" si="5"/>
        <v>2.1773658263974449E-3</v>
      </c>
      <c r="X15" s="168">
        <f t="shared" si="6"/>
        <v>1.8507609524378282E-3</v>
      </c>
      <c r="Y15" s="399">
        <f t="shared" si="7"/>
        <v>0.26988092291168825</v>
      </c>
      <c r="Z15" s="399">
        <f t="shared" si="8"/>
        <v>0</v>
      </c>
      <c r="AA15" s="164">
        <f t="shared" si="18"/>
        <v>0</v>
      </c>
      <c r="AB15" s="164">
        <f t="shared" si="9"/>
        <v>0</v>
      </c>
      <c r="AC15" s="328">
        <f t="shared" si="10"/>
        <v>1.8507609524378282E-3</v>
      </c>
      <c r="AD15" s="80"/>
      <c r="AE15" s="130">
        <f t="shared" si="11"/>
        <v>665780.56826877082</v>
      </c>
      <c r="AF15" s="131">
        <f t="shared" si="12"/>
        <v>3302135.117335855</v>
      </c>
      <c r="AG15" s="131">
        <f t="shared" si="13"/>
        <v>3751364.7152468166</v>
      </c>
      <c r="AH15" s="131">
        <f t="shared" si="19"/>
        <v>7719280.4008514425</v>
      </c>
      <c r="AI15" s="364">
        <f t="shared" si="20"/>
        <v>9.5208969476822194E-4</v>
      </c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</row>
    <row r="16" spans="1:64">
      <c r="A16" s="73" t="s">
        <v>9</v>
      </c>
      <c r="B16" s="161">
        <v>96076042</v>
      </c>
      <c r="C16" s="161">
        <v>27527682</v>
      </c>
      <c r="D16" s="162">
        <f t="shared" si="0"/>
        <v>0.28651973402484671</v>
      </c>
      <c r="E16" s="163">
        <f t="shared" si="14"/>
        <v>7887224.1249605604</v>
      </c>
      <c r="F16" s="328">
        <f t="shared" si="1"/>
        <v>4.9528834567919003E-3</v>
      </c>
      <c r="G16" s="129">
        <f>+'CENSO POB 2020'!C12</f>
        <v>122337</v>
      </c>
      <c r="H16" s="164">
        <f t="shared" si="2"/>
        <v>2.1149317427679282E-2</v>
      </c>
      <c r="I16" s="164">
        <f t="shared" si="15"/>
        <v>1.7976919813527389E-2</v>
      </c>
      <c r="J16" s="161">
        <f>+'TERRITORIO INEGI 2021'!B10</f>
        <v>1140.9000000000001</v>
      </c>
      <c r="K16" s="164">
        <f t="shared" si="3"/>
        <v>1.7783105037065667E-2</v>
      </c>
      <c r="L16" s="165">
        <f t="shared" si="16"/>
        <v>2.6674657555598499E-3</v>
      </c>
      <c r="M16" s="328">
        <f t="shared" si="17"/>
        <v>2.0644385569087237E-2</v>
      </c>
      <c r="N16" s="166">
        <v>6662</v>
      </c>
      <c r="O16" s="167">
        <v>1587</v>
      </c>
      <c r="P16" s="167">
        <v>3489</v>
      </c>
      <c r="Q16" s="167">
        <v>461</v>
      </c>
      <c r="R16" s="396">
        <f t="shared" si="4"/>
        <v>2.4794035734260943E-2</v>
      </c>
      <c r="S16" s="368">
        <v>5057</v>
      </c>
      <c r="T16" s="368">
        <v>1578</v>
      </c>
      <c r="U16" s="368">
        <v>861</v>
      </c>
      <c r="V16" s="368">
        <v>132</v>
      </c>
      <c r="W16" s="396">
        <f t="shared" si="5"/>
        <v>1.9688401476910436E-2</v>
      </c>
      <c r="X16" s="168">
        <f t="shared" si="6"/>
        <v>1.673514125537387E-2</v>
      </c>
      <c r="Y16" s="399">
        <f t="shared" si="7"/>
        <v>-0.20592187218216473</v>
      </c>
      <c r="Z16" s="399">
        <f t="shared" si="8"/>
        <v>-0.20592187218216473</v>
      </c>
      <c r="AA16" s="164">
        <f t="shared" si="18"/>
        <v>2.611878710494852E-2</v>
      </c>
      <c r="AB16" s="164">
        <f t="shared" si="9"/>
        <v>3.9178180657422779E-3</v>
      </c>
      <c r="AC16" s="328">
        <f t="shared" si="10"/>
        <v>2.0652959321116146E-2</v>
      </c>
      <c r="AD16" s="80"/>
      <c r="AE16" s="130">
        <f t="shared" si="11"/>
        <v>20078305.860154532</v>
      </c>
      <c r="AF16" s="131">
        <f t="shared" si="12"/>
        <v>41844744.719632283</v>
      </c>
      <c r="AG16" s="131">
        <f t="shared" si="13"/>
        <v>41862123.123253867</v>
      </c>
      <c r="AH16" s="131">
        <f t="shared" si="19"/>
        <v>103785173.70304069</v>
      </c>
      <c r="AI16" s="364">
        <f t="shared" si="20"/>
        <v>1.2800777950946798E-2</v>
      </c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</row>
    <row r="17" spans="1:64">
      <c r="A17" s="73" t="s">
        <v>10</v>
      </c>
      <c r="B17" s="161">
        <v>25918809</v>
      </c>
      <c r="C17" s="161">
        <v>4946842.92</v>
      </c>
      <c r="D17" s="162">
        <f t="shared" si="0"/>
        <v>0.19085919109940583</v>
      </c>
      <c r="E17" s="163">
        <f t="shared" si="14"/>
        <v>944150.43820702273</v>
      </c>
      <c r="F17" s="328">
        <f t="shared" si="1"/>
        <v>5.9289136609158675E-4</v>
      </c>
      <c r="G17" s="129">
        <f>+'CENSO POB 2020'!C19</f>
        <v>104478</v>
      </c>
      <c r="H17" s="164">
        <f t="shared" si="2"/>
        <v>1.8061897759541888E-2</v>
      </c>
      <c r="I17" s="164">
        <f t="shared" si="15"/>
        <v>1.5352613095610604E-2</v>
      </c>
      <c r="J17" s="161">
        <f>+'TERRITORIO INEGI 2021'!B11</f>
        <v>104.3</v>
      </c>
      <c r="K17" s="164">
        <f t="shared" si="3"/>
        <v>1.6257146598001131E-3</v>
      </c>
      <c r="L17" s="165">
        <f t="shared" si="16"/>
        <v>2.4385719897001694E-4</v>
      </c>
      <c r="M17" s="328">
        <f t="shared" si="17"/>
        <v>1.5596470294580621E-2</v>
      </c>
      <c r="N17" s="166">
        <v>981</v>
      </c>
      <c r="O17" s="167">
        <v>253</v>
      </c>
      <c r="P17" s="167">
        <v>273</v>
      </c>
      <c r="Q17" s="167">
        <v>153</v>
      </c>
      <c r="R17" s="396">
        <f t="shared" si="4"/>
        <v>4.7782824446849165E-3</v>
      </c>
      <c r="S17" s="368">
        <v>717</v>
      </c>
      <c r="T17" s="368">
        <v>718</v>
      </c>
      <c r="U17" s="368">
        <v>221</v>
      </c>
      <c r="V17" s="368">
        <v>186</v>
      </c>
      <c r="W17" s="396">
        <f t="shared" si="5"/>
        <v>1.1864603001707597E-2</v>
      </c>
      <c r="X17" s="168">
        <f t="shared" si="6"/>
        <v>1.0084912551451457E-2</v>
      </c>
      <c r="Y17" s="399">
        <f t="shared" si="7"/>
        <v>1.4830267233166787</v>
      </c>
      <c r="Z17" s="399">
        <f t="shared" si="8"/>
        <v>0</v>
      </c>
      <c r="AA17" s="164">
        <f t="shared" si="18"/>
        <v>0</v>
      </c>
      <c r="AB17" s="164">
        <f t="shared" si="9"/>
        <v>0</v>
      </c>
      <c r="AC17" s="328">
        <f t="shared" si="10"/>
        <v>1.0084912551451457E-2</v>
      </c>
      <c r="AD17" s="80"/>
      <c r="AE17" s="130">
        <f t="shared" si="11"/>
        <v>2403499.7580868579</v>
      </c>
      <c r="AF17" s="131">
        <f t="shared" si="12"/>
        <v>31612968.853928909</v>
      </c>
      <c r="AG17" s="131">
        <f t="shared" si="13"/>
        <v>20441421.703884594</v>
      </c>
      <c r="AH17" s="131">
        <f t="shared" si="19"/>
        <v>54457890.315900363</v>
      </c>
      <c r="AI17" s="364">
        <f t="shared" si="20"/>
        <v>6.7167913945538138E-3</v>
      </c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</row>
    <row r="18" spans="1:64">
      <c r="A18" s="73" t="s">
        <v>11</v>
      </c>
      <c r="B18" s="161">
        <v>2065528</v>
      </c>
      <c r="C18" s="161">
        <v>1221813</v>
      </c>
      <c r="D18" s="162">
        <f t="shared" si="0"/>
        <v>0.59152575031662602</v>
      </c>
      <c r="E18" s="163">
        <f t="shared" si="14"/>
        <v>722733.85157160775</v>
      </c>
      <c r="F18" s="328">
        <f t="shared" si="1"/>
        <v>4.5384998326396719E-4</v>
      </c>
      <c r="G18" s="129">
        <f>+'CENSO POB 2020'!C13</f>
        <v>7340</v>
      </c>
      <c r="H18" s="164">
        <f t="shared" si="2"/>
        <v>1.2689210126058832E-3</v>
      </c>
      <c r="I18" s="164">
        <f t="shared" si="15"/>
        <v>1.0785828607150008E-3</v>
      </c>
      <c r="J18" s="161">
        <f>+'TERRITORIO INEGI 2021'!B12</f>
        <v>1007.4</v>
      </c>
      <c r="K18" s="164">
        <f t="shared" si="3"/>
        <v>1.5702252620159483E-2</v>
      </c>
      <c r="L18" s="165">
        <f t="shared" si="16"/>
        <v>2.3553378930239225E-3</v>
      </c>
      <c r="M18" s="328">
        <f t="shared" si="17"/>
        <v>3.4339207537389233E-3</v>
      </c>
      <c r="N18" s="166">
        <v>1343</v>
      </c>
      <c r="O18" s="167">
        <v>319</v>
      </c>
      <c r="P18" s="167">
        <v>345</v>
      </c>
      <c r="Q18" s="167">
        <v>110</v>
      </c>
      <c r="R18" s="396">
        <f t="shared" si="4"/>
        <v>4.5782718652147671E-3</v>
      </c>
      <c r="S18" s="368">
        <v>655</v>
      </c>
      <c r="T18" s="368">
        <v>225</v>
      </c>
      <c r="U18" s="368">
        <v>136</v>
      </c>
      <c r="V18" s="368">
        <v>78</v>
      </c>
      <c r="W18" s="396">
        <f t="shared" si="5"/>
        <v>5.173139765354922E-3</v>
      </c>
      <c r="X18" s="168">
        <f t="shared" si="6"/>
        <v>4.3971688005516839E-3</v>
      </c>
      <c r="Y18" s="399">
        <f t="shared" si="7"/>
        <v>0.12993284751390569</v>
      </c>
      <c r="Z18" s="399">
        <f t="shared" si="8"/>
        <v>0</v>
      </c>
      <c r="AA18" s="164">
        <f t="shared" si="18"/>
        <v>0</v>
      </c>
      <c r="AB18" s="164">
        <f t="shared" si="9"/>
        <v>0</v>
      </c>
      <c r="AC18" s="328">
        <f t="shared" si="10"/>
        <v>4.3971688005516839E-3</v>
      </c>
      <c r="AD18" s="80"/>
      <c r="AE18" s="130">
        <f t="shared" si="11"/>
        <v>1839845.184748675</v>
      </c>
      <c r="AF18" s="131">
        <f t="shared" si="12"/>
        <v>6960320.3663670793</v>
      </c>
      <c r="AG18" s="131">
        <f t="shared" si="13"/>
        <v>8912757.6760499422</v>
      </c>
      <c r="AH18" s="131">
        <f t="shared" si="19"/>
        <v>17712923.227165699</v>
      </c>
      <c r="AI18" s="364">
        <f t="shared" si="20"/>
        <v>2.1846973802046362E-3</v>
      </c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</row>
    <row r="19" spans="1:64">
      <c r="A19" s="73" t="s">
        <v>12</v>
      </c>
      <c r="B19" s="161">
        <v>4522487</v>
      </c>
      <c r="C19" s="161">
        <v>1408205</v>
      </c>
      <c r="D19" s="162">
        <f t="shared" si="0"/>
        <v>0.31137845172357598</v>
      </c>
      <c r="E19" s="163">
        <f t="shared" si="14"/>
        <v>438484.69260939833</v>
      </c>
      <c r="F19" s="328">
        <f t="shared" si="1"/>
        <v>2.7535208150211281E-4</v>
      </c>
      <c r="G19" s="129">
        <f>+'CENSO POB 2020'!C14</f>
        <v>9930</v>
      </c>
      <c r="H19" s="164">
        <f t="shared" si="2"/>
        <v>1.7166737949831634E-3</v>
      </c>
      <c r="I19" s="164">
        <f t="shared" si="15"/>
        <v>1.4591727257356889E-3</v>
      </c>
      <c r="J19" s="161">
        <f>+'TERRITORIO INEGI 2021'!B13</f>
        <v>4265.7</v>
      </c>
      <c r="K19" s="164">
        <f t="shared" si="3"/>
        <v>6.6489079811211327E-2</v>
      </c>
      <c r="L19" s="165">
        <f t="shared" si="16"/>
        <v>9.9733619716816987E-3</v>
      </c>
      <c r="M19" s="328">
        <f t="shared" si="17"/>
        <v>1.1432534697417387E-2</v>
      </c>
      <c r="N19" s="166">
        <v>2046</v>
      </c>
      <c r="O19" s="167">
        <v>378</v>
      </c>
      <c r="P19" s="167">
        <v>1925</v>
      </c>
      <c r="Q19" s="167">
        <v>123</v>
      </c>
      <c r="R19" s="396">
        <f t="shared" si="4"/>
        <v>8.6358928470926001E-3</v>
      </c>
      <c r="S19" s="368">
        <v>788</v>
      </c>
      <c r="T19" s="368">
        <v>297</v>
      </c>
      <c r="U19" s="368">
        <v>938</v>
      </c>
      <c r="V19" s="368">
        <v>242</v>
      </c>
      <c r="W19" s="396">
        <f t="shared" si="5"/>
        <v>1.6081358180129329E-2</v>
      </c>
      <c r="X19" s="168">
        <f t="shared" si="6"/>
        <v>1.3669154453109929E-2</v>
      </c>
      <c r="Y19" s="399">
        <f t="shared" si="7"/>
        <v>0.86215351033950749</v>
      </c>
      <c r="Z19" s="399">
        <f t="shared" si="8"/>
        <v>0</v>
      </c>
      <c r="AA19" s="164">
        <f t="shared" si="18"/>
        <v>0</v>
      </c>
      <c r="AB19" s="164">
        <f t="shared" si="9"/>
        <v>0</v>
      </c>
      <c r="AC19" s="328">
        <f t="shared" si="10"/>
        <v>1.3669154453109929E-2</v>
      </c>
      <c r="AD19" s="80"/>
      <c r="AE19" s="130">
        <f t="shared" si="11"/>
        <v>1116239.330050909</v>
      </c>
      <c r="AF19" s="131">
        <f t="shared" si="12"/>
        <v>23172958.783917952</v>
      </c>
      <c r="AG19" s="131">
        <f t="shared" si="13"/>
        <v>27706432.662258171</v>
      </c>
      <c r="AH19" s="131">
        <f t="shared" si="19"/>
        <v>51995630.776227027</v>
      </c>
      <c r="AI19" s="364">
        <f t="shared" si="20"/>
        <v>6.4130983283828859E-3</v>
      </c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</row>
    <row r="20" spans="1:64">
      <c r="A20" s="73" t="s">
        <v>13</v>
      </c>
      <c r="B20" s="161">
        <v>45557174</v>
      </c>
      <c r="C20" s="161">
        <v>12990205</v>
      </c>
      <c r="D20" s="162">
        <f t="shared" si="0"/>
        <v>0.28514071131804619</v>
      </c>
      <c r="E20" s="163">
        <f t="shared" si="14"/>
        <v>3704036.2938672402</v>
      </c>
      <c r="F20" s="328">
        <f t="shared" si="1"/>
        <v>2.3259970545522657E-3</v>
      </c>
      <c r="G20" s="129">
        <f>+'CENSO POB 2020'!C15</f>
        <v>68747</v>
      </c>
      <c r="H20" s="164">
        <f t="shared" si="2"/>
        <v>1.1884811015479108E-2</v>
      </c>
      <c r="I20" s="164">
        <f t="shared" si="15"/>
        <v>1.0102089363157242E-2</v>
      </c>
      <c r="J20" s="161">
        <f>+'TERRITORIO INEGI 2021'!B14</f>
        <v>138.69999999999999</v>
      </c>
      <c r="K20" s="164">
        <f t="shared" si="3"/>
        <v>2.1619043462538417E-3</v>
      </c>
      <c r="L20" s="165">
        <f t="shared" si="16"/>
        <v>3.2428565193807623E-4</v>
      </c>
      <c r="M20" s="328">
        <f t="shared" si="17"/>
        <v>1.0426375015095319E-2</v>
      </c>
      <c r="N20" s="166">
        <v>1162</v>
      </c>
      <c r="O20" s="167">
        <v>358</v>
      </c>
      <c r="P20" s="167">
        <v>131</v>
      </c>
      <c r="Q20" s="167">
        <v>31</v>
      </c>
      <c r="R20" s="396">
        <f t="shared" si="4"/>
        <v>2.732122318270129E-3</v>
      </c>
      <c r="S20" s="368">
        <v>2033</v>
      </c>
      <c r="T20" s="368">
        <v>691</v>
      </c>
      <c r="U20" s="368">
        <v>56</v>
      </c>
      <c r="V20" s="368">
        <v>67</v>
      </c>
      <c r="W20" s="396">
        <f t="shared" si="5"/>
        <v>7.2411333764662708E-3</v>
      </c>
      <c r="X20" s="168">
        <f t="shared" si="6"/>
        <v>6.1549633699963299E-3</v>
      </c>
      <c r="Y20" s="399">
        <f t="shared" si="7"/>
        <v>1.6503693952659733</v>
      </c>
      <c r="Z20" s="399">
        <f t="shared" si="8"/>
        <v>0</v>
      </c>
      <c r="AA20" s="164">
        <f t="shared" si="18"/>
        <v>0</v>
      </c>
      <c r="AB20" s="164">
        <f t="shared" si="9"/>
        <v>0</v>
      </c>
      <c r="AC20" s="328">
        <f t="shared" si="10"/>
        <v>6.1549633699963299E-3</v>
      </c>
      <c r="AD20" s="80"/>
      <c r="AE20" s="130">
        <f t="shared" si="11"/>
        <v>9429270.9890187848</v>
      </c>
      <c r="AF20" s="131">
        <f t="shared" si="12"/>
        <v>21133542.550721977</v>
      </c>
      <c r="AG20" s="131">
        <f t="shared" si="13"/>
        <v>12475685.949299552</v>
      </c>
      <c r="AH20" s="131">
        <f t="shared" si="19"/>
        <v>43038499.489040315</v>
      </c>
      <c r="AI20" s="364">
        <f t="shared" si="20"/>
        <v>5.3083331235490461E-3</v>
      </c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</row>
    <row r="21" spans="1:64">
      <c r="A21" s="73" t="s">
        <v>14</v>
      </c>
      <c r="B21" s="161">
        <v>6492908</v>
      </c>
      <c r="C21" s="161">
        <v>691812</v>
      </c>
      <c r="D21" s="162">
        <f t="shared" si="0"/>
        <v>0.10654886839610234</v>
      </c>
      <c r="E21" s="163">
        <f t="shared" si="14"/>
        <v>73711.785742844353</v>
      </c>
      <c r="F21" s="328">
        <f t="shared" si="1"/>
        <v>4.6288260405957263E-5</v>
      </c>
      <c r="G21" s="129">
        <f>+'CENSO POB 2020'!C16</f>
        <v>36088</v>
      </c>
      <c r="H21" s="164">
        <f t="shared" si="2"/>
        <v>6.2388040194715413E-3</v>
      </c>
      <c r="I21" s="164">
        <f t="shared" si="15"/>
        <v>5.3029834165508102E-3</v>
      </c>
      <c r="J21" s="161">
        <f>+'TERRITORIO INEGI 2021'!B15</f>
        <v>5053.7</v>
      </c>
      <c r="K21" s="164">
        <f t="shared" si="3"/>
        <v>7.87715644892793E-2</v>
      </c>
      <c r="L21" s="165">
        <f t="shared" si="16"/>
        <v>1.1815734673391894E-2</v>
      </c>
      <c r="M21" s="328">
        <f t="shared" si="17"/>
        <v>1.7118718089942704E-2</v>
      </c>
      <c r="N21" s="166">
        <v>7369</v>
      </c>
      <c r="O21" s="167">
        <v>3170</v>
      </c>
      <c r="P21" s="167">
        <v>23798</v>
      </c>
      <c r="Q21" s="167">
        <v>1385</v>
      </c>
      <c r="R21" s="396">
        <f t="shared" si="4"/>
        <v>8.8679733485390655E-2</v>
      </c>
      <c r="S21" s="368">
        <v>7387</v>
      </c>
      <c r="T21" s="368">
        <v>2297</v>
      </c>
      <c r="U21" s="368">
        <v>15800</v>
      </c>
      <c r="V21" s="368">
        <v>477</v>
      </c>
      <c r="W21" s="396">
        <f t="shared" si="5"/>
        <v>0.11264289211601625</v>
      </c>
      <c r="X21" s="168">
        <f t="shared" si="6"/>
        <v>9.5746458298613807E-2</v>
      </c>
      <c r="Y21" s="399">
        <f t="shared" si="7"/>
        <v>0.27022136500413985</v>
      </c>
      <c r="Z21" s="399">
        <f t="shared" si="8"/>
        <v>0</v>
      </c>
      <c r="AA21" s="164">
        <f t="shared" si="18"/>
        <v>0</v>
      </c>
      <c r="AB21" s="164">
        <f t="shared" si="9"/>
        <v>0</v>
      </c>
      <c r="AC21" s="328">
        <f t="shared" si="10"/>
        <v>9.5746458298613807E-2</v>
      </c>
      <c r="AD21" s="80"/>
      <c r="AE21" s="130">
        <f t="shared" si="11"/>
        <v>187646.21826318491</v>
      </c>
      <c r="AF21" s="131">
        <f t="shared" si="12"/>
        <v>34698460.073019996</v>
      </c>
      <c r="AG21" s="131">
        <f t="shared" si="13"/>
        <v>194071462.76679206</v>
      </c>
      <c r="AH21" s="131">
        <f t="shared" si="19"/>
        <v>228957569.05807525</v>
      </c>
      <c r="AI21" s="364">
        <f t="shared" si="20"/>
        <v>2.8239438227342113E-2</v>
      </c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</row>
    <row r="22" spans="1:64">
      <c r="A22" s="73" t="s">
        <v>15</v>
      </c>
      <c r="B22" s="161">
        <v>1493874</v>
      </c>
      <c r="C22" s="161">
        <v>329170</v>
      </c>
      <c r="D22" s="162">
        <f t="shared" si="0"/>
        <v>0.22034656202598077</v>
      </c>
      <c r="E22" s="163">
        <f t="shared" si="14"/>
        <v>72531.477822092085</v>
      </c>
      <c r="F22" s="328">
        <f t="shared" si="1"/>
        <v>4.5547070922560457E-5</v>
      </c>
      <c r="G22" s="129">
        <f>+'CENSO POB 2020'!C17</f>
        <v>1360</v>
      </c>
      <c r="H22" s="164">
        <f t="shared" si="2"/>
        <v>2.351134301286105E-4</v>
      </c>
      <c r="I22" s="164">
        <f t="shared" si="15"/>
        <v>1.9984641560931893E-4</v>
      </c>
      <c r="J22" s="161">
        <f>+'TERRITORIO INEGI 2021'!B16</f>
        <v>720.7</v>
      </c>
      <c r="K22" s="164">
        <f t="shared" si="3"/>
        <v>1.1233485669395412E-2</v>
      </c>
      <c r="L22" s="165">
        <f t="shared" si="16"/>
        <v>1.6850228504093118E-3</v>
      </c>
      <c r="M22" s="328">
        <f t="shared" si="17"/>
        <v>1.8848692660186307E-3</v>
      </c>
      <c r="N22" s="166">
        <v>381</v>
      </c>
      <c r="O22" s="167">
        <v>83</v>
      </c>
      <c r="P22" s="167">
        <v>189</v>
      </c>
      <c r="Q22" s="167">
        <v>25</v>
      </c>
      <c r="R22" s="396">
        <f t="shared" si="4"/>
        <v>1.3452333052524088E-3</v>
      </c>
      <c r="S22" s="368">
        <v>158</v>
      </c>
      <c r="T22" s="368">
        <v>46</v>
      </c>
      <c r="U22" s="368">
        <v>88</v>
      </c>
      <c r="V22" s="368">
        <v>15</v>
      </c>
      <c r="W22" s="396">
        <f t="shared" si="5"/>
        <v>1.3395499066190448E-3</v>
      </c>
      <c r="X22" s="168">
        <f t="shared" si="6"/>
        <v>1.1386174206261881E-3</v>
      </c>
      <c r="Y22" s="399">
        <f t="shared" si="7"/>
        <v>-4.224842346062488E-3</v>
      </c>
      <c r="Z22" s="399">
        <f t="shared" si="8"/>
        <v>-4.224842346062488E-3</v>
      </c>
      <c r="AA22" s="164">
        <f t="shared" si="18"/>
        <v>5.3587196260123542E-4</v>
      </c>
      <c r="AB22" s="164">
        <f t="shared" si="9"/>
        <v>8.0380794390185305E-5</v>
      </c>
      <c r="AC22" s="328">
        <f t="shared" si="10"/>
        <v>1.2189982150163734E-3</v>
      </c>
      <c r="AD22" s="80"/>
      <c r="AE22" s="130">
        <f t="shared" si="11"/>
        <v>184641.53840794554</v>
      </c>
      <c r="AF22" s="131">
        <f t="shared" si="12"/>
        <v>3820499.9127962659</v>
      </c>
      <c r="AG22" s="131">
        <f t="shared" si="13"/>
        <v>2470825.2493320801</v>
      </c>
      <c r="AH22" s="131">
        <f t="shared" si="19"/>
        <v>6475966.700536292</v>
      </c>
      <c r="AI22" s="364">
        <f t="shared" si="20"/>
        <v>7.987404057200314E-4</v>
      </c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</row>
    <row r="23" spans="1:64">
      <c r="A23" s="73" t="s">
        <v>16</v>
      </c>
      <c r="B23" s="161">
        <v>2353237</v>
      </c>
      <c r="C23" s="161">
        <v>632096</v>
      </c>
      <c r="D23" s="162">
        <f t="shared" si="0"/>
        <v>0.26860702938123104</v>
      </c>
      <c r="E23" s="163">
        <f t="shared" si="14"/>
        <v>169785.42884375862</v>
      </c>
      <c r="F23" s="328">
        <f t="shared" si="1"/>
        <v>1.0661893568654935E-4</v>
      </c>
      <c r="G23" s="129">
        <f>+'CENSO POB 2020'!C18</f>
        <v>3256</v>
      </c>
      <c r="H23" s="164">
        <f t="shared" si="2"/>
        <v>5.6288921213143808E-4</v>
      </c>
      <c r="I23" s="164">
        <f t="shared" si="15"/>
        <v>4.7845583031172234E-4</v>
      </c>
      <c r="J23" s="161">
        <f>+'TERRITORIO INEGI 2021'!B17</f>
        <v>614.70000000000005</v>
      </c>
      <c r="K23" s="164">
        <f t="shared" si="3"/>
        <v>9.5812732634624129E-3</v>
      </c>
      <c r="L23" s="165">
        <f t="shared" si="16"/>
        <v>1.4371909895193619E-3</v>
      </c>
      <c r="M23" s="328">
        <f t="shared" si="17"/>
        <v>1.9156468198310843E-3</v>
      </c>
      <c r="N23" s="166">
        <v>519</v>
      </c>
      <c r="O23" s="167">
        <v>136</v>
      </c>
      <c r="P23" s="167">
        <v>317</v>
      </c>
      <c r="Q23" s="167">
        <v>84</v>
      </c>
      <c r="R23" s="396">
        <f t="shared" si="4"/>
        <v>2.9413605324649069E-3</v>
      </c>
      <c r="S23" s="368">
        <v>277</v>
      </c>
      <c r="T23" s="368">
        <v>120</v>
      </c>
      <c r="U23" s="368">
        <v>75</v>
      </c>
      <c r="V23" s="368">
        <v>23</v>
      </c>
      <c r="W23" s="396">
        <f t="shared" si="5"/>
        <v>1.9752871125454288E-3</v>
      </c>
      <c r="X23" s="168">
        <f t="shared" si="6"/>
        <v>1.6789940456636144E-3</v>
      </c>
      <c r="Y23" s="399">
        <f t="shared" si="7"/>
        <v>-0.32844440838059835</v>
      </c>
      <c r="Z23" s="399">
        <f t="shared" si="8"/>
        <v>-0.32844440838059835</v>
      </c>
      <c r="AA23" s="164">
        <f t="shared" si="18"/>
        <v>4.1659341416218063E-2</v>
      </c>
      <c r="AB23" s="164">
        <f t="shared" si="9"/>
        <v>6.2489012124327089E-3</v>
      </c>
      <c r="AC23" s="328">
        <f t="shared" si="10"/>
        <v>7.9278952580963229E-3</v>
      </c>
      <c r="AD23" s="80"/>
      <c r="AE23" s="130">
        <f t="shared" si="11"/>
        <v>432218.44807656406</v>
      </c>
      <c r="AF23" s="131">
        <f t="shared" si="12"/>
        <v>3882883.8901767954</v>
      </c>
      <c r="AG23" s="131">
        <f t="shared" si="13"/>
        <v>16069296.522719974</v>
      </c>
      <c r="AH23" s="131">
        <f t="shared" si="19"/>
        <v>20384398.860973332</v>
      </c>
      <c r="AI23" s="364">
        <f t="shared" si="20"/>
        <v>2.5141949873251266E-3</v>
      </c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</row>
    <row r="24" spans="1:64">
      <c r="A24" s="73" t="s">
        <v>17</v>
      </c>
      <c r="B24" s="161">
        <v>9897478</v>
      </c>
      <c r="C24" s="161">
        <v>1193413</v>
      </c>
      <c r="D24" s="162">
        <f t="shared" si="0"/>
        <v>0.120577484486452</v>
      </c>
      <c r="E24" s="163">
        <f t="shared" si="14"/>
        <v>143898.73749343015</v>
      </c>
      <c r="F24" s="328">
        <f t="shared" si="1"/>
        <v>9.0363056138970116E-5</v>
      </c>
      <c r="G24" s="129">
        <f>+'CENSO POB 2020'!C20</f>
        <v>40903</v>
      </c>
      <c r="H24" s="164">
        <f t="shared" si="2"/>
        <v>7.0712092886401146E-3</v>
      </c>
      <c r="I24" s="164">
        <f t="shared" si="15"/>
        <v>6.0105278953440974E-3</v>
      </c>
      <c r="J24" s="161">
        <f>+'TERRITORIO INEGI 2021'!B18</f>
        <v>7068.3</v>
      </c>
      <c r="K24" s="164">
        <f t="shared" si="3"/>
        <v>0.11017295234770028</v>
      </c>
      <c r="L24" s="165">
        <f t="shared" si="16"/>
        <v>1.6525942852155039E-2</v>
      </c>
      <c r="M24" s="328">
        <f t="shared" si="17"/>
        <v>2.2536470747499135E-2</v>
      </c>
      <c r="N24" s="166">
        <v>6824</v>
      </c>
      <c r="O24" s="167">
        <v>2466</v>
      </c>
      <c r="P24" s="167">
        <v>13627</v>
      </c>
      <c r="Q24" s="167">
        <v>715</v>
      </c>
      <c r="R24" s="396">
        <f t="shared" si="4"/>
        <v>5.3101630915886641E-2</v>
      </c>
      <c r="S24" s="368">
        <v>7533</v>
      </c>
      <c r="T24" s="368">
        <v>1907</v>
      </c>
      <c r="U24" s="368">
        <v>3888</v>
      </c>
      <c r="V24" s="368">
        <v>352</v>
      </c>
      <c r="W24" s="396">
        <f t="shared" si="5"/>
        <v>4.6780151487403013E-2</v>
      </c>
      <c r="X24" s="168">
        <f t="shared" si="6"/>
        <v>3.9763128764292562E-2</v>
      </c>
      <c r="Y24" s="399">
        <f t="shared" si="7"/>
        <v>-0.11904492045633959</v>
      </c>
      <c r="Z24" s="399">
        <f t="shared" si="8"/>
        <v>-0.11904492045633959</v>
      </c>
      <c r="AA24" s="164">
        <f t="shared" si="18"/>
        <v>1.5099459325884895E-2</v>
      </c>
      <c r="AB24" s="164">
        <f t="shared" si="9"/>
        <v>2.2649188988827342E-3</v>
      </c>
      <c r="AC24" s="328">
        <f t="shared" si="10"/>
        <v>4.2028047663175298E-2</v>
      </c>
      <c r="AD24" s="80"/>
      <c r="AE24" s="130">
        <f t="shared" si="11"/>
        <v>366319.35627892724</v>
      </c>
      <c r="AF24" s="131">
        <f t="shared" si="12"/>
        <v>45679870.788823716</v>
      </c>
      <c r="AG24" s="131">
        <f t="shared" si="13"/>
        <v>85187951.932243675</v>
      </c>
      <c r="AH24" s="131">
        <f t="shared" si="19"/>
        <v>131234142.07734632</v>
      </c>
      <c r="AI24" s="364">
        <f t="shared" si="20"/>
        <v>1.6186311130738096E-2</v>
      </c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</row>
    <row r="25" spans="1:64">
      <c r="A25" s="73" t="s">
        <v>18</v>
      </c>
      <c r="B25" s="161">
        <v>377012210</v>
      </c>
      <c r="C25" s="161">
        <v>90011508</v>
      </c>
      <c r="D25" s="162">
        <f t="shared" si="0"/>
        <v>0.23874958320315409</v>
      </c>
      <c r="E25" s="163">
        <f t="shared" si="14"/>
        <v>21490210.018487372</v>
      </c>
      <c r="F25" s="328">
        <f t="shared" si="1"/>
        <v>1.3495052758384991E-2</v>
      </c>
      <c r="G25" s="129">
        <f>+'CENSO POB 2020'!C21</f>
        <v>397205</v>
      </c>
      <c r="H25" s="164">
        <f t="shared" si="2"/>
        <v>6.8667816186937305E-2</v>
      </c>
      <c r="I25" s="164">
        <f t="shared" si="15"/>
        <v>5.8367643758896706E-2</v>
      </c>
      <c r="J25" s="161">
        <f>+'TERRITORIO INEGI 2021'!B19</f>
        <v>1032</v>
      </c>
      <c r="K25" s="164">
        <f t="shared" si="3"/>
        <v>1.6085690593611857E-2</v>
      </c>
      <c r="L25" s="165">
        <f t="shared" si="16"/>
        <v>2.4128535890417784E-3</v>
      </c>
      <c r="M25" s="328">
        <f t="shared" si="17"/>
        <v>6.0780497347938486E-2</v>
      </c>
      <c r="N25" s="166">
        <v>3671</v>
      </c>
      <c r="O25" s="167">
        <v>1809</v>
      </c>
      <c r="P25" s="167">
        <v>2369</v>
      </c>
      <c r="Q25" s="167">
        <v>783</v>
      </c>
      <c r="R25" s="396">
        <f t="shared" si="4"/>
        <v>2.7393224121097081E-2</v>
      </c>
      <c r="S25" s="368">
        <v>8689</v>
      </c>
      <c r="T25" s="368">
        <v>2884</v>
      </c>
      <c r="U25" s="368">
        <v>626</v>
      </c>
      <c r="V25" s="368">
        <v>329</v>
      </c>
      <c r="W25" s="396">
        <f t="shared" si="5"/>
        <v>3.4303099783393555E-2</v>
      </c>
      <c r="X25" s="168">
        <f t="shared" si="6"/>
        <v>2.9157634815884521E-2</v>
      </c>
      <c r="Y25" s="399">
        <f t="shared" si="7"/>
        <v>0.25224762268764067</v>
      </c>
      <c r="Z25" s="399">
        <f t="shared" si="8"/>
        <v>0</v>
      </c>
      <c r="AA25" s="164">
        <f t="shared" si="18"/>
        <v>0</v>
      </c>
      <c r="AB25" s="164">
        <f t="shared" si="9"/>
        <v>0</v>
      </c>
      <c r="AC25" s="328">
        <f t="shared" si="10"/>
        <v>2.9157634815884521E-2</v>
      </c>
      <c r="AD25" s="80"/>
      <c r="AE25" s="130">
        <f t="shared" si="11"/>
        <v>54707081.08631365</v>
      </c>
      <c r="AF25" s="131">
        <f t="shared" si="12"/>
        <v>123197873.19149667</v>
      </c>
      <c r="AG25" s="131">
        <f t="shared" si="13"/>
        <v>59100513.377637669</v>
      </c>
      <c r="AH25" s="131">
        <f t="shared" si="19"/>
        <v>237005467.65544802</v>
      </c>
      <c r="AI25" s="364">
        <f t="shared" si="20"/>
        <v>2.9232059420148254E-2</v>
      </c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</row>
    <row r="26" spans="1:64">
      <c r="A26" s="73" t="s">
        <v>19</v>
      </c>
      <c r="B26" s="161">
        <v>4942797</v>
      </c>
      <c r="C26" s="161">
        <v>877317</v>
      </c>
      <c r="D26" s="162">
        <f t="shared" si="0"/>
        <v>0.17749403829451219</v>
      </c>
      <c r="E26" s="163">
        <f t="shared" si="14"/>
        <v>155718.53719442655</v>
      </c>
      <c r="F26" s="328">
        <f t="shared" si="1"/>
        <v>9.778545082107276E-5</v>
      </c>
      <c r="G26" s="129">
        <f>+'CENSO POB 2020'!C22</f>
        <v>5506</v>
      </c>
      <c r="H26" s="164">
        <f t="shared" si="2"/>
        <v>9.5186363697656574E-4</v>
      </c>
      <c r="I26" s="164">
        <f t="shared" si="15"/>
        <v>8.0908409143008091E-4</v>
      </c>
      <c r="J26" s="161">
        <f>+'TERRITORIO INEGI 2021'!B20</f>
        <v>1888.6</v>
      </c>
      <c r="K26" s="164">
        <f t="shared" si="3"/>
        <v>2.9437437262689294E-2</v>
      </c>
      <c r="L26" s="165">
        <f t="shared" si="16"/>
        <v>4.4156155894033936E-3</v>
      </c>
      <c r="M26" s="328">
        <f t="shared" si="17"/>
        <v>5.2246996808334749E-3</v>
      </c>
      <c r="N26" s="166">
        <v>814</v>
      </c>
      <c r="O26" s="167">
        <v>216</v>
      </c>
      <c r="P26" s="167">
        <v>671</v>
      </c>
      <c r="Q26" s="167">
        <v>199</v>
      </c>
      <c r="R26" s="396">
        <f t="shared" si="4"/>
        <v>6.2003374083399419E-3</v>
      </c>
      <c r="S26" s="368">
        <v>320</v>
      </c>
      <c r="T26" s="368">
        <v>121</v>
      </c>
      <c r="U26" s="368">
        <v>244</v>
      </c>
      <c r="V26" s="368">
        <v>76</v>
      </c>
      <c r="W26" s="396">
        <f t="shared" si="5"/>
        <v>4.9631495235985465E-3</v>
      </c>
      <c r="X26" s="168">
        <f t="shared" si="6"/>
        <v>4.2186770950587643E-3</v>
      </c>
      <c r="Y26" s="399">
        <f t="shared" si="7"/>
        <v>-0.19953557415718703</v>
      </c>
      <c r="Z26" s="399">
        <f t="shared" si="8"/>
        <v>-0.19953557415718703</v>
      </c>
      <c r="AA26" s="164">
        <f t="shared" si="18"/>
        <v>2.530875970603488E-2</v>
      </c>
      <c r="AB26" s="164">
        <f t="shared" si="9"/>
        <v>3.7963139559052317E-3</v>
      </c>
      <c r="AC26" s="328">
        <f t="shared" si="10"/>
        <v>8.014991050963996E-3</v>
      </c>
      <c r="AD26" s="80"/>
      <c r="AE26" s="130">
        <f t="shared" si="11"/>
        <v>396408.71976630698</v>
      </c>
      <c r="AF26" s="131">
        <f t="shared" si="12"/>
        <v>10590105.656067112</v>
      </c>
      <c r="AG26" s="131">
        <f t="shared" si="13"/>
        <v>16245833.683707656</v>
      </c>
      <c r="AH26" s="131">
        <f t="shared" si="19"/>
        <v>27232348.059541076</v>
      </c>
      <c r="AI26" s="364">
        <f t="shared" si="20"/>
        <v>3.3588154083599043E-3</v>
      </c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</row>
    <row r="27" spans="1:64">
      <c r="A27" s="73" t="s">
        <v>20</v>
      </c>
      <c r="B27" s="161">
        <v>437682929</v>
      </c>
      <c r="C27" s="161">
        <v>130662277.23999999</v>
      </c>
      <c r="D27" s="162">
        <f t="shared" si="0"/>
        <v>0.29853181054726491</v>
      </c>
      <c r="E27" s="163">
        <f t="shared" si="14"/>
        <v>39006846.194685884</v>
      </c>
      <c r="F27" s="328">
        <f t="shared" si="1"/>
        <v>2.4494848904810584E-2</v>
      </c>
      <c r="G27" s="129">
        <f>+'CENSO POB 2020'!C23</f>
        <v>481213</v>
      </c>
      <c r="H27" s="164">
        <f t="shared" si="2"/>
        <v>8.3190911067999293E-2</v>
      </c>
      <c r="I27" s="164">
        <f t="shared" si="15"/>
        <v>7.0712274407799397E-2</v>
      </c>
      <c r="J27" s="161">
        <f>+'TERRITORIO INEGI 2021'!B21</f>
        <v>149.4</v>
      </c>
      <c r="K27" s="164">
        <f t="shared" si="3"/>
        <v>2.3286842777961352E-3</v>
      </c>
      <c r="L27" s="165">
        <f t="shared" si="16"/>
        <v>3.4930264166942025E-4</v>
      </c>
      <c r="M27" s="328">
        <f t="shared" si="17"/>
        <v>7.1061577049468819E-2</v>
      </c>
      <c r="N27" s="166">
        <v>25525</v>
      </c>
      <c r="O27" s="167">
        <v>4791</v>
      </c>
      <c r="P27" s="167">
        <v>5994</v>
      </c>
      <c r="Q27" s="167">
        <v>875</v>
      </c>
      <c r="R27" s="396">
        <f t="shared" si="4"/>
        <v>5.9388194498130251E-2</v>
      </c>
      <c r="S27" s="368">
        <v>20136</v>
      </c>
      <c r="T27" s="368">
        <v>4953</v>
      </c>
      <c r="U27" s="368">
        <v>1151</v>
      </c>
      <c r="V27" s="368">
        <v>297</v>
      </c>
      <c r="W27" s="396">
        <f t="shared" si="5"/>
        <v>5.2740416254969745E-2</v>
      </c>
      <c r="X27" s="168">
        <f t="shared" si="6"/>
        <v>4.4829353816724281E-2</v>
      </c>
      <c r="Y27" s="399">
        <f t="shared" si="7"/>
        <v>-0.11193770579049682</v>
      </c>
      <c r="Z27" s="399">
        <f t="shared" si="8"/>
        <v>-0.11193770579049682</v>
      </c>
      <c r="AA27" s="164">
        <f t="shared" si="18"/>
        <v>1.4197992061629937E-2</v>
      </c>
      <c r="AB27" s="164">
        <f t="shared" si="9"/>
        <v>2.1296988092444906E-3</v>
      </c>
      <c r="AC27" s="328">
        <f t="shared" si="10"/>
        <v>4.6959052625968771E-2</v>
      </c>
      <c r="AD27" s="80"/>
      <c r="AE27" s="130">
        <f t="shared" si="11"/>
        <v>99298736.301705435</v>
      </c>
      <c r="AF27" s="131">
        <f t="shared" si="12"/>
        <v>144036912.16957709</v>
      </c>
      <c r="AG27" s="131">
        <f t="shared" si="13"/>
        <v>95182758.664990425</v>
      </c>
      <c r="AH27" s="131">
        <f t="shared" si="19"/>
        <v>338518407.13627297</v>
      </c>
      <c r="AI27" s="364">
        <f t="shared" si="20"/>
        <v>4.1752581871264696E-2</v>
      </c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</row>
    <row r="28" spans="1:64">
      <c r="A28" s="73" t="s">
        <v>21</v>
      </c>
      <c r="B28" s="161">
        <v>11203821</v>
      </c>
      <c r="C28" s="161">
        <v>3648762.03</v>
      </c>
      <c r="D28" s="162">
        <f t="shared" si="0"/>
        <v>0.32567121788182796</v>
      </c>
      <c r="E28" s="163">
        <f t="shared" si="14"/>
        <v>1188296.7740710708</v>
      </c>
      <c r="F28" s="328">
        <f t="shared" si="1"/>
        <v>7.4620618620815709E-4</v>
      </c>
      <c r="G28" s="129">
        <f>+'CENSO POB 2020'!C24</f>
        <v>14109</v>
      </c>
      <c r="H28" s="164">
        <f t="shared" si="2"/>
        <v>2.4391289600621804E-3</v>
      </c>
      <c r="I28" s="164">
        <f t="shared" si="15"/>
        <v>2.0732596160528533E-3</v>
      </c>
      <c r="J28" s="161">
        <f>+'TERRITORIO INEGI 2021'!B22</f>
        <v>2478.8000000000002</v>
      </c>
      <c r="K28" s="164">
        <f t="shared" si="3"/>
        <v>3.8636831243648327E-2</v>
      </c>
      <c r="L28" s="165">
        <f t="shared" si="16"/>
        <v>5.7955246865472486E-3</v>
      </c>
      <c r="M28" s="328">
        <f t="shared" si="17"/>
        <v>7.8687843026001014E-3</v>
      </c>
      <c r="N28" s="166">
        <v>3166</v>
      </c>
      <c r="O28" s="167">
        <v>572</v>
      </c>
      <c r="P28" s="167">
        <v>3480</v>
      </c>
      <c r="Q28" s="167">
        <v>459</v>
      </c>
      <c r="R28" s="396">
        <f t="shared" si="4"/>
        <v>1.9230399025526604E-2</v>
      </c>
      <c r="S28" s="368">
        <v>1684</v>
      </c>
      <c r="T28" s="368">
        <v>407</v>
      </c>
      <c r="U28" s="368">
        <v>1314</v>
      </c>
      <c r="V28" s="368">
        <v>100</v>
      </c>
      <c r="W28" s="396">
        <f t="shared" si="5"/>
        <v>1.3450542510639606E-2</v>
      </c>
      <c r="X28" s="168">
        <f t="shared" si="6"/>
        <v>1.1432961134043665E-2</v>
      </c>
      <c r="Y28" s="399">
        <f t="shared" si="7"/>
        <v>-0.30055832472403532</v>
      </c>
      <c r="Z28" s="399">
        <f t="shared" si="8"/>
        <v>-0.30055832472403532</v>
      </c>
      <c r="AA28" s="164">
        <f t="shared" si="18"/>
        <v>3.8122317036543459E-2</v>
      </c>
      <c r="AB28" s="164">
        <f t="shared" si="9"/>
        <v>5.7183475554815188E-3</v>
      </c>
      <c r="AC28" s="328">
        <f t="shared" si="10"/>
        <v>1.7151308689525184E-2</v>
      </c>
      <c r="AD28" s="80"/>
      <c r="AE28" s="130">
        <f t="shared" si="11"/>
        <v>3025016.8759535807</v>
      </c>
      <c r="AF28" s="131">
        <f t="shared" si="12"/>
        <v>15949482.695633896</v>
      </c>
      <c r="AG28" s="131">
        <f t="shared" si="13"/>
        <v>34764518.969044037</v>
      </c>
      <c r="AH28" s="131">
        <f t="shared" si="19"/>
        <v>53739018.540631518</v>
      </c>
      <c r="AI28" s="364">
        <f t="shared" si="20"/>
        <v>6.628126341135401E-3</v>
      </c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</row>
    <row r="29" spans="1:64">
      <c r="A29" s="73" t="s">
        <v>22</v>
      </c>
      <c r="B29" s="161">
        <v>822645</v>
      </c>
      <c r="C29" s="161">
        <v>218938</v>
      </c>
      <c r="D29" s="162">
        <f t="shared" si="0"/>
        <v>0.26613910009785507</v>
      </c>
      <c r="E29" s="163">
        <f t="shared" si="14"/>
        <v>58267.962297224192</v>
      </c>
      <c r="F29" s="328">
        <f t="shared" si="1"/>
        <v>3.6590113574887031E-5</v>
      </c>
      <c r="G29" s="129">
        <f>+'CENSO POB 2020'!C25</f>
        <v>1808</v>
      </c>
      <c r="H29" s="164">
        <f t="shared" si="2"/>
        <v>3.1256256005332924E-4</v>
      </c>
      <c r="I29" s="164">
        <f t="shared" si="15"/>
        <v>2.6567817604532983E-4</v>
      </c>
      <c r="J29" s="161">
        <f>+'TERRITORIO INEGI 2021'!B23</f>
        <v>387.9</v>
      </c>
      <c r="K29" s="164">
        <f t="shared" si="3"/>
        <v>6.0461621911453867E-3</v>
      </c>
      <c r="L29" s="165">
        <f t="shared" si="16"/>
        <v>9.0692432867180801E-4</v>
      </c>
      <c r="M29" s="328">
        <f t="shared" si="17"/>
        <v>1.1726025047171379E-3</v>
      </c>
      <c r="N29" s="166">
        <v>248</v>
      </c>
      <c r="O29" s="167">
        <v>45</v>
      </c>
      <c r="P29" s="167">
        <v>165</v>
      </c>
      <c r="Q29" s="167">
        <v>30</v>
      </c>
      <c r="R29" s="396">
        <f t="shared" si="4"/>
        <v>1.1800840492623579E-3</v>
      </c>
      <c r="S29" s="368">
        <v>138</v>
      </c>
      <c r="T29" s="368">
        <v>42</v>
      </c>
      <c r="U29" s="368">
        <v>26</v>
      </c>
      <c r="V29" s="368">
        <v>12</v>
      </c>
      <c r="W29" s="396">
        <f t="shared" si="5"/>
        <v>8.7935671088430908E-4</v>
      </c>
      <c r="X29" s="168">
        <f t="shared" si="6"/>
        <v>7.474532042516627E-4</v>
      </c>
      <c r="Y29" s="399">
        <f t="shared" si="7"/>
        <v>-0.25483552511876273</v>
      </c>
      <c r="Z29" s="399">
        <f t="shared" si="8"/>
        <v>-0.25483552511876273</v>
      </c>
      <c r="AA29" s="164">
        <f t="shared" si="18"/>
        <v>3.2322913330287854E-2</v>
      </c>
      <c r="AB29" s="164">
        <f t="shared" si="9"/>
        <v>4.8484369995431776E-3</v>
      </c>
      <c r="AC29" s="328">
        <f t="shared" si="10"/>
        <v>5.5958902037948404E-3</v>
      </c>
      <c r="AD29" s="80"/>
      <c r="AE29" s="130">
        <f t="shared" si="11"/>
        <v>148331.26969844667</v>
      </c>
      <c r="AF29" s="131">
        <f t="shared" si="12"/>
        <v>2376784.3466827618</v>
      </c>
      <c r="AG29" s="131">
        <f t="shared" si="13"/>
        <v>11342483.227377504</v>
      </c>
      <c r="AH29" s="131">
        <f t="shared" si="19"/>
        <v>13867598.843758713</v>
      </c>
      <c r="AI29" s="364">
        <f t="shared" si="20"/>
        <v>1.7104182339154382E-3</v>
      </c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</row>
    <row r="30" spans="1:64">
      <c r="A30" s="73" t="s">
        <v>23</v>
      </c>
      <c r="B30" s="161">
        <v>1482915</v>
      </c>
      <c r="C30" s="161">
        <v>140414</v>
      </c>
      <c r="D30" s="162">
        <f t="shared" si="0"/>
        <v>9.4687827690730753E-2</v>
      </c>
      <c r="E30" s="163">
        <f t="shared" si="14"/>
        <v>13295.496637366268</v>
      </c>
      <c r="F30" s="328">
        <f t="shared" si="1"/>
        <v>8.3490774829950728E-6</v>
      </c>
      <c r="G30" s="129">
        <f>+'CENSO POB 2020'!C26</f>
        <v>6282</v>
      </c>
      <c r="H30" s="164">
        <f t="shared" si="2"/>
        <v>1.0860165941675964E-3</v>
      </c>
      <c r="I30" s="164">
        <f t="shared" si="15"/>
        <v>9.2311410504245688E-4</v>
      </c>
      <c r="J30" s="161">
        <f>+'TERRITORIO INEGI 2021'!B24</f>
        <v>1306.7</v>
      </c>
      <c r="K30" s="164">
        <f t="shared" si="3"/>
        <v>2.0367414630496718E-2</v>
      </c>
      <c r="L30" s="165">
        <f t="shared" si="16"/>
        <v>3.0551121945745076E-3</v>
      </c>
      <c r="M30" s="328">
        <f t="shared" si="17"/>
        <v>3.9782262996169646E-3</v>
      </c>
      <c r="N30" s="166">
        <v>1391</v>
      </c>
      <c r="O30" s="167">
        <v>288</v>
      </c>
      <c r="P30" s="167">
        <v>3319</v>
      </c>
      <c r="Q30" s="167">
        <v>607</v>
      </c>
      <c r="R30" s="396">
        <f t="shared" si="4"/>
        <v>1.9591711602070995E-2</v>
      </c>
      <c r="S30" s="368">
        <v>1109</v>
      </c>
      <c r="T30" s="368">
        <v>248</v>
      </c>
      <c r="U30" s="368">
        <v>1071</v>
      </c>
      <c r="V30" s="368">
        <v>111</v>
      </c>
      <c r="W30" s="396">
        <f t="shared" si="5"/>
        <v>1.1600674236268762E-2</v>
      </c>
      <c r="X30" s="168">
        <f t="shared" si="6"/>
        <v>9.8605731008284472E-3</v>
      </c>
      <c r="Y30" s="399">
        <f t="shared" si="7"/>
        <v>-0.40787847065682198</v>
      </c>
      <c r="Z30" s="399">
        <f t="shared" si="8"/>
        <v>-0.40787847065682198</v>
      </c>
      <c r="AA30" s="164">
        <f t="shared" si="18"/>
        <v>5.1734625500846752E-2</v>
      </c>
      <c r="AB30" s="164">
        <f t="shared" si="9"/>
        <v>7.7601938251270122E-3</v>
      </c>
      <c r="AC30" s="328">
        <f t="shared" si="10"/>
        <v>1.7620766925955461E-2</v>
      </c>
      <c r="AD30" s="80"/>
      <c r="AE30" s="130">
        <f t="shared" si="11"/>
        <v>33846.007647085964</v>
      </c>
      <c r="AF30" s="131">
        <f t="shared" si="12"/>
        <v>8063590.1411213279</v>
      </c>
      <c r="AG30" s="131">
        <f t="shared" si="13"/>
        <v>35716078.413340077</v>
      </c>
      <c r="AH30" s="131">
        <f t="shared" si="19"/>
        <v>43813514.562108487</v>
      </c>
      <c r="AI30" s="364">
        <f t="shared" si="20"/>
        <v>5.403922845134604E-3</v>
      </c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</row>
    <row r="31" spans="1:64">
      <c r="A31" s="73" t="s">
        <v>24</v>
      </c>
      <c r="B31" s="161">
        <v>59610291</v>
      </c>
      <c r="C31" s="161">
        <v>9156806</v>
      </c>
      <c r="D31" s="162">
        <f t="shared" si="0"/>
        <v>0.15361116086482449</v>
      </c>
      <c r="E31" s="163">
        <f t="shared" si="14"/>
        <v>1406587.59947399</v>
      </c>
      <c r="F31" s="328">
        <f t="shared" si="1"/>
        <v>8.8328470721607565E-4</v>
      </c>
      <c r="G31" s="129">
        <f>+'CENSO POB 2020'!C27</f>
        <v>102149</v>
      </c>
      <c r="H31" s="164">
        <f t="shared" si="2"/>
        <v>1.7659266010446643E-2</v>
      </c>
      <c r="I31" s="164">
        <f t="shared" si="15"/>
        <v>1.5010376108879647E-2</v>
      </c>
      <c r="J31" s="161">
        <f>+'TERRITORIO INEGI 2021'!B25</f>
        <v>184.5</v>
      </c>
      <c r="K31" s="164">
        <f t="shared" si="3"/>
        <v>2.8757848008928175E-3</v>
      </c>
      <c r="L31" s="165">
        <f t="shared" si="16"/>
        <v>4.3136772013392259E-4</v>
      </c>
      <c r="M31" s="328">
        <f t="shared" si="17"/>
        <v>1.544174382901357E-2</v>
      </c>
      <c r="N31" s="166">
        <v>870</v>
      </c>
      <c r="O31" s="167">
        <v>513</v>
      </c>
      <c r="P31" s="167">
        <v>350</v>
      </c>
      <c r="Q31" s="167">
        <v>123</v>
      </c>
      <c r="R31" s="396">
        <f t="shared" si="4"/>
        <v>5.2107891032981742E-3</v>
      </c>
      <c r="S31" s="368">
        <v>2630</v>
      </c>
      <c r="T31" s="368">
        <v>724</v>
      </c>
      <c r="U31" s="368">
        <v>85</v>
      </c>
      <c r="V31" s="368">
        <v>417</v>
      </c>
      <c r="W31" s="396">
        <f t="shared" si="5"/>
        <v>2.1893178641750551E-2</v>
      </c>
      <c r="X31" s="168">
        <f t="shared" si="6"/>
        <v>1.8609201845487967E-2</v>
      </c>
      <c r="Y31" s="399">
        <f t="shared" si="7"/>
        <v>3.2015092546910493</v>
      </c>
      <c r="Z31" s="399">
        <f t="shared" si="8"/>
        <v>0</v>
      </c>
      <c r="AA31" s="164">
        <f t="shared" si="18"/>
        <v>0</v>
      </c>
      <c r="AB31" s="164">
        <f t="shared" si="9"/>
        <v>0</v>
      </c>
      <c r="AC31" s="328">
        <f t="shared" si="10"/>
        <v>1.8609201845487967E-2</v>
      </c>
      <c r="AD31" s="80"/>
      <c r="AE31" s="130">
        <f t="shared" si="11"/>
        <v>3580714.2784192828</v>
      </c>
      <c r="AF31" s="131">
        <f t="shared" si="12"/>
        <v>31299348.987096008</v>
      </c>
      <c r="AG31" s="131">
        <f t="shared" si="13"/>
        <v>37719567.775684737</v>
      </c>
      <c r="AH31" s="131">
        <f t="shared" si="19"/>
        <v>72599631.041200027</v>
      </c>
      <c r="AI31" s="364">
        <f t="shared" si="20"/>
        <v>8.9543787722334237E-3</v>
      </c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</row>
    <row r="32" spans="1:64">
      <c r="A32" s="73" t="s">
        <v>25</v>
      </c>
      <c r="B32" s="161">
        <v>542535324</v>
      </c>
      <c r="C32" s="161">
        <v>215375991.11000001</v>
      </c>
      <c r="D32" s="162">
        <f t="shared" si="0"/>
        <v>0.39698058648435586</v>
      </c>
      <c r="E32" s="163">
        <f t="shared" si="14"/>
        <v>85500087.265497223</v>
      </c>
      <c r="F32" s="328">
        <f t="shared" si="1"/>
        <v>5.3690875403348902E-2</v>
      </c>
      <c r="G32" s="129">
        <f>+'CENSO POB 2020'!C28</f>
        <v>643143</v>
      </c>
      <c r="H32" s="164">
        <f t="shared" si="2"/>
        <v>0.11118496823029775</v>
      </c>
      <c r="I32" s="164">
        <f t="shared" si="15"/>
        <v>9.4507222995753079E-2</v>
      </c>
      <c r="J32" s="161">
        <f>+'TERRITORIO INEGI 2021'!B26</f>
        <v>118.4</v>
      </c>
      <c r="K32" s="164">
        <f t="shared" si="3"/>
        <v>1.8454900836081822E-3</v>
      </c>
      <c r="L32" s="165">
        <f t="shared" si="16"/>
        <v>2.7682351254122733E-4</v>
      </c>
      <c r="M32" s="328">
        <f t="shared" si="17"/>
        <v>9.4784046508294306E-2</v>
      </c>
      <c r="N32" s="166">
        <v>69698</v>
      </c>
      <c r="O32" s="167">
        <v>9468</v>
      </c>
      <c r="P32" s="167">
        <v>3881</v>
      </c>
      <c r="Q32" s="167">
        <v>299</v>
      </c>
      <c r="R32" s="396">
        <f t="shared" si="4"/>
        <v>8.640218657214932E-2</v>
      </c>
      <c r="S32" s="368">
        <v>32770</v>
      </c>
      <c r="T32" s="368">
        <v>7194</v>
      </c>
      <c r="U32" s="368">
        <v>736</v>
      </c>
      <c r="V32" s="368">
        <v>247</v>
      </c>
      <c r="W32" s="396">
        <f t="shared" si="5"/>
        <v>6.7373865202075001E-2</v>
      </c>
      <c r="X32" s="168">
        <f t="shared" si="6"/>
        <v>5.7267785421763751E-2</v>
      </c>
      <c r="Y32" s="399">
        <f t="shared" si="7"/>
        <v>-0.22022962757065068</v>
      </c>
      <c r="Z32" s="399">
        <f t="shared" si="8"/>
        <v>-0.22022962757065068</v>
      </c>
      <c r="AA32" s="164">
        <f t="shared" si="18"/>
        <v>2.7933558954977917E-2</v>
      </c>
      <c r="AB32" s="164">
        <f t="shared" si="9"/>
        <v>4.190033843246687E-3</v>
      </c>
      <c r="AC32" s="328">
        <f t="shared" si="10"/>
        <v>6.1457819265010441E-2</v>
      </c>
      <c r="AD32" s="80"/>
      <c r="AE32" s="130">
        <f t="shared" si="11"/>
        <v>217655397.63904467</v>
      </c>
      <c r="AF32" s="131">
        <f t="shared" si="12"/>
        <v>192120720.49130449</v>
      </c>
      <c r="AG32" s="131">
        <f t="shared" si="13"/>
        <v>124570757.97017118</v>
      </c>
      <c r="AH32" s="131">
        <f t="shared" si="19"/>
        <v>534346876.10052037</v>
      </c>
      <c r="AI32" s="364">
        <f t="shared" si="20"/>
        <v>6.5905904145000652E-2</v>
      </c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</row>
    <row r="33" spans="1:64">
      <c r="A33" s="73" t="s">
        <v>26</v>
      </c>
      <c r="B33" s="161">
        <v>1019354</v>
      </c>
      <c r="C33" s="161">
        <v>288216.5</v>
      </c>
      <c r="D33" s="162">
        <f t="shared" si="0"/>
        <v>0.282744267447815</v>
      </c>
      <c r="E33" s="163">
        <f t="shared" si="14"/>
        <v>81491.563158873178</v>
      </c>
      <c r="F33" s="328">
        <f t="shared" si="1"/>
        <v>5.1173671325044735E-5</v>
      </c>
      <c r="G33" s="129">
        <f>+'CENSO POB 2020'!C37</f>
        <v>1959</v>
      </c>
      <c r="H33" s="164">
        <f t="shared" si="2"/>
        <v>3.3866706589849116E-4</v>
      </c>
      <c r="I33" s="164">
        <f t="shared" si="15"/>
        <v>2.8786700601371749E-4</v>
      </c>
      <c r="J33" s="161">
        <f>+'TERRITORIO INEGI 2021'!B27</f>
        <v>496.6</v>
      </c>
      <c r="K33" s="164">
        <f t="shared" si="3"/>
        <v>7.7404592527012097E-3</v>
      </c>
      <c r="L33" s="165">
        <f t="shared" si="16"/>
        <v>1.1610688879051814E-3</v>
      </c>
      <c r="M33" s="328">
        <f t="shared" si="17"/>
        <v>1.4489358939188989E-3</v>
      </c>
      <c r="N33" s="166">
        <v>525</v>
      </c>
      <c r="O33" s="167">
        <v>98</v>
      </c>
      <c r="P33" s="167">
        <v>163</v>
      </c>
      <c r="Q33" s="167">
        <v>24</v>
      </c>
      <c r="R33" s="396">
        <f t="shared" si="4"/>
        <v>1.4096324493135357E-3</v>
      </c>
      <c r="S33" s="368">
        <v>375</v>
      </c>
      <c r="T33" s="368">
        <v>59</v>
      </c>
      <c r="U33" s="368">
        <v>60</v>
      </c>
      <c r="V33" s="368">
        <v>19</v>
      </c>
      <c r="W33" s="396">
        <f t="shared" si="5"/>
        <v>1.5801406149704073E-3</v>
      </c>
      <c r="X33" s="168">
        <f t="shared" si="6"/>
        <v>1.3431195227248463E-3</v>
      </c>
      <c r="Y33" s="399">
        <f t="shared" si="7"/>
        <v>0.12095930803799666</v>
      </c>
      <c r="Z33" s="399">
        <f t="shared" si="8"/>
        <v>0</v>
      </c>
      <c r="AA33" s="164">
        <f t="shared" si="18"/>
        <v>0</v>
      </c>
      <c r="AB33" s="164">
        <f t="shared" si="9"/>
        <v>0</v>
      </c>
      <c r="AC33" s="328">
        <f t="shared" si="10"/>
        <v>1.3431195227248463E-3</v>
      </c>
      <c r="AD33" s="80"/>
      <c r="AE33" s="130">
        <f t="shared" si="11"/>
        <v>207450.9997690903</v>
      </c>
      <c r="AF33" s="131">
        <f t="shared" si="12"/>
        <v>2936893.0546877603</v>
      </c>
      <c r="AG33" s="131">
        <f t="shared" si="13"/>
        <v>2722410.5734845786</v>
      </c>
      <c r="AH33" s="131">
        <f t="shared" si="19"/>
        <v>5866754.6279414296</v>
      </c>
      <c r="AI33" s="364">
        <f t="shared" si="20"/>
        <v>7.236006898234588E-4</v>
      </c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</row>
    <row r="34" spans="1:64">
      <c r="A34" s="73" t="s">
        <v>27</v>
      </c>
      <c r="B34" s="161">
        <v>2430155</v>
      </c>
      <c r="C34" s="161">
        <v>518824</v>
      </c>
      <c r="D34" s="162">
        <f t="shared" si="0"/>
        <v>0.21349420098717983</v>
      </c>
      <c r="E34" s="163">
        <f t="shared" si="14"/>
        <v>110765.9153329726</v>
      </c>
      <c r="F34" s="328">
        <f t="shared" si="1"/>
        <v>6.95568758966686E-5</v>
      </c>
      <c r="G34" s="129">
        <f>+'CENSO POB 2020'!C29</f>
        <v>16086</v>
      </c>
      <c r="H34" s="164">
        <f t="shared" si="2"/>
        <v>2.7809078213594327E-3</v>
      </c>
      <c r="I34" s="164">
        <f t="shared" si="15"/>
        <v>2.3637716481555177E-3</v>
      </c>
      <c r="J34" s="161">
        <f>+'TERRITORIO INEGI 2021'!B28</f>
        <v>170.6</v>
      </c>
      <c r="K34" s="164">
        <f t="shared" si="3"/>
        <v>2.6591267589827351E-3</v>
      </c>
      <c r="L34" s="165">
        <f t="shared" si="16"/>
        <v>3.9886901384741024E-4</v>
      </c>
      <c r="M34" s="328">
        <f t="shared" si="17"/>
        <v>2.762640662002928E-3</v>
      </c>
      <c r="N34" s="166">
        <v>1777</v>
      </c>
      <c r="O34" s="167">
        <v>349</v>
      </c>
      <c r="P34" s="167">
        <v>145</v>
      </c>
      <c r="Q34" s="167">
        <v>79</v>
      </c>
      <c r="R34" s="396">
        <f t="shared" si="4"/>
        <v>3.9637238245243383E-3</v>
      </c>
      <c r="S34" s="368">
        <v>888</v>
      </c>
      <c r="T34" s="368">
        <v>347</v>
      </c>
      <c r="U34" s="368">
        <v>71</v>
      </c>
      <c r="V34" s="368">
        <v>43</v>
      </c>
      <c r="W34" s="396">
        <f t="shared" si="5"/>
        <v>4.1176242869017015E-3</v>
      </c>
      <c r="X34" s="168">
        <f t="shared" si="6"/>
        <v>3.499980643866446E-3</v>
      </c>
      <c r="Y34" s="399">
        <f t="shared" si="7"/>
        <v>3.8827241551278313E-2</v>
      </c>
      <c r="Z34" s="399">
        <f t="shared" si="8"/>
        <v>0</v>
      </c>
      <c r="AA34" s="164">
        <f t="shared" si="18"/>
        <v>0</v>
      </c>
      <c r="AB34" s="164">
        <f t="shared" si="9"/>
        <v>0</v>
      </c>
      <c r="AC34" s="328">
        <f t="shared" si="10"/>
        <v>3.499980643866446E-3</v>
      </c>
      <c r="AD34" s="80"/>
      <c r="AE34" s="130">
        <f t="shared" si="11"/>
        <v>281973.97356785845</v>
      </c>
      <c r="AF34" s="131">
        <f t="shared" si="12"/>
        <v>5599681.9506553933</v>
      </c>
      <c r="AG34" s="131">
        <f t="shared" si="13"/>
        <v>7094219.2043510173</v>
      </c>
      <c r="AH34" s="131">
        <f t="shared" si="19"/>
        <v>12975875.128574269</v>
      </c>
      <c r="AI34" s="364">
        <f t="shared" si="20"/>
        <v>1.600433764415678E-3</v>
      </c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</row>
    <row r="35" spans="1:64">
      <c r="A35" s="73" t="s">
        <v>28</v>
      </c>
      <c r="B35" s="161">
        <v>721085</v>
      </c>
      <c r="C35" s="161">
        <v>336929</v>
      </c>
      <c r="D35" s="162">
        <f t="shared" si="0"/>
        <v>0.46725282040258775</v>
      </c>
      <c r="E35" s="163">
        <f t="shared" si="14"/>
        <v>157431.02552542349</v>
      </c>
      <c r="F35" s="328">
        <f t="shared" si="1"/>
        <v>9.886082981248519E-5</v>
      </c>
      <c r="G35" s="129">
        <f>+'CENSO POB 2020'!C30</f>
        <v>1386</v>
      </c>
      <c r="H35" s="164">
        <f t="shared" si="2"/>
        <v>2.3960824570459864E-4</v>
      </c>
      <c r="I35" s="164">
        <f t="shared" si="15"/>
        <v>2.0366700884890884E-4</v>
      </c>
      <c r="J35" s="161">
        <f>+'TERRITORIO INEGI 2021'!B29</f>
        <v>443.2</v>
      </c>
      <c r="K35" s="164">
        <f t="shared" si="3"/>
        <v>6.9081182859387349E-3</v>
      </c>
      <c r="L35" s="165">
        <f t="shared" si="16"/>
        <v>1.0362177428908102E-3</v>
      </c>
      <c r="M35" s="328">
        <f t="shared" si="17"/>
        <v>1.239884751739719E-3</v>
      </c>
      <c r="N35" s="166">
        <v>236</v>
      </c>
      <c r="O35" s="167">
        <v>60</v>
      </c>
      <c r="P35" s="167">
        <v>117</v>
      </c>
      <c r="Q35" s="167">
        <v>25</v>
      </c>
      <c r="R35" s="396">
        <f t="shared" si="4"/>
        <v>1.0357297174192843E-3</v>
      </c>
      <c r="S35" s="368">
        <v>156</v>
      </c>
      <c r="T35" s="368">
        <v>44</v>
      </c>
      <c r="U35" s="368">
        <v>20</v>
      </c>
      <c r="V35" s="368">
        <v>31</v>
      </c>
      <c r="W35" s="396">
        <f t="shared" si="5"/>
        <v>1.6264120738269385E-3</v>
      </c>
      <c r="X35" s="168">
        <f t="shared" si="6"/>
        <v>1.3824502627528977E-3</v>
      </c>
      <c r="Y35" s="399">
        <f t="shared" si="7"/>
        <v>0.57030550197927166</v>
      </c>
      <c r="Z35" s="399">
        <f t="shared" si="8"/>
        <v>0</v>
      </c>
      <c r="AA35" s="164">
        <f t="shared" si="18"/>
        <v>0</v>
      </c>
      <c r="AB35" s="164">
        <f t="shared" si="9"/>
        <v>0</v>
      </c>
      <c r="AC35" s="328">
        <f t="shared" si="10"/>
        <v>1.3824502627528977E-3</v>
      </c>
      <c r="AD35" s="80"/>
      <c r="AE35" s="130">
        <f t="shared" si="11"/>
        <v>400768.15775703022</v>
      </c>
      <c r="AF35" s="131">
        <f t="shared" si="12"/>
        <v>2513160.817728668</v>
      </c>
      <c r="AG35" s="131">
        <f t="shared" si="13"/>
        <v>2802131.269002513</v>
      </c>
      <c r="AH35" s="131">
        <f t="shared" si="19"/>
        <v>5716060.2444882113</v>
      </c>
      <c r="AI35" s="364">
        <f t="shared" si="20"/>
        <v>7.0501416852939694E-4</v>
      </c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</row>
    <row r="36" spans="1:64">
      <c r="A36" s="73" t="s">
        <v>29</v>
      </c>
      <c r="B36" s="161">
        <v>1890448</v>
      </c>
      <c r="C36" s="161">
        <v>629171</v>
      </c>
      <c r="D36" s="162">
        <f t="shared" si="0"/>
        <v>0.33281581931901855</v>
      </c>
      <c r="E36" s="163">
        <f t="shared" si="14"/>
        <v>209398.06185676623</v>
      </c>
      <c r="F36" s="328">
        <f t="shared" si="1"/>
        <v>1.3149419618652597E-4</v>
      </c>
      <c r="G36" s="129">
        <f>+'CENSO POB 2020'!C31</f>
        <v>7026</v>
      </c>
      <c r="H36" s="164">
        <f t="shared" si="2"/>
        <v>1.2146374706497186E-3</v>
      </c>
      <c r="I36" s="164">
        <f t="shared" si="15"/>
        <v>1.0324418500522608E-3</v>
      </c>
      <c r="J36" s="161">
        <f>+'TERRITORIO INEGI 2021'!B30</f>
        <v>127.8</v>
      </c>
      <c r="K36" s="164">
        <f t="shared" si="3"/>
        <v>1.9920070328135614E-3</v>
      </c>
      <c r="L36" s="165">
        <f t="shared" si="16"/>
        <v>2.9880105492203422E-4</v>
      </c>
      <c r="M36" s="328">
        <f t="shared" si="17"/>
        <v>1.331242904974295E-3</v>
      </c>
      <c r="N36" s="166">
        <v>1201</v>
      </c>
      <c r="O36" s="167">
        <v>185</v>
      </c>
      <c r="P36" s="167">
        <v>941</v>
      </c>
      <c r="Q36" s="167">
        <v>42</v>
      </c>
      <c r="R36" s="396">
        <f t="shared" si="4"/>
        <v>4.0095605509974496E-3</v>
      </c>
      <c r="S36" s="368">
        <v>650</v>
      </c>
      <c r="T36" s="368">
        <v>163</v>
      </c>
      <c r="U36" s="368">
        <v>395</v>
      </c>
      <c r="V36" s="368">
        <v>10</v>
      </c>
      <c r="W36" s="396">
        <f t="shared" si="5"/>
        <v>3.5180673320510843E-3</v>
      </c>
      <c r="X36" s="168">
        <f t="shared" si="6"/>
        <v>2.9903572322434215E-3</v>
      </c>
      <c r="Y36" s="399">
        <f t="shared" si="7"/>
        <v>-0.12258032088431678</v>
      </c>
      <c r="Z36" s="399">
        <f t="shared" si="8"/>
        <v>-0.12258032088431678</v>
      </c>
      <c r="AA36" s="164">
        <f t="shared" si="18"/>
        <v>1.5547883624530514E-2</v>
      </c>
      <c r="AB36" s="164">
        <f t="shared" si="9"/>
        <v>2.332182543679577E-3</v>
      </c>
      <c r="AC36" s="328">
        <f t="shared" si="10"/>
        <v>5.3225397759229989E-3</v>
      </c>
      <c r="AD36" s="80"/>
      <c r="AE36" s="130">
        <f t="shared" si="11"/>
        <v>533059.32047477283</v>
      </c>
      <c r="AF36" s="131">
        <f t="shared" si="12"/>
        <v>2698337.4890015689</v>
      </c>
      <c r="AG36" s="131">
        <f t="shared" si="13"/>
        <v>10788420.776110994</v>
      </c>
      <c r="AH36" s="131">
        <f t="shared" si="19"/>
        <v>14019817.585587336</v>
      </c>
      <c r="AI36" s="364">
        <f t="shared" si="20"/>
        <v>1.7291927683175867E-3</v>
      </c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</row>
    <row r="37" spans="1:64">
      <c r="A37" s="73" t="s">
        <v>30</v>
      </c>
      <c r="B37" s="161">
        <v>574456</v>
      </c>
      <c r="C37" s="161">
        <v>112915</v>
      </c>
      <c r="D37" s="162">
        <f t="shared" si="0"/>
        <v>0.19655987577812747</v>
      </c>
      <c r="E37" s="163">
        <f t="shared" si="14"/>
        <v>22194.558373487263</v>
      </c>
      <c r="F37" s="328">
        <f t="shared" si="1"/>
        <v>1.3937357333483521E-5</v>
      </c>
      <c r="G37" s="129">
        <f>+'CENSO POB 2020'!C32</f>
        <v>3298</v>
      </c>
      <c r="H37" s="164">
        <f t="shared" si="2"/>
        <v>5.7015006806188052E-4</v>
      </c>
      <c r="I37" s="164">
        <f t="shared" si="15"/>
        <v>4.8462755785259843E-4</v>
      </c>
      <c r="J37" s="161">
        <f>+'TERRITORIO INEGI 2021'!B31</f>
        <v>560.5</v>
      </c>
      <c r="K37" s="164">
        <f t="shared" si="3"/>
        <v>8.7364627691079895E-3</v>
      </c>
      <c r="L37" s="165">
        <f t="shared" si="16"/>
        <v>1.3104694153661983E-3</v>
      </c>
      <c r="M37" s="328">
        <f t="shared" si="17"/>
        <v>1.7950969732187967E-3</v>
      </c>
      <c r="N37" s="166">
        <v>779</v>
      </c>
      <c r="O37" s="167">
        <v>188</v>
      </c>
      <c r="P37" s="167">
        <v>1437</v>
      </c>
      <c r="Q37" s="167">
        <v>355</v>
      </c>
      <c r="R37" s="396">
        <f t="shared" si="4"/>
        <v>1.0481063203940282E-2</v>
      </c>
      <c r="S37" s="368">
        <v>672</v>
      </c>
      <c r="T37" s="368">
        <v>134</v>
      </c>
      <c r="U37" s="368">
        <v>300</v>
      </c>
      <c r="V37" s="368">
        <v>75</v>
      </c>
      <c r="W37" s="396">
        <f t="shared" si="5"/>
        <v>5.5306963347501788E-3</v>
      </c>
      <c r="X37" s="168">
        <f t="shared" si="6"/>
        <v>4.7010918845376516E-3</v>
      </c>
      <c r="Y37" s="399">
        <f t="shared" si="7"/>
        <v>-0.47231533412841625</v>
      </c>
      <c r="Z37" s="399">
        <f t="shared" si="8"/>
        <v>-0.47231533412841625</v>
      </c>
      <c r="AA37" s="164">
        <f t="shared" si="18"/>
        <v>5.990768988147923E-2</v>
      </c>
      <c r="AB37" s="164">
        <f t="shared" si="9"/>
        <v>8.9861534822218841E-3</v>
      </c>
      <c r="AC37" s="328">
        <f t="shared" si="10"/>
        <v>1.3687245366759537E-2</v>
      </c>
      <c r="AD37" s="80"/>
      <c r="AE37" s="130">
        <f t="shared" si="11"/>
        <v>56500.122780035686</v>
      </c>
      <c r="AF37" s="131">
        <f t="shared" si="12"/>
        <v>3638537.6711720787</v>
      </c>
      <c r="AG37" s="131">
        <f t="shared" si="13"/>
        <v>27743101.695631888</v>
      </c>
      <c r="AH37" s="131">
        <f t="shared" si="19"/>
        <v>31438139.489584003</v>
      </c>
      <c r="AI37" s="364">
        <f t="shared" si="20"/>
        <v>3.8775542636613255E-3</v>
      </c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</row>
    <row r="38" spans="1:64">
      <c r="A38" s="73" t="s">
        <v>31</v>
      </c>
      <c r="B38" s="161">
        <v>369239404</v>
      </c>
      <c r="C38" s="161">
        <v>99086847.890000001</v>
      </c>
      <c r="D38" s="162">
        <f t="shared" si="0"/>
        <v>0.26835393735496332</v>
      </c>
      <c r="E38" s="163">
        <f t="shared" si="14"/>
        <v>26590345.771373838</v>
      </c>
      <c r="F38" s="328">
        <f t="shared" si="1"/>
        <v>1.669774835795889E-2</v>
      </c>
      <c r="G38" s="129">
        <f>+'CENSO POB 2020'!C33</f>
        <v>471523</v>
      </c>
      <c r="H38" s="164">
        <f t="shared" si="2"/>
        <v>8.1515727878332944E-2</v>
      </c>
      <c r="I38" s="164">
        <f t="shared" si="15"/>
        <v>6.9288368696583003E-2</v>
      </c>
      <c r="J38" s="161">
        <f>+'TERRITORIO INEGI 2021'!B32</f>
        <v>247.3</v>
      </c>
      <c r="K38" s="164">
        <f t="shared" si="3"/>
        <v>3.8546427168606708E-3</v>
      </c>
      <c r="L38" s="165">
        <f t="shared" si="16"/>
        <v>5.7819640752910064E-4</v>
      </c>
      <c r="M38" s="328">
        <f t="shared" si="17"/>
        <v>6.9866565104112099E-2</v>
      </c>
      <c r="N38" s="166">
        <v>7826</v>
      </c>
      <c r="O38" s="167">
        <v>2619</v>
      </c>
      <c r="P38" s="167">
        <v>3702</v>
      </c>
      <c r="Q38" s="167">
        <v>260</v>
      </c>
      <c r="R38" s="396">
        <f t="shared" si="4"/>
        <v>2.5768872466013677E-2</v>
      </c>
      <c r="S38" s="368">
        <v>16068</v>
      </c>
      <c r="T38" s="368">
        <v>3566</v>
      </c>
      <c r="U38" s="368">
        <v>735</v>
      </c>
      <c r="V38" s="368">
        <v>271</v>
      </c>
      <c r="W38" s="396">
        <f t="shared" si="5"/>
        <v>4.1010767175422999E-2</v>
      </c>
      <c r="X38" s="168">
        <f t="shared" si="6"/>
        <v>3.4859152099109551E-2</v>
      </c>
      <c r="Y38" s="399">
        <f t="shared" si="7"/>
        <v>0.59148473529494594</v>
      </c>
      <c r="Z38" s="399">
        <f t="shared" si="8"/>
        <v>0</v>
      </c>
      <c r="AA38" s="164">
        <f t="shared" si="18"/>
        <v>0</v>
      </c>
      <c r="AB38" s="164">
        <f t="shared" si="9"/>
        <v>0</v>
      </c>
      <c r="AC38" s="328">
        <f t="shared" si="10"/>
        <v>3.4859152099109551E-2</v>
      </c>
      <c r="AD38" s="80"/>
      <c r="AE38" s="130">
        <f t="shared" si="11"/>
        <v>67690366.961339563</v>
      </c>
      <c r="AF38" s="131">
        <f t="shared" si="12"/>
        <v>141614705.43336692</v>
      </c>
      <c r="AG38" s="131">
        <f t="shared" si="13"/>
        <v>70657095.404877499</v>
      </c>
      <c r="AH38" s="131">
        <f t="shared" si="19"/>
        <v>279962167.79958397</v>
      </c>
      <c r="AI38" s="364">
        <f t="shared" si="20"/>
        <v>3.4530303479784863E-2</v>
      </c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</row>
    <row r="39" spans="1:64">
      <c r="A39" s="73" t="s">
        <v>32</v>
      </c>
      <c r="B39" s="161">
        <v>3808697</v>
      </c>
      <c r="C39" s="161">
        <v>1194083</v>
      </c>
      <c r="D39" s="162">
        <f t="shared" si="0"/>
        <v>0.31351483197534485</v>
      </c>
      <c r="E39" s="163">
        <f t="shared" si="14"/>
        <v>374362.73110961571</v>
      </c>
      <c r="F39" s="328">
        <f t="shared" si="1"/>
        <v>2.3508587411436363E-4</v>
      </c>
      <c r="G39" s="129">
        <f>+'CENSO POB 2020'!C34</f>
        <v>5351</v>
      </c>
      <c r="H39" s="164">
        <f t="shared" si="2"/>
        <v>9.2506762104279034E-4</v>
      </c>
      <c r="I39" s="164">
        <f t="shared" si="15"/>
        <v>7.8630747788637173E-4</v>
      </c>
      <c r="J39" s="161">
        <f>+'TERRITORIO INEGI 2021'!B33</f>
        <v>3428</v>
      </c>
      <c r="K39" s="164">
        <f t="shared" si="3"/>
        <v>5.3431925731493649E-2</v>
      </c>
      <c r="L39" s="165">
        <f t="shared" si="16"/>
        <v>8.0147888597240473E-3</v>
      </c>
      <c r="M39" s="328">
        <f t="shared" si="17"/>
        <v>8.8010963376104184E-3</v>
      </c>
      <c r="N39" s="166">
        <v>900</v>
      </c>
      <c r="O39" s="167">
        <v>170</v>
      </c>
      <c r="P39" s="167">
        <v>749</v>
      </c>
      <c r="Q39" s="167">
        <v>32</v>
      </c>
      <c r="R39" s="396">
        <f t="shared" si="4"/>
        <v>3.2103292508626068E-3</v>
      </c>
      <c r="S39" s="368">
        <v>712</v>
      </c>
      <c r="T39" s="368">
        <v>165</v>
      </c>
      <c r="U39" s="368">
        <v>176</v>
      </c>
      <c r="V39" s="368">
        <v>26</v>
      </c>
      <c r="W39" s="396">
        <f t="shared" si="5"/>
        <v>3.1168281999986646E-3</v>
      </c>
      <c r="X39" s="168">
        <f t="shared" si="6"/>
        <v>2.6493039699988651E-3</v>
      </c>
      <c r="Y39" s="399">
        <f t="shared" si="7"/>
        <v>-2.9125065860088544E-2</v>
      </c>
      <c r="Z39" s="399">
        <f t="shared" si="8"/>
        <v>-2.9125065860088544E-2</v>
      </c>
      <c r="AA39" s="164">
        <f t="shared" si="18"/>
        <v>3.6941748176430168E-3</v>
      </c>
      <c r="AB39" s="164">
        <f t="shared" si="9"/>
        <v>5.5412622264645254E-4</v>
      </c>
      <c r="AC39" s="328">
        <f t="shared" si="10"/>
        <v>3.2034301926453174E-3</v>
      </c>
      <c r="AD39" s="80"/>
      <c r="AE39" s="130">
        <f t="shared" si="11"/>
        <v>953005.68346651865</v>
      </c>
      <c r="AF39" s="131">
        <f t="shared" si="12"/>
        <v>17839214.844526932</v>
      </c>
      <c r="AG39" s="131">
        <f t="shared" si="13"/>
        <v>6493131.9069687612</v>
      </c>
      <c r="AH39" s="131">
        <f t="shared" si="19"/>
        <v>25285352.434962213</v>
      </c>
      <c r="AI39" s="364">
        <f t="shared" si="20"/>
        <v>3.1186745696211164E-3</v>
      </c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</row>
    <row r="40" spans="1:64">
      <c r="A40" s="73" t="s">
        <v>33</v>
      </c>
      <c r="B40" s="161">
        <v>39439786</v>
      </c>
      <c r="C40" s="161">
        <v>10280239</v>
      </c>
      <c r="D40" s="162">
        <f t="shared" ref="D40:D59" si="21">+C40/B40</f>
        <v>0.26065656137180865</v>
      </c>
      <c r="E40" s="163">
        <f t="shared" si="14"/>
        <v>2679611.7478203606</v>
      </c>
      <c r="F40" s="328">
        <f t="shared" ref="F40:F58" si="22">+E40/E$59</f>
        <v>1.6826965338037809E-3</v>
      </c>
      <c r="G40" s="129">
        <f>+'CENSO POB 2020'!C35</f>
        <v>84666</v>
      </c>
      <c r="H40" s="164">
        <f t="shared" ref="H40:H58" si="23">+G40/$G$59</f>
        <v>1.4636848290638924E-2</v>
      </c>
      <c r="I40" s="164">
        <f t="shared" si="15"/>
        <v>1.2441321047043085E-2</v>
      </c>
      <c r="J40" s="161">
        <f>+'TERRITORIO INEGI 2021'!B34</f>
        <v>2509.1999999999998</v>
      </c>
      <c r="K40" s="164">
        <f t="shared" ref="K40:K59" si="24">+J40/$J$59</f>
        <v>3.9110673292142316E-2</v>
      </c>
      <c r="L40" s="165">
        <f t="shared" si="16"/>
        <v>5.8666009938213469E-3</v>
      </c>
      <c r="M40" s="328">
        <f t="shared" si="17"/>
        <v>1.8307922040864431E-2</v>
      </c>
      <c r="N40" s="166">
        <v>12929</v>
      </c>
      <c r="O40" s="167">
        <v>1702</v>
      </c>
      <c r="P40" s="167">
        <v>11424</v>
      </c>
      <c r="Q40" s="167">
        <v>888</v>
      </c>
      <c r="R40" s="396">
        <f t="shared" ref="R40:R58" si="25">(0.25*(N40/N$59))+(0.25*(O40/O$59))+(0.25*(P40/P$59))+(0.25*(Q40/Q$59))</f>
        <v>5.2741452105129996E-2</v>
      </c>
      <c r="S40" s="368">
        <v>10672</v>
      </c>
      <c r="T40" s="368">
        <v>1334</v>
      </c>
      <c r="U40" s="368">
        <v>4922</v>
      </c>
      <c r="V40" s="368">
        <v>346</v>
      </c>
      <c r="W40" s="396">
        <f t="shared" ref="W40:W58" si="26">(0.25*(S40/S$59))+(0.25*(T40/T$59))+(0.25*(U40/U$59))+(0.25*(V40/V$59))</f>
        <v>5.1935046247102948E-2</v>
      </c>
      <c r="X40" s="168">
        <f t="shared" ref="X40:X58" si="27">+W40*X$4</f>
        <v>4.4144789310037506E-2</v>
      </c>
      <c r="Y40" s="399">
        <f t="shared" ref="Y40:Y58" si="28">+(W40-R40)/R40</f>
        <v>-1.5289792484659552E-2</v>
      </c>
      <c r="Z40" s="399">
        <f t="shared" si="8"/>
        <v>-1.5289792484659552E-2</v>
      </c>
      <c r="AA40" s="164">
        <f t="shared" si="18"/>
        <v>1.9393317987726278E-3</v>
      </c>
      <c r="AB40" s="164">
        <f t="shared" ref="AB40:AB58" si="29">+AA40*AB$4</f>
        <v>2.9089976981589414E-4</v>
      </c>
      <c r="AC40" s="328">
        <f t="shared" si="10"/>
        <v>4.4435689079853402E-2</v>
      </c>
      <c r="AD40" s="80"/>
      <c r="AE40" s="130">
        <f t="shared" ref="AE40:AE58" si="30">+F40*AE$6</f>
        <v>6821419.4762050733</v>
      </c>
      <c r="AF40" s="131">
        <f t="shared" ref="AF40:AF58" si="31">+M40*AF$6</f>
        <v>37108894.405365102</v>
      </c>
      <c r="AG40" s="131">
        <f t="shared" ref="AG40:AG58" si="32">+AC40*AG$6</f>
        <v>90068074.91387251</v>
      </c>
      <c r="AH40" s="131">
        <f t="shared" si="19"/>
        <v>133998388.79544269</v>
      </c>
      <c r="AI40" s="364">
        <f t="shared" si="20"/>
        <v>1.6527251047081352E-2</v>
      </c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</row>
    <row r="41" spans="1:64">
      <c r="A41" s="73" t="s">
        <v>34</v>
      </c>
      <c r="B41" s="161">
        <v>2142351</v>
      </c>
      <c r="C41" s="161">
        <v>940947</v>
      </c>
      <c r="D41" s="162">
        <f t="shared" si="21"/>
        <v>0.43921234195516984</v>
      </c>
      <c r="E41" s="163">
        <f t="shared" si="14"/>
        <v>413275.53552569117</v>
      </c>
      <c r="F41" s="328">
        <f t="shared" si="22"/>
        <v>2.5952166827923688E-4</v>
      </c>
      <c r="G41" s="129">
        <f>+'CENSO POB 2020'!C39</f>
        <v>5119</v>
      </c>
      <c r="H41" s="164">
        <f t="shared" si="23"/>
        <v>8.8496003590320376E-4</v>
      </c>
      <c r="I41" s="164">
        <f t="shared" si="15"/>
        <v>7.5221603051772322E-4</v>
      </c>
      <c r="J41" s="161">
        <f>+'TERRITORIO INEGI 2021'!B35</f>
        <v>264.89999999999998</v>
      </c>
      <c r="K41" s="164">
        <f t="shared" si="24"/>
        <v>4.1289723238835084E-3</v>
      </c>
      <c r="L41" s="165">
        <f t="shared" si="16"/>
        <v>6.1934584858252628E-4</v>
      </c>
      <c r="M41" s="328">
        <f t="shared" si="17"/>
        <v>1.3715618791002495E-3</v>
      </c>
      <c r="N41" s="166">
        <v>549</v>
      </c>
      <c r="O41" s="167">
        <v>118</v>
      </c>
      <c r="P41" s="167">
        <v>143</v>
      </c>
      <c r="Q41" s="167">
        <v>8</v>
      </c>
      <c r="R41" s="396">
        <f t="shared" si="25"/>
        <v>1.1599041643378795E-3</v>
      </c>
      <c r="S41" s="368">
        <v>274</v>
      </c>
      <c r="T41" s="368">
        <v>106</v>
      </c>
      <c r="U41" s="368">
        <v>22</v>
      </c>
      <c r="V41" s="368">
        <v>0</v>
      </c>
      <c r="W41" s="396">
        <f t="shared" si="26"/>
        <v>7.3954718176878851E-4</v>
      </c>
      <c r="X41" s="168">
        <f t="shared" si="27"/>
        <v>6.2861510450347023E-4</v>
      </c>
      <c r="Y41" s="399">
        <f t="shared" si="28"/>
        <v>-0.36240665004340927</v>
      </c>
      <c r="Z41" s="399">
        <f t="shared" si="8"/>
        <v>-0.36240665004340927</v>
      </c>
      <c r="AA41" s="164">
        <f t="shared" si="18"/>
        <v>4.5967055551669675E-2</v>
      </c>
      <c r="AB41" s="164">
        <f t="shared" si="29"/>
        <v>6.8950583327504512E-3</v>
      </c>
      <c r="AC41" s="328">
        <f t="shared" si="10"/>
        <v>7.5236734372539213E-3</v>
      </c>
      <c r="AD41" s="80"/>
      <c r="AE41" s="130">
        <f t="shared" si="30"/>
        <v>1052065.0200041679</v>
      </c>
      <c r="AF41" s="131">
        <f t="shared" si="31"/>
        <v>2780061.2668302646</v>
      </c>
      <c r="AG41" s="131">
        <f t="shared" si="32"/>
        <v>15249966.790350366</v>
      </c>
      <c r="AH41" s="131">
        <f t="shared" si="19"/>
        <v>19082093.0771848</v>
      </c>
      <c r="AI41" s="364">
        <f t="shared" si="20"/>
        <v>2.3535696632281614E-3</v>
      </c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</row>
    <row r="42" spans="1:64">
      <c r="A42" s="73" t="s">
        <v>35</v>
      </c>
      <c r="B42" s="161">
        <v>758867</v>
      </c>
      <c r="C42" s="161">
        <v>301669</v>
      </c>
      <c r="D42" s="162">
        <f t="shared" si="21"/>
        <v>0.39752552159996418</v>
      </c>
      <c r="E42" s="163">
        <f t="shared" si="14"/>
        <v>119921.1265755396</v>
      </c>
      <c r="F42" s="328">
        <f t="shared" si="22"/>
        <v>7.5306008112050149E-5</v>
      </c>
      <c r="G42" s="129">
        <f>+'CENSO POB 2020'!C40</f>
        <v>1483</v>
      </c>
      <c r="H42" s="164">
        <f t="shared" si="23"/>
        <v>2.5637736535347747E-4</v>
      </c>
      <c r="I42" s="164">
        <f t="shared" si="15"/>
        <v>2.1792076055045584E-4</v>
      </c>
      <c r="J42" s="161">
        <f>+'TERRITORIO INEGI 2021'!B36</f>
        <v>207.9</v>
      </c>
      <c r="K42" s="164">
        <f t="shared" si="24"/>
        <v>3.2405184829572727E-3</v>
      </c>
      <c r="L42" s="165">
        <f t="shared" si="16"/>
        <v>4.8607777244359088E-4</v>
      </c>
      <c r="M42" s="328">
        <f t="shared" si="17"/>
        <v>7.0399853299404674E-4</v>
      </c>
      <c r="N42" s="166">
        <v>166</v>
      </c>
      <c r="O42" s="167">
        <v>28</v>
      </c>
      <c r="P42" s="167">
        <v>16</v>
      </c>
      <c r="Q42" s="167">
        <v>3</v>
      </c>
      <c r="R42" s="396">
        <f t="shared" si="25"/>
        <v>2.7977761574675224E-4</v>
      </c>
      <c r="S42" s="368">
        <v>122</v>
      </c>
      <c r="T42" s="368">
        <v>17</v>
      </c>
      <c r="U42" s="368">
        <v>14</v>
      </c>
      <c r="V42" s="368">
        <v>3</v>
      </c>
      <c r="W42" s="396">
        <f t="shared" si="26"/>
        <v>3.5150700653175136E-4</v>
      </c>
      <c r="X42" s="168">
        <f t="shared" si="27"/>
        <v>2.9878095555198867E-4</v>
      </c>
      <c r="Y42" s="399">
        <f t="shared" si="28"/>
        <v>0.25638002022980561</v>
      </c>
      <c r="Z42" s="399">
        <f t="shared" si="8"/>
        <v>0</v>
      </c>
      <c r="AA42" s="164">
        <f t="shared" si="18"/>
        <v>0</v>
      </c>
      <c r="AB42" s="164">
        <f t="shared" si="29"/>
        <v>0</v>
      </c>
      <c r="AC42" s="328">
        <f t="shared" si="10"/>
        <v>2.9878095555198867E-4</v>
      </c>
      <c r="AD42" s="80"/>
      <c r="AE42" s="130">
        <f t="shared" si="30"/>
        <v>305280.1619847503</v>
      </c>
      <c r="AF42" s="131">
        <f t="shared" si="31"/>
        <v>1426956.4379887711</v>
      </c>
      <c r="AG42" s="131">
        <f t="shared" si="32"/>
        <v>605608.37571653351</v>
      </c>
      <c r="AH42" s="131">
        <f t="shared" si="19"/>
        <v>2337844.9756900547</v>
      </c>
      <c r="AI42" s="364">
        <f t="shared" si="20"/>
        <v>2.8834787619253394E-4</v>
      </c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</row>
    <row r="43" spans="1:64">
      <c r="A43" s="73" t="s">
        <v>36</v>
      </c>
      <c r="B43" s="161">
        <v>746282</v>
      </c>
      <c r="C43" s="161">
        <v>64774</v>
      </c>
      <c r="D43" s="162">
        <f t="shared" si="21"/>
        <v>8.6795608094527271E-2</v>
      </c>
      <c r="E43" s="163">
        <f t="shared" si="14"/>
        <v>5622.0987187149094</v>
      </c>
      <c r="F43" s="328">
        <f t="shared" si="22"/>
        <v>3.5304689324412032E-6</v>
      </c>
      <c r="G43" s="129">
        <f>+'CENSO POB 2020'!C41</f>
        <v>7652</v>
      </c>
      <c r="H43" s="164">
        <f t="shared" si="23"/>
        <v>1.322858799517741E-3</v>
      </c>
      <c r="I43" s="164">
        <f t="shared" si="15"/>
        <v>1.1244299795900798E-3</v>
      </c>
      <c r="J43" s="161">
        <f>+'TERRITORIO INEGI 2021'!B37</f>
        <v>997.9</v>
      </c>
      <c r="K43" s="164">
        <f t="shared" si="24"/>
        <v>1.5554176980005108E-2</v>
      </c>
      <c r="L43" s="165">
        <f t="shared" si="16"/>
        <v>2.3331265470007659E-3</v>
      </c>
      <c r="M43" s="328">
        <f t="shared" si="17"/>
        <v>3.4575565265908457E-3</v>
      </c>
      <c r="N43" s="166">
        <v>1457</v>
      </c>
      <c r="O43" s="167">
        <v>656</v>
      </c>
      <c r="P43" s="167">
        <v>3161</v>
      </c>
      <c r="Q43" s="167">
        <v>242</v>
      </c>
      <c r="R43" s="396">
        <f t="shared" si="25"/>
        <v>1.3917613986608209E-2</v>
      </c>
      <c r="S43" s="368">
        <v>1104</v>
      </c>
      <c r="T43" s="368">
        <v>595</v>
      </c>
      <c r="U43" s="368">
        <v>4358</v>
      </c>
      <c r="V43" s="368">
        <v>125</v>
      </c>
      <c r="W43" s="396">
        <f t="shared" si="26"/>
        <v>2.992363055734365E-2</v>
      </c>
      <c r="X43" s="168">
        <f t="shared" si="27"/>
        <v>2.54350859737421E-2</v>
      </c>
      <c r="Y43" s="399">
        <f t="shared" si="28"/>
        <v>1.1500546419908424</v>
      </c>
      <c r="Z43" s="399">
        <f t="shared" si="8"/>
        <v>0</v>
      </c>
      <c r="AA43" s="164">
        <f t="shared" si="18"/>
        <v>0</v>
      </c>
      <c r="AB43" s="164">
        <f t="shared" si="29"/>
        <v>0</v>
      </c>
      <c r="AC43" s="328">
        <f t="shared" si="10"/>
        <v>2.54350859737421E-2</v>
      </c>
      <c r="AD43" s="80"/>
      <c r="AE43" s="130">
        <f t="shared" si="30"/>
        <v>14312.03372211834</v>
      </c>
      <c r="AF43" s="131">
        <f t="shared" si="31"/>
        <v>7008228.4466502182</v>
      </c>
      <c r="AG43" s="131">
        <f t="shared" si="32"/>
        <v>51555163.796536066</v>
      </c>
      <c r="AH43" s="131">
        <f t="shared" si="19"/>
        <v>58577704.276908405</v>
      </c>
      <c r="AI43" s="364">
        <f t="shared" si="20"/>
        <v>7.2249258595494577E-3</v>
      </c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</row>
    <row r="44" spans="1:64">
      <c r="A44" s="73" t="s">
        <v>37</v>
      </c>
      <c r="B44" s="161">
        <v>4564482</v>
      </c>
      <c r="C44" s="161">
        <v>1105076</v>
      </c>
      <c r="D44" s="162">
        <f t="shared" si="21"/>
        <v>0.24210326604420832</v>
      </c>
      <c r="E44" s="163">
        <f t="shared" si="14"/>
        <v>267542.50882706954</v>
      </c>
      <c r="F44" s="328">
        <f t="shared" si="22"/>
        <v>1.680067467291377E-4</v>
      </c>
      <c r="G44" s="129">
        <f>+'CENSO POB 2020'!C42</f>
        <v>6048</v>
      </c>
      <c r="H44" s="164">
        <f t="shared" si="23"/>
        <v>1.0455632539837032E-3</v>
      </c>
      <c r="I44" s="164">
        <f t="shared" si="15"/>
        <v>8.8872876588614767E-4</v>
      </c>
      <c r="J44" s="161">
        <f>+'TERRITORIO INEGI 2021'!B38</f>
        <v>3860</v>
      </c>
      <c r="K44" s="164">
        <f t="shared" si="24"/>
        <v>6.0165470631145121E-2</v>
      </c>
      <c r="L44" s="165">
        <f t="shared" si="16"/>
        <v>9.0248205946717678E-3</v>
      </c>
      <c r="M44" s="328">
        <f t="shared" si="17"/>
        <v>9.9135493605579158E-3</v>
      </c>
      <c r="N44" s="166">
        <v>871</v>
      </c>
      <c r="O44" s="167">
        <v>247</v>
      </c>
      <c r="P44" s="167">
        <v>493</v>
      </c>
      <c r="Q44" s="167">
        <v>128</v>
      </c>
      <c r="R44" s="396">
        <f t="shared" si="25"/>
        <v>4.6848694940444004E-3</v>
      </c>
      <c r="S44" s="368">
        <v>542</v>
      </c>
      <c r="T44" s="368">
        <v>203</v>
      </c>
      <c r="U44" s="368">
        <v>151</v>
      </c>
      <c r="V44" s="368">
        <v>39</v>
      </c>
      <c r="W44" s="396">
        <f t="shared" si="26"/>
        <v>3.5233788487838008E-3</v>
      </c>
      <c r="X44" s="168">
        <f t="shared" si="27"/>
        <v>2.9948720214662307E-3</v>
      </c>
      <c r="Y44" s="399">
        <f t="shared" si="28"/>
        <v>-0.24792379952891633</v>
      </c>
      <c r="Z44" s="399">
        <f t="shared" si="8"/>
        <v>-0.24792379952891633</v>
      </c>
      <c r="AA44" s="164">
        <f t="shared" si="18"/>
        <v>3.144624157465558E-2</v>
      </c>
      <c r="AB44" s="164">
        <f t="shared" si="29"/>
        <v>4.7169362361983366E-3</v>
      </c>
      <c r="AC44" s="328">
        <f t="shared" si="10"/>
        <v>7.7118082576645673E-3</v>
      </c>
      <c r="AD44" s="80"/>
      <c r="AE44" s="130">
        <f t="shared" si="30"/>
        <v>681076.16034682642</v>
      </c>
      <c r="AF44" s="131">
        <f t="shared" si="31"/>
        <v>20094080.343044136</v>
      </c>
      <c r="AG44" s="131">
        <f t="shared" si="32"/>
        <v>15631303.086681971</v>
      </c>
      <c r="AH44" s="131">
        <f t="shared" si="19"/>
        <v>36406459.59007293</v>
      </c>
      <c r="AI44" s="364">
        <f t="shared" si="20"/>
        <v>4.4903427779201897E-3</v>
      </c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</row>
    <row r="45" spans="1:64">
      <c r="A45" s="73" t="s">
        <v>38</v>
      </c>
      <c r="B45" s="161">
        <v>56486259</v>
      </c>
      <c r="C45" s="161">
        <v>16891683.199999999</v>
      </c>
      <c r="D45" s="162">
        <f t="shared" si="21"/>
        <v>0.29904057197344225</v>
      </c>
      <c r="E45" s="163">
        <f t="shared" si="14"/>
        <v>5051298.6057221852</v>
      </c>
      <c r="F45" s="328">
        <f t="shared" si="22"/>
        <v>3.1720276872089655E-3</v>
      </c>
      <c r="G45" s="129">
        <f>+'CENSO POB 2020'!C43</f>
        <v>67428</v>
      </c>
      <c r="H45" s="164">
        <f t="shared" si="23"/>
        <v>1.1656785563758786E-2</v>
      </c>
      <c r="I45" s="164">
        <f t="shared" si="15"/>
        <v>9.9082677291949667E-3</v>
      </c>
      <c r="J45" s="161">
        <f>+'TERRITORIO INEGI 2021'!B39</f>
        <v>1869</v>
      </c>
      <c r="K45" s="164">
        <f t="shared" si="24"/>
        <v>2.913193383668659E-2</v>
      </c>
      <c r="L45" s="165">
        <f t="shared" si="16"/>
        <v>4.3697900755029885E-3</v>
      </c>
      <c r="M45" s="328">
        <f t="shared" si="17"/>
        <v>1.4278057804697954E-2</v>
      </c>
      <c r="N45" s="166">
        <v>9097</v>
      </c>
      <c r="O45" s="167">
        <v>1434</v>
      </c>
      <c r="P45" s="167">
        <v>7372</v>
      </c>
      <c r="Q45" s="167">
        <v>494</v>
      </c>
      <c r="R45" s="396">
        <f t="shared" si="25"/>
        <v>3.4181623783210227E-2</v>
      </c>
      <c r="S45" s="368">
        <v>5868</v>
      </c>
      <c r="T45" s="368">
        <v>977</v>
      </c>
      <c r="U45" s="368">
        <v>2574</v>
      </c>
      <c r="V45" s="368">
        <v>206</v>
      </c>
      <c r="W45" s="396">
        <f t="shared" si="26"/>
        <v>2.9472936173387289E-2</v>
      </c>
      <c r="X45" s="168">
        <f t="shared" si="27"/>
        <v>2.5051995747379194E-2</v>
      </c>
      <c r="Y45" s="399">
        <f t="shared" si="28"/>
        <v>-0.13775494223699847</v>
      </c>
      <c r="Z45" s="399">
        <f t="shared" si="8"/>
        <v>-0.13775494223699847</v>
      </c>
      <c r="AA45" s="164">
        <f t="shared" si="18"/>
        <v>1.7472607308852313E-2</v>
      </c>
      <c r="AB45" s="164">
        <f t="shared" si="29"/>
        <v>2.6208910963278469E-3</v>
      </c>
      <c r="AC45" s="328">
        <f t="shared" si="10"/>
        <v>2.7672886843707042E-2</v>
      </c>
      <c r="AD45" s="80"/>
      <c r="AE45" s="130">
        <f t="shared" si="30"/>
        <v>12858962.391558681</v>
      </c>
      <c r="AF45" s="131">
        <f t="shared" si="31"/>
        <v>28940637.730791774</v>
      </c>
      <c r="AG45" s="131">
        <f t="shared" si="32"/>
        <v>56091031.711988598</v>
      </c>
      <c r="AH45" s="131">
        <f t="shared" si="19"/>
        <v>97890631.834339052</v>
      </c>
      <c r="AI45" s="364">
        <f t="shared" si="20"/>
        <v>1.2073750005705734E-2</v>
      </c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</row>
    <row r="46" spans="1:64">
      <c r="A46" s="73" t="s">
        <v>39</v>
      </c>
      <c r="B46" s="161">
        <v>2430413136</v>
      </c>
      <c r="C46" s="161">
        <v>1205887491.6800001</v>
      </c>
      <c r="D46" s="162">
        <f t="shared" si="21"/>
        <v>0.49616564106654831</v>
      </c>
      <c r="E46" s="163">
        <f t="shared" si="14"/>
        <v>598319940.36353922</v>
      </c>
      <c r="F46" s="328">
        <f t="shared" si="22"/>
        <v>0.37572267347101768</v>
      </c>
      <c r="G46" s="129">
        <f>+'CENSO POB 2020'!C44</f>
        <v>1142994</v>
      </c>
      <c r="H46" s="164">
        <f t="shared" si="23"/>
        <v>0.19759797055619194</v>
      </c>
      <c r="I46" s="164">
        <f t="shared" si="15"/>
        <v>0.16795827497276314</v>
      </c>
      <c r="J46" s="161">
        <f>+'TERRITORIO INEGI 2021'!B40</f>
        <v>324.39999999999998</v>
      </c>
      <c r="K46" s="164">
        <f t="shared" si="24"/>
        <v>5.0563934385345795E-3</v>
      </c>
      <c r="L46" s="165">
        <f t="shared" si="16"/>
        <v>7.584590157801869E-4</v>
      </c>
      <c r="M46" s="328">
        <f t="shared" si="17"/>
        <v>0.16871673398854334</v>
      </c>
      <c r="N46" s="166">
        <v>123398</v>
      </c>
      <c r="O46" s="167">
        <v>19246</v>
      </c>
      <c r="P46" s="167">
        <v>4982</v>
      </c>
      <c r="Q46" s="167">
        <v>694</v>
      </c>
      <c r="R46" s="396">
        <f t="shared" si="25"/>
        <v>0.16061061815025374</v>
      </c>
      <c r="S46" s="368">
        <v>88874</v>
      </c>
      <c r="T46" s="368">
        <v>14067</v>
      </c>
      <c r="U46" s="368">
        <v>2251</v>
      </c>
      <c r="V46" s="368">
        <v>390</v>
      </c>
      <c r="W46" s="396">
        <f t="shared" si="26"/>
        <v>0.15160210020364842</v>
      </c>
      <c r="X46" s="168">
        <f t="shared" si="27"/>
        <v>0.12886178517310115</v>
      </c>
      <c r="Y46" s="399">
        <f t="shared" si="28"/>
        <v>-5.6089180468614511E-2</v>
      </c>
      <c r="Z46" s="399">
        <f t="shared" si="8"/>
        <v>-5.6089180468614511E-2</v>
      </c>
      <c r="AA46" s="164">
        <f t="shared" si="18"/>
        <v>7.1142581796984246E-3</v>
      </c>
      <c r="AB46" s="164">
        <f t="shared" si="29"/>
        <v>1.0671387269547636E-3</v>
      </c>
      <c r="AC46" s="328">
        <f t="shared" si="10"/>
        <v>0.12992892390005592</v>
      </c>
      <c r="AD46" s="80"/>
      <c r="AE46" s="130">
        <f t="shared" si="30"/>
        <v>1523127855.1893098</v>
      </c>
      <c r="AF46" s="131">
        <f t="shared" si="31"/>
        <v>341977175.34650987</v>
      </c>
      <c r="AG46" s="131">
        <f t="shared" si="32"/>
        <v>263356961.34427276</v>
      </c>
      <c r="AH46" s="131">
        <f t="shared" si="19"/>
        <v>2128461991.8800926</v>
      </c>
      <c r="AI46" s="364">
        <f t="shared" si="20"/>
        <v>0.26252275120765867</v>
      </c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</row>
    <row r="47" spans="1:64">
      <c r="A47" s="73" t="s">
        <v>40</v>
      </c>
      <c r="B47" s="161">
        <v>1354101</v>
      </c>
      <c r="C47" s="161">
        <v>451420</v>
      </c>
      <c r="D47" s="162">
        <f t="shared" si="21"/>
        <v>0.33337247369287815</v>
      </c>
      <c r="E47" s="163">
        <f t="shared" si="14"/>
        <v>150491.00207443905</v>
      </c>
      <c r="F47" s="328">
        <f t="shared" si="22"/>
        <v>9.4502753156422046E-5</v>
      </c>
      <c r="G47" s="129">
        <f>+'CENSO POB 2020'!C45</f>
        <v>906</v>
      </c>
      <c r="H47" s="164">
        <f t="shared" si="23"/>
        <v>1.5662703507097141E-4</v>
      </c>
      <c r="I47" s="164">
        <f t="shared" si="15"/>
        <v>1.331329798103257E-4</v>
      </c>
      <c r="J47" s="161">
        <f>+'TERRITORIO INEGI 2021'!B41</f>
        <v>1171.2</v>
      </c>
      <c r="K47" s="164">
        <f t="shared" si="24"/>
        <v>1.8255388394610668E-2</v>
      </c>
      <c r="L47" s="165">
        <f t="shared" si="16"/>
        <v>2.7383082591916001E-3</v>
      </c>
      <c r="M47" s="328">
        <f t="shared" si="17"/>
        <v>2.8714412390019256E-3</v>
      </c>
      <c r="N47" s="166">
        <v>244</v>
      </c>
      <c r="O47" s="167">
        <v>43</v>
      </c>
      <c r="P47" s="167">
        <v>84</v>
      </c>
      <c r="Q47" s="167">
        <v>27</v>
      </c>
      <c r="R47" s="396">
        <f t="shared" si="25"/>
        <v>9.5179838848569989E-4</v>
      </c>
      <c r="S47" s="368">
        <v>96</v>
      </c>
      <c r="T47" s="368">
        <v>31</v>
      </c>
      <c r="U47" s="368">
        <v>6</v>
      </c>
      <c r="V47" s="368">
        <v>9</v>
      </c>
      <c r="W47" s="396">
        <f t="shared" si="26"/>
        <v>5.8424890460386024E-4</v>
      </c>
      <c r="X47" s="168">
        <f t="shared" si="27"/>
        <v>4.9661156891328117E-4</v>
      </c>
      <c r="Y47" s="399">
        <f t="shared" si="28"/>
        <v>-0.38616317103310777</v>
      </c>
      <c r="Z47" s="399">
        <f t="shared" si="8"/>
        <v>-0.38616317103310777</v>
      </c>
      <c r="AA47" s="164">
        <f t="shared" si="18"/>
        <v>4.8980293084471778E-2</v>
      </c>
      <c r="AB47" s="164">
        <f t="shared" si="29"/>
        <v>7.3470439626707662E-3</v>
      </c>
      <c r="AC47" s="328">
        <f t="shared" si="10"/>
        <v>7.8436555315840473E-3</v>
      </c>
      <c r="AD47" s="80"/>
      <c r="AE47" s="130">
        <f t="shared" si="30"/>
        <v>383101.11656258366</v>
      </c>
      <c r="AF47" s="131">
        <f t="shared" si="31"/>
        <v>5820213.2110620476</v>
      </c>
      <c r="AG47" s="131">
        <f t="shared" si="32"/>
        <v>15898548.411115427</v>
      </c>
      <c r="AH47" s="131">
        <f t="shared" si="19"/>
        <v>22101862.738740057</v>
      </c>
      <c r="AI47" s="364">
        <f t="shared" si="20"/>
        <v>2.7260255692247047E-3</v>
      </c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</row>
    <row r="48" spans="1:64">
      <c r="A48" s="73" t="s">
        <v>41</v>
      </c>
      <c r="B48" s="161">
        <v>81632998</v>
      </c>
      <c r="C48" s="161">
        <v>17252658</v>
      </c>
      <c r="D48" s="162">
        <f t="shared" si="21"/>
        <v>0.21134416746522039</v>
      </c>
      <c r="E48" s="163">
        <f t="shared" si="14"/>
        <v>3646248.6415721742</v>
      </c>
      <c r="F48" s="328">
        <f t="shared" si="22"/>
        <v>2.289708557797965E-3</v>
      </c>
      <c r="G48" s="129">
        <f>+'CENSO POB 2020'!C46</f>
        <v>147624</v>
      </c>
      <c r="H48" s="164">
        <f t="shared" si="23"/>
        <v>2.5520871330372057E-2</v>
      </c>
      <c r="I48" s="164">
        <f t="shared" si="15"/>
        <v>2.1692740630816248E-2</v>
      </c>
      <c r="J48" s="161">
        <f>+'TERRITORIO INEGI 2021'!B42</f>
        <v>322.8</v>
      </c>
      <c r="K48" s="164">
        <f t="shared" si="24"/>
        <v>5.0314543833506857E-3</v>
      </c>
      <c r="L48" s="165">
        <f t="shared" si="16"/>
        <v>7.5471815750260279E-4</v>
      </c>
      <c r="M48" s="328">
        <f t="shared" si="17"/>
        <v>2.2447458788318851E-2</v>
      </c>
      <c r="N48" s="166">
        <v>1423</v>
      </c>
      <c r="O48" s="167">
        <v>435</v>
      </c>
      <c r="P48" s="167">
        <v>1115</v>
      </c>
      <c r="Q48" s="167">
        <v>155</v>
      </c>
      <c r="R48" s="396">
        <f t="shared" si="25"/>
        <v>7.4041804496497816E-3</v>
      </c>
      <c r="S48" s="368">
        <v>503</v>
      </c>
      <c r="T48" s="368">
        <v>1210</v>
      </c>
      <c r="U48" s="368">
        <v>251</v>
      </c>
      <c r="V48" s="368">
        <v>178</v>
      </c>
      <c r="W48" s="396">
        <f t="shared" si="26"/>
        <v>1.3450674961734464E-2</v>
      </c>
      <c r="X48" s="168">
        <f t="shared" si="27"/>
        <v>1.1433073717474294E-2</v>
      </c>
      <c r="Y48" s="399">
        <f t="shared" si="28"/>
        <v>0.81663251634698908</v>
      </c>
      <c r="Z48" s="399">
        <f t="shared" si="8"/>
        <v>0</v>
      </c>
      <c r="AA48" s="164">
        <f t="shared" si="18"/>
        <v>0</v>
      </c>
      <c r="AB48" s="164">
        <f t="shared" si="29"/>
        <v>0</v>
      </c>
      <c r="AC48" s="328">
        <f t="shared" si="10"/>
        <v>1.1433073717474294E-2</v>
      </c>
      <c r="AD48" s="80"/>
      <c r="AE48" s="130">
        <f t="shared" si="30"/>
        <v>9282162.4322771709</v>
      </c>
      <c r="AF48" s="131">
        <f t="shared" si="31"/>
        <v>45499449.690969847</v>
      </c>
      <c r="AG48" s="131">
        <f t="shared" si="32"/>
        <v>23174051.340371355</v>
      </c>
      <c r="AH48" s="131">
        <f t="shared" si="19"/>
        <v>77955663.463618368</v>
      </c>
      <c r="AI48" s="364">
        <f t="shared" si="20"/>
        <v>9.6149874053472698E-3</v>
      </c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</row>
    <row r="49" spans="1:64">
      <c r="A49" s="73" t="s">
        <v>42</v>
      </c>
      <c r="B49" s="161">
        <v>7103115</v>
      </c>
      <c r="C49" s="161">
        <v>1075933</v>
      </c>
      <c r="D49" s="162">
        <f t="shared" si="21"/>
        <v>0.15147340286620728</v>
      </c>
      <c r="E49" s="163">
        <f t="shared" si="14"/>
        <v>162975.232766047</v>
      </c>
      <c r="F49" s="328">
        <f t="shared" si="22"/>
        <v>1.0234238579315125E-4</v>
      </c>
      <c r="G49" s="129">
        <f>+'CENSO POB 2020'!C38</f>
        <v>5389</v>
      </c>
      <c r="H49" s="164">
        <f t="shared" si="23"/>
        <v>9.3163696688461914E-4</v>
      </c>
      <c r="I49" s="164">
        <f t="shared" si="15"/>
        <v>7.918914218519263E-4</v>
      </c>
      <c r="J49" s="161">
        <f>+'TERRITORIO INEGI 2021'!B43</f>
        <v>1341</v>
      </c>
      <c r="K49" s="164">
        <f t="shared" si="24"/>
        <v>2.0902045626001453E-2</v>
      </c>
      <c r="L49" s="165">
        <f t="shared" si="16"/>
        <v>3.135306843900218E-3</v>
      </c>
      <c r="M49" s="328">
        <f t="shared" si="17"/>
        <v>3.927198265752144E-3</v>
      </c>
      <c r="N49" s="166">
        <v>1104</v>
      </c>
      <c r="O49" s="167">
        <v>264</v>
      </c>
      <c r="P49" s="167">
        <v>999</v>
      </c>
      <c r="Q49" s="167">
        <v>49</v>
      </c>
      <c r="R49" s="396">
        <f t="shared" si="25"/>
        <v>4.4677612588684239E-3</v>
      </c>
      <c r="S49" s="368">
        <v>511</v>
      </c>
      <c r="T49" s="368">
        <v>185</v>
      </c>
      <c r="U49" s="368">
        <v>408</v>
      </c>
      <c r="V49" s="368">
        <v>13</v>
      </c>
      <c r="W49" s="396">
        <f t="shared" si="26"/>
        <v>3.6788504566851081E-3</v>
      </c>
      <c r="X49" s="168">
        <f t="shared" si="27"/>
        <v>3.127022888182342E-3</v>
      </c>
      <c r="Y49" s="399">
        <f t="shared" si="28"/>
        <v>-0.17657854940600112</v>
      </c>
      <c r="Z49" s="399">
        <f t="shared" si="8"/>
        <v>-0.17657854940600112</v>
      </c>
      <c r="AA49" s="164">
        <f t="shared" si="18"/>
        <v>2.2396928943789158E-2</v>
      </c>
      <c r="AB49" s="164">
        <f t="shared" si="29"/>
        <v>3.3595393415683738E-3</v>
      </c>
      <c r="AC49" s="328">
        <f t="shared" si="10"/>
        <v>6.4865622297507163E-3</v>
      </c>
      <c r="AD49" s="80"/>
      <c r="AE49" s="130">
        <f t="shared" si="30"/>
        <v>414881.90512437525</v>
      </c>
      <c r="AF49" s="131">
        <f t="shared" si="31"/>
        <v>7960159.8383170888</v>
      </c>
      <c r="AG49" s="131">
        <f t="shared" si="32"/>
        <v>13147813.951816652</v>
      </c>
      <c r="AH49" s="131">
        <f t="shared" si="19"/>
        <v>21522855.695258118</v>
      </c>
      <c r="AI49" s="364">
        <f t="shared" si="20"/>
        <v>2.6546113167722914E-3</v>
      </c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</row>
    <row r="50" spans="1:64">
      <c r="A50" s="73" t="s">
        <v>43</v>
      </c>
      <c r="B50" s="161">
        <v>939947</v>
      </c>
      <c r="C50" s="161">
        <v>222448</v>
      </c>
      <c r="D50" s="162">
        <f t="shared" si="21"/>
        <v>0.23666015211495967</v>
      </c>
      <c r="E50" s="163">
        <f t="shared" si="14"/>
        <v>52644.577517668549</v>
      </c>
      <c r="F50" s="328">
        <f t="shared" si="22"/>
        <v>3.3058837044061201E-5</v>
      </c>
      <c r="G50" s="129">
        <f>+'CENSO POB 2020'!C47</f>
        <v>2377</v>
      </c>
      <c r="H50" s="164">
        <f t="shared" si="23"/>
        <v>4.1092987015860824E-4</v>
      </c>
      <c r="I50" s="164">
        <f t="shared" si="15"/>
        <v>3.4929038963481702E-4</v>
      </c>
      <c r="J50" s="161">
        <f>+'TERRITORIO INEGI 2021'!B44</f>
        <v>683.1</v>
      </c>
      <c r="K50" s="164">
        <f t="shared" si="24"/>
        <v>1.0647417872573894E-2</v>
      </c>
      <c r="L50" s="165">
        <f t="shared" si="16"/>
        <v>1.5971126808860842E-3</v>
      </c>
      <c r="M50" s="328">
        <f t="shared" si="17"/>
        <v>1.9464030705209012E-3</v>
      </c>
      <c r="N50" s="166">
        <v>671</v>
      </c>
      <c r="O50" s="167">
        <v>212</v>
      </c>
      <c r="P50" s="167">
        <v>872</v>
      </c>
      <c r="Q50" s="167">
        <v>90</v>
      </c>
      <c r="R50" s="396">
        <f t="shared" si="25"/>
        <v>4.525928718865738E-3</v>
      </c>
      <c r="S50" s="368">
        <v>601</v>
      </c>
      <c r="T50" s="368">
        <v>181</v>
      </c>
      <c r="U50" s="368">
        <v>344</v>
      </c>
      <c r="V50" s="368">
        <v>35</v>
      </c>
      <c r="W50" s="396">
        <f t="shared" si="26"/>
        <v>4.2886635759769205E-3</v>
      </c>
      <c r="X50" s="168">
        <f t="shared" si="27"/>
        <v>3.6453640395803823E-3</v>
      </c>
      <c r="Y50" s="399">
        <f t="shared" si="28"/>
        <v>-5.242352622563607E-2</v>
      </c>
      <c r="Z50" s="399">
        <f t="shared" si="8"/>
        <v>-5.242352622563607E-2</v>
      </c>
      <c r="AA50" s="164">
        <f t="shared" si="18"/>
        <v>6.6493127042221312E-3</v>
      </c>
      <c r="AB50" s="164">
        <f t="shared" si="29"/>
        <v>9.9739690563331964E-4</v>
      </c>
      <c r="AC50" s="328">
        <f t="shared" si="10"/>
        <v>4.6427609452137017E-3</v>
      </c>
      <c r="AD50" s="80"/>
      <c r="AE50" s="130">
        <f t="shared" si="30"/>
        <v>134015.96208395431</v>
      </c>
      <c r="AF50" s="131">
        <f t="shared" si="31"/>
        <v>3945224.6875980338</v>
      </c>
      <c r="AG50" s="131">
        <f t="shared" si="32"/>
        <v>9410556.0030642096</v>
      </c>
      <c r="AH50" s="131">
        <f t="shared" si="19"/>
        <v>13489796.652746197</v>
      </c>
      <c r="AI50" s="364">
        <f t="shared" si="20"/>
        <v>1.6638204224556814E-3</v>
      </c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</row>
    <row r="51" spans="1:64">
      <c r="A51" s="73" t="s">
        <v>44</v>
      </c>
      <c r="B51" s="161">
        <v>19089007</v>
      </c>
      <c r="C51" s="161">
        <v>7881801</v>
      </c>
      <c r="D51" s="162">
        <f t="shared" si="21"/>
        <v>0.41289738119955638</v>
      </c>
      <c r="E51" s="163">
        <f t="shared" si="14"/>
        <v>3254374.9920360446</v>
      </c>
      <c r="F51" s="328">
        <f t="shared" si="22"/>
        <v>2.0436264780713579E-3</v>
      </c>
      <c r="G51" s="129">
        <f>+'CENSO POB 2020'!C48</f>
        <v>34709</v>
      </c>
      <c r="H51" s="164">
        <f t="shared" si="23"/>
        <v>6.0004059164220159E-3</v>
      </c>
      <c r="I51" s="164">
        <f t="shared" si="15"/>
        <v>5.1003450289587131E-3</v>
      </c>
      <c r="J51" s="161">
        <f>+'TERRITORIO INEGI 2021'!B45</f>
        <v>1541.5</v>
      </c>
      <c r="K51" s="164">
        <f t="shared" si="24"/>
        <v>2.4027220978733214E-2</v>
      </c>
      <c r="L51" s="165">
        <f t="shared" si="16"/>
        <v>3.6040831468099818E-3</v>
      </c>
      <c r="M51" s="328">
        <f t="shared" si="17"/>
        <v>8.7044281757686949E-3</v>
      </c>
      <c r="N51" s="166">
        <v>4789</v>
      </c>
      <c r="O51" s="167">
        <v>841</v>
      </c>
      <c r="P51" s="167">
        <v>1534</v>
      </c>
      <c r="Q51" s="167">
        <v>182</v>
      </c>
      <c r="R51" s="396">
        <f t="shared" si="25"/>
        <v>1.2100958797318876E-2</v>
      </c>
      <c r="S51" s="368">
        <v>3480</v>
      </c>
      <c r="T51" s="368">
        <v>651</v>
      </c>
      <c r="U51" s="368">
        <v>448</v>
      </c>
      <c r="V51" s="368">
        <v>54</v>
      </c>
      <c r="W51" s="396">
        <f t="shared" si="26"/>
        <v>9.6638113247926177E-3</v>
      </c>
      <c r="X51" s="168">
        <f t="shared" si="27"/>
        <v>8.214239626073724E-3</v>
      </c>
      <c r="Y51" s="399">
        <f t="shared" si="28"/>
        <v>-0.20140118757087577</v>
      </c>
      <c r="Z51" s="399">
        <f t="shared" si="8"/>
        <v>-0.20140118757087577</v>
      </c>
      <c r="AA51" s="164">
        <f t="shared" si="18"/>
        <v>2.5545391002438238E-2</v>
      </c>
      <c r="AB51" s="164">
        <f t="shared" si="29"/>
        <v>3.8318086503657356E-3</v>
      </c>
      <c r="AC51" s="328">
        <f t="shared" si="10"/>
        <v>1.204604827643946E-2</v>
      </c>
      <c r="AD51" s="80"/>
      <c r="AE51" s="130">
        <f t="shared" si="30"/>
        <v>8284579.6491252128</v>
      </c>
      <c r="AF51" s="131">
        <f t="shared" si="31"/>
        <v>17643275.152292155</v>
      </c>
      <c r="AG51" s="131">
        <f t="shared" si="32"/>
        <v>24416508.465272874</v>
      </c>
      <c r="AH51" s="131">
        <f t="shared" si="19"/>
        <v>50344363.266690239</v>
      </c>
      <c r="AI51" s="364">
        <f t="shared" si="20"/>
        <v>6.2094323520877183E-3</v>
      </c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4">
      <c r="A52" s="73" t="s">
        <v>45</v>
      </c>
      <c r="B52" s="161">
        <v>119215481</v>
      </c>
      <c r="C52" s="161">
        <v>19038713.890000001</v>
      </c>
      <c r="D52" s="162">
        <f t="shared" si="21"/>
        <v>0.15970001320549973</v>
      </c>
      <c r="E52" s="163">
        <f t="shared" si="14"/>
        <v>3040482.8596487311</v>
      </c>
      <c r="F52" s="328">
        <f t="shared" si="22"/>
        <v>1.9093101727077942E-3</v>
      </c>
      <c r="G52" s="129">
        <f>+'CENSO POB 2020'!C49</f>
        <v>86766</v>
      </c>
      <c r="H52" s="164">
        <f t="shared" si="23"/>
        <v>1.4999891087161044E-2</v>
      </c>
      <c r="I52" s="164">
        <f t="shared" si="15"/>
        <v>1.2749907424086887E-2</v>
      </c>
      <c r="J52" s="161">
        <f>+'TERRITORIO INEGI 2021'!B46</f>
        <v>1667.4</v>
      </c>
      <c r="K52" s="164">
        <f t="shared" si="24"/>
        <v>2.5989612883515902E-2</v>
      </c>
      <c r="L52" s="165">
        <f t="shared" si="16"/>
        <v>3.8984419325273851E-3</v>
      </c>
      <c r="M52" s="328">
        <f t="shared" si="17"/>
        <v>1.6648349356614273E-2</v>
      </c>
      <c r="N52" s="166">
        <v>2382</v>
      </c>
      <c r="O52" s="167">
        <v>775</v>
      </c>
      <c r="P52" s="167">
        <v>2276</v>
      </c>
      <c r="Q52" s="167">
        <v>675</v>
      </c>
      <c r="R52" s="396">
        <f t="shared" si="25"/>
        <v>2.0954130559288194E-2</v>
      </c>
      <c r="S52" s="368">
        <v>1796</v>
      </c>
      <c r="T52" s="368">
        <v>951</v>
      </c>
      <c r="U52" s="368">
        <v>379</v>
      </c>
      <c r="V52" s="368">
        <v>86</v>
      </c>
      <c r="W52" s="396">
        <f t="shared" si="26"/>
        <v>1.0438730367327814E-2</v>
      </c>
      <c r="X52" s="168">
        <f t="shared" si="27"/>
        <v>8.8729208122286414E-3</v>
      </c>
      <c r="Y52" s="399">
        <f t="shared" si="28"/>
        <v>-0.50182946804725759</v>
      </c>
      <c r="Z52" s="399">
        <f t="shared" si="8"/>
        <v>-0.50182946804725759</v>
      </c>
      <c r="AA52" s="164">
        <f t="shared" si="18"/>
        <v>6.3651213443324167E-2</v>
      </c>
      <c r="AB52" s="164">
        <f t="shared" si="29"/>
        <v>9.5476820164986254E-3</v>
      </c>
      <c r="AC52" s="328">
        <f t="shared" si="10"/>
        <v>1.8420602828727269E-2</v>
      </c>
      <c r="AD52" s="80"/>
      <c r="AE52" s="130">
        <f t="shared" si="30"/>
        <v>7740079.8875979446</v>
      </c>
      <c r="AF52" s="131">
        <f t="shared" si="31"/>
        <v>33745055.114351846</v>
      </c>
      <c r="AG52" s="131">
        <f t="shared" si="32"/>
        <v>37337290.585389361</v>
      </c>
      <c r="AH52" s="131">
        <f t="shared" si="19"/>
        <v>78822425.587339148</v>
      </c>
      <c r="AI52" s="364">
        <f t="shared" si="20"/>
        <v>9.7218931326892837E-3</v>
      </c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4">
      <c r="A53" s="73" t="s">
        <v>46</v>
      </c>
      <c r="B53" s="161">
        <v>642295900</v>
      </c>
      <c r="C53" s="161">
        <v>306694612.58999997</v>
      </c>
      <c r="D53" s="162">
        <f t="shared" si="21"/>
        <v>0.47749738491246785</v>
      </c>
      <c r="E53" s="163">
        <f t="shared" si="14"/>
        <v>146445875.47846743</v>
      </c>
      <c r="F53" s="328">
        <f t="shared" si="22"/>
        <v>9.1962564075904835E-2</v>
      </c>
      <c r="G53" s="129">
        <f>+'CENSO POB 2020'!C50</f>
        <v>412199</v>
      </c>
      <c r="H53" s="164">
        <f t="shared" si="23"/>
        <v>7.125994175410523E-2</v>
      </c>
      <c r="I53" s="164">
        <f t="shared" si="15"/>
        <v>6.0570950490989442E-2</v>
      </c>
      <c r="J53" s="161">
        <f>+'TERRITORIO INEGI 2021'!B47</f>
        <v>60.1</v>
      </c>
      <c r="K53" s="164">
        <f t="shared" si="24"/>
        <v>9.3677326034503157E-4</v>
      </c>
      <c r="L53" s="165">
        <f t="shared" si="16"/>
        <v>1.4051598905175474E-4</v>
      </c>
      <c r="M53" s="328">
        <f t="shared" si="17"/>
        <v>6.07114664800412E-2</v>
      </c>
      <c r="N53" s="166">
        <v>40580</v>
      </c>
      <c r="O53" s="167">
        <v>4217</v>
      </c>
      <c r="P53" s="167">
        <v>161</v>
      </c>
      <c r="Q53" s="167">
        <v>91</v>
      </c>
      <c r="R53" s="396">
        <f t="shared" si="25"/>
        <v>4.0108812949691139E-2</v>
      </c>
      <c r="S53" s="368">
        <v>18156</v>
      </c>
      <c r="T53" s="368">
        <v>3293</v>
      </c>
      <c r="U53" s="368">
        <v>78</v>
      </c>
      <c r="V53" s="368">
        <v>74</v>
      </c>
      <c r="W53" s="396">
        <f t="shared" si="26"/>
        <v>3.0476591266939624E-2</v>
      </c>
      <c r="X53" s="168">
        <f t="shared" si="27"/>
        <v>2.5905102576898681E-2</v>
      </c>
      <c r="Y53" s="399">
        <f t="shared" si="28"/>
        <v>-0.24015225020080502</v>
      </c>
      <c r="Z53" s="399">
        <f t="shared" si="8"/>
        <v>-0.24015225020080502</v>
      </c>
      <c r="AA53" s="164">
        <f t="shared" si="18"/>
        <v>3.0460511208932315E-2</v>
      </c>
      <c r="AB53" s="164">
        <f t="shared" si="29"/>
        <v>4.5690766813398474E-3</v>
      </c>
      <c r="AC53" s="328">
        <f t="shared" si="10"/>
        <v>3.0474179258238528E-2</v>
      </c>
      <c r="AD53" s="80"/>
      <c r="AE53" s="130">
        <f t="shared" si="30"/>
        <v>372803540.66640359</v>
      </c>
      <c r="AF53" s="131">
        <f t="shared" si="31"/>
        <v>123057952.38662361</v>
      </c>
      <c r="AG53" s="131">
        <f t="shared" si="32"/>
        <v>61769058.097362638</v>
      </c>
      <c r="AH53" s="131">
        <f t="shared" si="19"/>
        <v>557630551.15038991</v>
      </c>
      <c r="AI53" s="364">
        <f t="shared" si="20"/>
        <v>6.8777693472522369E-2</v>
      </c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4">
      <c r="A54" s="73" t="s">
        <v>47</v>
      </c>
      <c r="B54" s="161">
        <v>1119704293</v>
      </c>
      <c r="C54" s="161">
        <v>671271036.40999997</v>
      </c>
      <c r="D54" s="162">
        <f t="shared" si="21"/>
        <v>0.5995074240641497</v>
      </c>
      <c r="E54" s="163">
        <f t="shared" si="14"/>
        <v>402431969.88703114</v>
      </c>
      <c r="F54" s="328">
        <f t="shared" si="22"/>
        <v>0.25271231228612001</v>
      </c>
      <c r="G54" s="129">
        <f>+'CENSO POB 2020'!C51</f>
        <v>132169</v>
      </c>
      <c r="H54" s="164">
        <f t="shared" si="23"/>
        <v>2.2849049225491413E-2</v>
      </c>
      <c r="I54" s="164">
        <f t="shared" si="15"/>
        <v>1.9421691841667702E-2</v>
      </c>
      <c r="J54" s="161">
        <f>+'TERRITORIO INEGI 2021'!B48</f>
        <v>70.8</v>
      </c>
      <c r="K54" s="164">
        <f t="shared" si="24"/>
        <v>1.103553191887325E-3</v>
      </c>
      <c r="L54" s="165">
        <f t="shared" si="16"/>
        <v>1.6553297878309873E-4</v>
      </c>
      <c r="M54" s="328">
        <f t="shared" si="17"/>
        <v>1.9587224820450801E-2</v>
      </c>
      <c r="N54" s="166">
        <v>9903</v>
      </c>
      <c r="O54" s="167">
        <v>1283</v>
      </c>
      <c r="P54" s="167">
        <v>140</v>
      </c>
      <c r="Q54" s="167">
        <v>21</v>
      </c>
      <c r="R54" s="396">
        <f t="shared" si="25"/>
        <v>1.0837167470654441E-2</v>
      </c>
      <c r="S54" s="368">
        <v>4908</v>
      </c>
      <c r="T54" s="368">
        <v>1055</v>
      </c>
      <c r="U54" s="368">
        <v>49</v>
      </c>
      <c r="V54" s="368">
        <v>43</v>
      </c>
      <c r="W54" s="396">
        <f t="shared" si="26"/>
        <v>9.9358403416006779E-3</v>
      </c>
      <c r="X54" s="168">
        <f t="shared" si="27"/>
        <v>8.4454642903605756E-3</v>
      </c>
      <c r="Y54" s="399">
        <f t="shared" si="28"/>
        <v>-8.3169991743177615E-2</v>
      </c>
      <c r="Z54" s="399">
        <f t="shared" si="8"/>
        <v>-8.3169991743177615E-2</v>
      </c>
      <c r="AA54" s="164">
        <f t="shared" si="18"/>
        <v>1.0549143152402482E-2</v>
      </c>
      <c r="AB54" s="164">
        <f t="shared" si="29"/>
        <v>1.5823714728603721E-3</v>
      </c>
      <c r="AC54" s="328">
        <f t="shared" si="10"/>
        <v>1.0027835763220947E-2</v>
      </c>
      <c r="AD54" s="80"/>
      <c r="AE54" s="130">
        <f t="shared" si="30"/>
        <v>1024460830.7408425</v>
      </c>
      <c r="AF54" s="131">
        <f t="shared" si="31"/>
        <v>39701952.844995603</v>
      </c>
      <c r="AG54" s="131">
        <f t="shared" si="32"/>
        <v>20325730.993452478</v>
      </c>
      <c r="AH54" s="131">
        <f t="shared" si="19"/>
        <v>1084488514.5792906</v>
      </c>
      <c r="AI54" s="364">
        <f t="shared" si="20"/>
        <v>0.13375992128897796</v>
      </c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</row>
    <row r="55" spans="1:64">
      <c r="A55" s="73" t="s">
        <v>48</v>
      </c>
      <c r="B55" s="161">
        <v>274755070</v>
      </c>
      <c r="C55" s="161">
        <v>112141719.38</v>
      </c>
      <c r="D55" s="162">
        <f t="shared" si="21"/>
        <v>0.40815159254386096</v>
      </c>
      <c r="E55" s="163">
        <f t="shared" si="14"/>
        <v>45770821.355553754</v>
      </c>
      <c r="F55" s="328">
        <f t="shared" si="22"/>
        <v>2.8742373781198108E-2</v>
      </c>
      <c r="G55" s="129">
        <f>+'CENSO POB 2020'!C52</f>
        <v>306322</v>
      </c>
      <c r="H55" s="164">
        <f t="shared" si="23"/>
        <v>5.2956188341070756E-2</v>
      </c>
      <c r="I55" s="164">
        <f t="shared" si="15"/>
        <v>4.5012760089910141E-2</v>
      </c>
      <c r="J55" s="161">
        <f>+'TERRITORIO INEGI 2021'!B49</f>
        <v>915.8</v>
      </c>
      <c r="K55" s="164">
        <f t="shared" si="24"/>
        <v>1.4274491710881529E-2</v>
      </c>
      <c r="L55" s="165">
        <f t="shared" si="16"/>
        <v>2.1411737566322292E-3</v>
      </c>
      <c r="M55" s="328">
        <f t="shared" si="17"/>
        <v>4.7153933846542373E-2</v>
      </c>
      <c r="N55" s="166">
        <v>25924</v>
      </c>
      <c r="O55" s="167">
        <v>4306</v>
      </c>
      <c r="P55" s="167">
        <v>2328</v>
      </c>
      <c r="Q55" s="167">
        <v>359</v>
      </c>
      <c r="R55" s="396">
        <f t="shared" si="25"/>
        <v>4.1123629604477997E-2</v>
      </c>
      <c r="S55" s="368">
        <v>21053</v>
      </c>
      <c r="T55" s="368">
        <v>3591</v>
      </c>
      <c r="U55" s="368">
        <v>756</v>
      </c>
      <c r="V55" s="368">
        <v>199</v>
      </c>
      <c r="W55" s="396">
        <f t="shared" si="26"/>
        <v>4.2272622844400483E-2</v>
      </c>
      <c r="X55" s="168">
        <f t="shared" si="27"/>
        <v>3.5931729417740407E-2</v>
      </c>
      <c r="Y55" s="399">
        <f t="shared" si="28"/>
        <v>2.7939976382760009E-2</v>
      </c>
      <c r="Z55" s="399">
        <f t="shared" si="8"/>
        <v>0</v>
      </c>
      <c r="AA55" s="164">
        <f t="shared" si="18"/>
        <v>0</v>
      </c>
      <c r="AB55" s="164">
        <f t="shared" si="29"/>
        <v>0</v>
      </c>
      <c r="AC55" s="328">
        <f t="shared" si="10"/>
        <v>3.5931729417740407E-2</v>
      </c>
      <c r="AD55" s="80"/>
      <c r="AE55" s="130">
        <f t="shared" si="30"/>
        <v>116517615.84141576</v>
      </c>
      <c r="AF55" s="131">
        <f t="shared" si="31"/>
        <v>95577769.448831022</v>
      </c>
      <c r="AG55" s="131">
        <f t="shared" si="32"/>
        <v>72831135.602876008</v>
      </c>
      <c r="AH55" s="131">
        <f t="shared" si="19"/>
        <v>284926520.89312279</v>
      </c>
      <c r="AI55" s="364">
        <f t="shared" si="20"/>
        <v>3.5142602706669752E-2</v>
      </c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</row>
    <row r="56" spans="1:64">
      <c r="A56" s="73" t="s">
        <v>49</v>
      </c>
      <c r="B56" s="161">
        <v>175563518</v>
      </c>
      <c r="C56" s="161">
        <v>85362095.170000002</v>
      </c>
      <c r="D56" s="162">
        <f t="shared" si="21"/>
        <v>0.48621772987027978</v>
      </c>
      <c r="E56" s="163">
        <f t="shared" si="14"/>
        <v>41504564.130528174</v>
      </c>
      <c r="F56" s="328">
        <f t="shared" si="22"/>
        <v>2.606332288858083E-2</v>
      </c>
      <c r="G56" s="129">
        <f>+'CENSO POB 2020'!C53</f>
        <v>46784</v>
      </c>
      <c r="H56" s="164">
        <f t="shared" si="23"/>
        <v>8.0879019964242016E-3</v>
      </c>
      <c r="I56" s="164">
        <f t="shared" si="15"/>
        <v>6.8747166969605712E-3</v>
      </c>
      <c r="J56" s="161">
        <f>+'TERRITORIO INEGI 2021'!B50</f>
        <v>739.2</v>
      </c>
      <c r="K56" s="164">
        <f t="shared" si="24"/>
        <v>1.1521843494959192E-2</v>
      </c>
      <c r="L56" s="165">
        <f t="shared" si="16"/>
        <v>1.7282765242438787E-3</v>
      </c>
      <c r="M56" s="328">
        <f t="shared" si="17"/>
        <v>8.6029932212044503E-3</v>
      </c>
      <c r="N56" s="166">
        <v>4577</v>
      </c>
      <c r="O56" s="167">
        <v>666</v>
      </c>
      <c r="P56" s="167">
        <v>1225</v>
      </c>
      <c r="Q56" s="167">
        <v>325</v>
      </c>
      <c r="R56" s="396">
        <f t="shared" si="25"/>
        <v>1.3356739601046762E-2</v>
      </c>
      <c r="S56" s="368">
        <v>2792</v>
      </c>
      <c r="T56" s="368">
        <v>715</v>
      </c>
      <c r="U56" s="368">
        <v>322</v>
      </c>
      <c r="V56" s="368">
        <v>122</v>
      </c>
      <c r="W56" s="396">
        <f t="shared" si="26"/>
        <v>1.1445854704865716E-2</v>
      </c>
      <c r="X56" s="168">
        <f t="shared" si="27"/>
        <v>9.7289764991358579E-3</v>
      </c>
      <c r="Y56" s="399">
        <f t="shared" si="28"/>
        <v>-0.14306522049971615</v>
      </c>
      <c r="Z56" s="399">
        <f t="shared" si="8"/>
        <v>-0.14306522049971615</v>
      </c>
      <c r="AA56" s="164">
        <f t="shared" si="18"/>
        <v>1.8146154154275625E-2</v>
      </c>
      <c r="AB56" s="164">
        <f t="shared" si="29"/>
        <v>2.7219231231413437E-3</v>
      </c>
      <c r="AC56" s="328">
        <f t="shared" si="10"/>
        <v>1.2450899622277202E-2</v>
      </c>
      <c r="AD56" s="80"/>
      <c r="AE56" s="130">
        <f t="shared" si="30"/>
        <v>105657113.32683988</v>
      </c>
      <c r="AF56" s="131">
        <f t="shared" si="31"/>
        <v>17437673.500202104</v>
      </c>
      <c r="AG56" s="131">
        <f t="shared" si="32"/>
        <v>25237114.201359641</v>
      </c>
      <c r="AH56" s="131">
        <f t="shared" si="19"/>
        <v>148331901.02840161</v>
      </c>
      <c r="AI56" s="364">
        <f t="shared" si="20"/>
        <v>1.8295134655160829E-2</v>
      </c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</row>
    <row r="57" spans="1:64">
      <c r="A57" s="73" t="s">
        <v>50</v>
      </c>
      <c r="B57" s="161">
        <v>4524382</v>
      </c>
      <c r="C57" s="161">
        <v>1456869</v>
      </c>
      <c r="D57" s="162">
        <f t="shared" si="21"/>
        <v>0.32200397755980814</v>
      </c>
      <c r="E57" s="163">
        <f t="shared" si="14"/>
        <v>469117.61278358015</v>
      </c>
      <c r="F57" s="328">
        <f t="shared" si="22"/>
        <v>2.9458841625818778E-4</v>
      </c>
      <c r="G57" s="129">
        <f>+'CENSO POB 2020'!C54</f>
        <v>1552</v>
      </c>
      <c r="H57" s="164">
        <f t="shared" si="23"/>
        <v>2.6830591438206137E-4</v>
      </c>
      <c r="I57" s="164">
        <f t="shared" si="15"/>
        <v>2.2806002722475217E-4</v>
      </c>
      <c r="J57" s="161">
        <f>+'TERRITORIO INEGI 2021'!B51</f>
        <v>1764.9</v>
      </c>
      <c r="K57" s="164">
        <f t="shared" si="24"/>
        <v>2.7509336558784465E-2</v>
      </c>
      <c r="L57" s="165">
        <f t="shared" si="16"/>
        <v>4.1264004838176696E-3</v>
      </c>
      <c r="M57" s="328">
        <f t="shared" si="17"/>
        <v>4.354460511042422E-3</v>
      </c>
      <c r="N57" s="166">
        <v>477</v>
      </c>
      <c r="O57" s="167">
        <v>85</v>
      </c>
      <c r="P57" s="167">
        <v>641</v>
      </c>
      <c r="Q57" s="167">
        <v>46</v>
      </c>
      <c r="R57" s="396">
        <f t="shared" si="25"/>
        <v>2.7085182769833877E-3</v>
      </c>
      <c r="S57" s="368">
        <v>266</v>
      </c>
      <c r="T57" s="368">
        <v>57</v>
      </c>
      <c r="U57" s="368">
        <v>132</v>
      </c>
      <c r="V57" s="368">
        <v>7</v>
      </c>
      <c r="W57" s="396">
        <f t="shared" si="26"/>
        <v>1.3692833921481037E-3</v>
      </c>
      <c r="X57" s="168">
        <f t="shared" si="27"/>
        <v>1.163890883325888E-3</v>
      </c>
      <c r="Y57" s="399">
        <f t="shared" si="28"/>
        <v>-0.49445296205527434</v>
      </c>
      <c r="Z57" s="399">
        <f t="shared" si="8"/>
        <v>-0.49445296205527434</v>
      </c>
      <c r="AA57" s="164">
        <f t="shared" si="18"/>
        <v>6.2715589716027489E-2</v>
      </c>
      <c r="AB57" s="164">
        <f t="shared" si="29"/>
        <v>9.4073384574041227E-3</v>
      </c>
      <c r="AC57" s="328">
        <f t="shared" si="10"/>
        <v>1.0571229340730012E-2</v>
      </c>
      <c r="AD57" s="80"/>
      <c r="AE57" s="130">
        <f t="shared" si="30"/>
        <v>1194220.7758552013</v>
      </c>
      <c r="AF57" s="131">
        <f t="shared" si="31"/>
        <v>8826190.9208444376</v>
      </c>
      <c r="AG57" s="131">
        <f t="shared" si="32"/>
        <v>21427152.27126481</v>
      </c>
      <c r="AH57" s="131">
        <f t="shared" si="19"/>
        <v>31447563.967964448</v>
      </c>
      <c r="AI57" s="364">
        <f t="shared" si="20"/>
        <v>3.8787166710722029E-3</v>
      </c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</row>
    <row r="58" spans="1:64">
      <c r="A58" s="73" t="s">
        <v>51</v>
      </c>
      <c r="B58" s="161">
        <v>2896776</v>
      </c>
      <c r="C58" s="161">
        <v>668168</v>
      </c>
      <c r="D58" s="162">
        <f t="shared" si="21"/>
        <v>0.23065918800763333</v>
      </c>
      <c r="E58" s="163">
        <f t="shared" si="14"/>
        <v>154119.08833268433</v>
      </c>
      <c r="F58" s="328">
        <f t="shared" si="22"/>
        <v>9.6781056412875653E-5</v>
      </c>
      <c r="G58" s="129">
        <f>+'CENSO POB 2020'!C55</f>
        <v>3573</v>
      </c>
      <c r="H58" s="164">
        <f t="shared" si="23"/>
        <v>6.1769138665406279E-4</v>
      </c>
      <c r="I58" s="164">
        <f t="shared" si="15"/>
        <v>5.2503767865595338E-4</v>
      </c>
      <c r="J58" s="161">
        <f>+'TERRITORIO INEGI 2021'!B52</f>
        <v>879.3</v>
      </c>
      <c r="K58" s="164">
        <f t="shared" si="24"/>
        <v>1.3705569514498939E-2</v>
      </c>
      <c r="L58" s="165">
        <f t="shared" si="16"/>
        <v>2.0558354271748409E-3</v>
      </c>
      <c r="M58" s="328">
        <f t="shared" si="17"/>
        <v>2.5808731058307942E-3</v>
      </c>
      <c r="N58" s="166">
        <v>765</v>
      </c>
      <c r="O58" s="167">
        <v>123</v>
      </c>
      <c r="P58" s="167">
        <v>468</v>
      </c>
      <c r="Q58" s="167">
        <v>34</v>
      </c>
      <c r="R58" s="396">
        <f t="shared" si="25"/>
        <v>2.4367839703679983E-3</v>
      </c>
      <c r="S58" s="368">
        <v>610</v>
      </c>
      <c r="T58" s="368">
        <v>85</v>
      </c>
      <c r="U58" s="368">
        <v>106</v>
      </c>
      <c r="V58" s="368">
        <v>11</v>
      </c>
      <c r="W58" s="396">
        <f t="shared" si="26"/>
        <v>1.7783548685816847E-3</v>
      </c>
      <c r="X58" s="168">
        <f t="shared" si="27"/>
        <v>1.5116016382944319E-3</v>
      </c>
      <c r="Y58" s="399">
        <f t="shared" si="28"/>
        <v>-0.27020413372420493</v>
      </c>
      <c r="Z58" s="399">
        <f t="shared" si="8"/>
        <v>-0.27020413372420493</v>
      </c>
      <c r="AA58" s="164">
        <f t="shared" si="18"/>
        <v>3.4272242034475847E-2</v>
      </c>
      <c r="AB58" s="164">
        <f t="shared" si="29"/>
        <v>5.1408363051713771E-3</v>
      </c>
      <c r="AC58" s="328">
        <f t="shared" si="10"/>
        <v>6.6524379434658087E-3</v>
      </c>
      <c r="AD58" s="80"/>
      <c r="AE58" s="130">
        <f t="shared" si="30"/>
        <v>392337.04347754712</v>
      </c>
      <c r="AF58" s="131">
        <f t="shared" si="31"/>
        <v>5231251.659481043</v>
      </c>
      <c r="AG58" s="131">
        <f t="shared" si="32"/>
        <v>13484032.575149685</v>
      </c>
      <c r="AH58" s="131">
        <f t="shared" si="19"/>
        <v>19107621.278108276</v>
      </c>
      <c r="AI58" s="364">
        <f t="shared" si="20"/>
        <v>2.356718290530589E-3</v>
      </c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</row>
    <row r="59" spans="1:64" ht="13.5" thickBot="1">
      <c r="A59" s="97" t="s">
        <v>52</v>
      </c>
      <c r="B59" s="169">
        <f>SUM(B8:B58)</f>
        <v>7728371151</v>
      </c>
      <c r="C59" s="169">
        <f>SUM(C8:C58)</f>
        <v>3390132264.2400002</v>
      </c>
      <c r="D59" s="170">
        <f t="shared" si="21"/>
        <v>0.43866064375044145</v>
      </c>
      <c r="E59" s="171">
        <f t="shared" ref="E59:J59" si="33">SUM(E8:E58)</f>
        <v>1592450982.0930254</v>
      </c>
      <c r="F59" s="329">
        <f t="shared" si="33"/>
        <v>0.99999999999999989</v>
      </c>
      <c r="G59" s="132">
        <f t="shared" si="33"/>
        <v>5784442</v>
      </c>
      <c r="H59" s="172">
        <f t="shared" si="33"/>
        <v>1.0000000000000002</v>
      </c>
      <c r="I59" s="172">
        <f t="shared" si="33"/>
        <v>0.8500000000000002</v>
      </c>
      <c r="J59" s="173">
        <f t="shared" si="33"/>
        <v>64156.400000000016</v>
      </c>
      <c r="K59" s="172">
        <f t="shared" si="24"/>
        <v>1</v>
      </c>
      <c r="L59" s="174">
        <f t="shared" ref="L59:Q59" si="34">SUM(L8:L58)</f>
        <v>0.14999999999999997</v>
      </c>
      <c r="M59" s="329">
        <f t="shared" si="34"/>
        <v>0.99999999999999989</v>
      </c>
      <c r="N59" s="369">
        <f t="shared" si="34"/>
        <v>427511</v>
      </c>
      <c r="O59" s="369">
        <f t="shared" si="34"/>
        <v>73242</v>
      </c>
      <c r="P59" s="369">
        <f t="shared" si="34"/>
        <v>123116</v>
      </c>
      <c r="Q59" s="369">
        <f t="shared" si="34"/>
        <v>13726</v>
      </c>
      <c r="R59" s="397">
        <f t="shared" ref="R59:X59" si="35">SUM(R8:R58)</f>
        <v>1</v>
      </c>
      <c r="S59" s="369">
        <f t="shared" si="35"/>
        <v>317878</v>
      </c>
      <c r="T59" s="369">
        <f t="shared" si="35"/>
        <v>63980</v>
      </c>
      <c r="U59" s="369">
        <f t="shared" si="35"/>
        <v>50062</v>
      </c>
      <c r="V59" s="369">
        <f t="shared" si="35"/>
        <v>6291</v>
      </c>
      <c r="W59" s="397">
        <f t="shared" si="35"/>
        <v>1</v>
      </c>
      <c r="X59" s="175">
        <f t="shared" si="35"/>
        <v>0.84999999999999987</v>
      </c>
      <c r="Y59" s="400"/>
      <c r="Z59" s="400">
        <f>SUM(Z8:Z58)</f>
        <v>-7.8840518648413944</v>
      </c>
      <c r="AA59" s="176">
        <f>SUM(AA8:AA58)</f>
        <v>1</v>
      </c>
      <c r="AB59" s="172">
        <f>SUM(AB8:AB58)</f>
        <v>0.15</v>
      </c>
      <c r="AC59" s="329">
        <f>SUM(AC8:AC58)</f>
        <v>1</v>
      </c>
      <c r="AD59" s="80"/>
      <c r="AE59" s="133">
        <f>SUM(AE8:AE58)</f>
        <v>4053861964.5130363</v>
      </c>
      <c r="AF59" s="134">
        <f>SUM(AF8:AF58)</f>
        <v>2026930982.2565181</v>
      </c>
      <c r="AG59" s="134">
        <f>SUM(AG8:AG58)</f>
        <v>2026930982.2565186</v>
      </c>
      <c r="AH59" s="134">
        <f>SUM(AH8:AH58)</f>
        <v>8107723929.0260725</v>
      </c>
      <c r="AI59" s="329">
        <f>SUM(AI8:AI58)</f>
        <v>1.0000000000000002</v>
      </c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</row>
    <row r="60" spans="1:64" ht="13.5" thickTop="1">
      <c r="A60" s="80"/>
      <c r="B60" s="80"/>
      <c r="C60" s="80"/>
      <c r="D60" s="80"/>
      <c r="E60" s="80"/>
      <c r="F60" s="80"/>
      <c r="G60" s="80"/>
      <c r="H60" s="80"/>
      <c r="I60" s="177"/>
      <c r="J60" s="80"/>
      <c r="K60" s="178"/>
      <c r="L60" s="177"/>
      <c r="M60" s="111"/>
      <c r="N60" s="80"/>
      <c r="O60" s="80"/>
      <c r="P60" s="80"/>
      <c r="Q60" s="80"/>
      <c r="R60" s="179"/>
      <c r="S60" s="80"/>
      <c r="T60" s="80"/>
      <c r="U60" s="80"/>
      <c r="V60" s="80"/>
      <c r="W60" s="80"/>
      <c r="X60" s="177"/>
      <c r="Y60" s="80"/>
      <c r="Z60" s="80"/>
      <c r="AA60" s="177"/>
      <c r="AB60" s="177"/>
      <c r="AC60" s="111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</row>
    <row r="61" spans="1:64" ht="86.45" customHeight="1">
      <c r="A61" s="80"/>
      <c r="B61" s="406" t="s">
        <v>351</v>
      </c>
      <c r="C61" s="406"/>
      <c r="D61" s="406"/>
      <c r="E61" s="406"/>
      <c r="F61" s="406"/>
      <c r="G61" s="80"/>
      <c r="H61" s="80"/>
      <c r="I61" s="177"/>
      <c r="J61" s="80"/>
      <c r="K61" s="178"/>
      <c r="L61" s="177"/>
      <c r="M61" s="111"/>
      <c r="N61" s="80"/>
      <c r="O61" s="80"/>
      <c r="P61" s="80"/>
      <c r="Q61" s="80"/>
      <c r="R61" s="179"/>
      <c r="S61" s="80"/>
      <c r="T61" s="80"/>
      <c r="U61" s="80"/>
      <c r="V61" s="80"/>
      <c r="W61" s="80"/>
      <c r="X61" s="177"/>
      <c r="Y61" s="80"/>
      <c r="Z61" s="80"/>
      <c r="AA61" s="177"/>
      <c r="AB61" s="177"/>
      <c r="AC61" s="111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</row>
    <row r="62" spans="1:64" s="1" customFormat="1">
      <c r="A62" s="80"/>
      <c r="B62" s="80" t="s">
        <v>350</v>
      </c>
      <c r="C62" s="80"/>
      <c r="D62" s="80"/>
      <c r="E62" s="80"/>
      <c r="F62" s="80"/>
      <c r="G62" s="80"/>
      <c r="H62" s="80"/>
      <c r="I62" s="177"/>
      <c r="J62" s="80"/>
      <c r="K62" s="80"/>
      <c r="L62" s="177"/>
      <c r="M62" s="111"/>
      <c r="N62" s="80"/>
      <c r="O62" s="80"/>
      <c r="P62" s="80"/>
      <c r="Q62" s="80"/>
      <c r="R62" s="179"/>
      <c r="S62" s="179"/>
      <c r="T62" s="80"/>
      <c r="U62" s="80"/>
      <c r="V62" s="80"/>
      <c r="W62" s="80"/>
      <c r="X62" s="177"/>
      <c r="Y62" s="80"/>
      <c r="Z62" s="80"/>
      <c r="AA62" s="177"/>
      <c r="AB62" s="177"/>
      <c r="AC62" s="111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</row>
    <row r="63" spans="1:64">
      <c r="A63" s="80"/>
      <c r="B63" s="80"/>
      <c r="C63" s="80"/>
      <c r="D63" s="80"/>
      <c r="E63" s="80"/>
      <c r="F63" s="80"/>
      <c r="G63" s="80"/>
      <c r="H63" s="80"/>
      <c r="I63" s="177"/>
      <c r="J63" s="80"/>
      <c r="K63" s="80"/>
      <c r="L63" s="177"/>
      <c r="M63" s="111"/>
      <c r="N63" s="80"/>
      <c r="O63" s="80"/>
      <c r="P63" s="80"/>
      <c r="Q63" s="80"/>
      <c r="R63" s="179"/>
      <c r="S63" s="80"/>
      <c r="T63" s="80"/>
      <c r="U63" s="80"/>
      <c r="V63" s="80"/>
      <c r="W63" s="80"/>
      <c r="X63" s="177"/>
      <c r="Y63" s="80"/>
      <c r="Z63" s="80"/>
      <c r="AA63" s="177"/>
      <c r="AB63" s="177"/>
      <c r="AC63" s="111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</row>
    <row r="64" spans="1:64">
      <c r="A64" s="80"/>
      <c r="B64" s="80"/>
      <c r="C64" s="80"/>
      <c r="D64" s="80"/>
      <c r="E64" s="80"/>
      <c r="F64" s="80"/>
      <c r="G64" s="80"/>
      <c r="H64" s="80"/>
      <c r="I64" s="177"/>
      <c r="J64" s="80"/>
      <c r="K64" s="80"/>
      <c r="L64" s="177"/>
      <c r="M64" s="111"/>
      <c r="N64" s="80"/>
      <c r="O64" s="80"/>
      <c r="P64" s="80"/>
      <c r="Q64" s="80"/>
      <c r="R64" s="179"/>
      <c r="S64" s="80"/>
      <c r="T64" s="80"/>
      <c r="U64" s="80"/>
      <c r="V64" s="80"/>
      <c r="W64" s="80"/>
      <c r="X64" s="177"/>
      <c r="Y64" s="80"/>
      <c r="Z64" s="80"/>
      <c r="AA64" s="177"/>
      <c r="AB64" s="177"/>
      <c r="AC64" s="111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</row>
    <row r="65" spans="1:64">
      <c r="A65" s="80"/>
      <c r="B65" s="80"/>
      <c r="C65" s="80"/>
      <c r="D65" s="80"/>
      <c r="E65" s="80"/>
      <c r="F65" s="80"/>
      <c r="G65" s="80"/>
      <c r="H65" s="80"/>
      <c r="I65" s="177"/>
      <c r="J65" s="80"/>
      <c r="K65" s="80"/>
      <c r="L65" s="177"/>
      <c r="M65" s="111"/>
      <c r="N65" s="80"/>
      <c r="O65" s="80"/>
      <c r="P65" s="80"/>
      <c r="Q65" s="80"/>
      <c r="R65" s="179"/>
      <c r="S65" s="80"/>
      <c r="T65" s="80"/>
      <c r="U65" s="80"/>
      <c r="V65" s="80"/>
      <c r="W65" s="80"/>
      <c r="X65" s="177"/>
      <c r="Y65" s="80"/>
      <c r="Z65" s="80"/>
      <c r="AA65" s="177"/>
      <c r="AB65" s="177"/>
      <c r="AC65" s="111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</row>
    <row r="66" spans="1:64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179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</row>
    <row r="67" spans="1:64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179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</row>
    <row r="68" spans="1:64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179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</row>
    <row r="69" spans="1:64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179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</row>
    <row r="70" spans="1:64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179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</row>
    <row r="71" spans="1:64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179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</row>
    <row r="72" spans="1:64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179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</row>
    <row r="73" spans="1:64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179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</row>
    <row r="74" spans="1:64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179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</row>
    <row r="75" spans="1:64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179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</row>
    <row r="76" spans="1:64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179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</row>
    <row r="77" spans="1:64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179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</row>
    <row r="78" spans="1:64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179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</row>
    <row r="79" spans="1:64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179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</row>
    <row r="80" spans="1:64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179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</row>
    <row r="81" spans="1:64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179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</row>
    <row r="82" spans="1:64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179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</row>
    <row r="83" spans="1:64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179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</row>
    <row r="84" spans="1:64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179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</row>
    <row r="85" spans="1:64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179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</row>
    <row r="86" spans="1:64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179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</row>
    <row r="87" spans="1:64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179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</row>
    <row r="88" spans="1:64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179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</row>
    <row r="89" spans="1:64">
      <c r="A89" s="80"/>
      <c r="B89" s="80"/>
      <c r="C89" s="80"/>
      <c r="D89" s="80"/>
      <c r="E89" s="80"/>
      <c r="F89" s="80"/>
      <c r="G89" s="80"/>
      <c r="H89" s="80"/>
      <c r="I89" s="177"/>
      <c r="J89" s="80"/>
      <c r="K89" s="80"/>
      <c r="L89" s="177"/>
      <c r="M89" s="111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177"/>
      <c r="Y89" s="80"/>
      <c r="Z89" s="80"/>
      <c r="AA89" s="177"/>
      <c r="AB89" s="177"/>
      <c r="AC89" s="111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</row>
    <row r="90" spans="1:64">
      <c r="A90" s="80"/>
      <c r="B90" s="80"/>
      <c r="C90" s="80"/>
      <c r="D90" s="80"/>
      <c r="E90" s="80"/>
      <c r="F90" s="80"/>
      <c r="G90" s="80"/>
      <c r="H90" s="80"/>
      <c r="I90" s="177"/>
      <c r="J90" s="80"/>
      <c r="K90" s="80"/>
      <c r="L90" s="177"/>
      <c r="M90" s="111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177"/>
      <c r="Y90" s="80"/>
      <c r="Z90" s="80"/>
      <c r="AA90" s="177"/>
      <c r="AB90" s="177"/>
      <c r="AC90" s="111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</row>
    <row r="91" spans="1:64">
      <c r="A91" s="80"/>
      <c r="B91" s="80"/>
      <c r="C91" s="80"/>
      <c r="D91" s="80"/>
      <c r="E91" s="80"/>
      <c r="F91" s="80"/>
      <c r="G91" s="80"/>
      <c r="H91" s="80"/>
      <c r="I91" s="177"/>
      <c r="J91" s="80"/>
      <c r="K91" s="80"/>
      <c r="L91" s="177"/>
      <c r="M91" s="111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177"/>
      <c r="Y91" s="80"/>
      <c r="Z91" s="80"/>
      <c r="AA91" s="177"/>
      <c r="AB91" s="177"/>
      <c r="AC91" s="111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</row>
    <row r="92" spans="1:64">
      <c r="A92" s="80"/>
      <c r="B92" s="80"/>
      <c r="C92" s="80"/>
      <c r="D92" s="80"/>
      <c r="E92" s="80"/>
      <c r="F92" s="80"/>
      <c r="G92" s="80"/>
      <c r="H92" s="80"/>
      <c r="I92" s="177"/>
      <c r="J92" s="80"/>
      <c r="K92" s="80"/>
      <c r="L92" s="177"/>
      <c r="M92" s="111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177"/>
      <c r="Y92" s="80"/>
      <c r="Z92" s="80"/>
      <c r="AA92" s="177"/>
      <c r="AB92" s="177"/>
      <c r="AC92" s="111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</row>
    <row r="93" spans="1:64">
      <c r="A93" s="80"/>
      <c r="B93" s="80"/>
      <c r="C93" s="80"/>
      <c r="D93" s="80"/>
      <c r="E93" s="80"/>
      <c r="F93" s="80"/>
      <c r="G93" s="80"/>
      <c r="H93" s="80"/>
      <c r="I93" s="177"/>
      <c r="J93" s="80"/>
      <c r="K93" s="80"/>
      <c r="L93" s="177"/>
      <c r="M93" s="111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177"/>
      <c r="Y93" s="80"/>
      <c r="Z93" s="80"/>
      <c r="AA93" s="177"/>
      <c r="AB93" s="177"/>
      <c r="AC93" s="111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</row>
    <row r="94" spans="1:64">
      <c r="A94" s="80"/>
      <c r="B94" s="80"/>
      <c r="C94" s="80"/>
      <c r="D94" s="80"/>
      <c r="E94" s="80"/>
      <c r="F94" s="80"/>
      <c r="G94" s="80"/>
      <c r="H94" s="80"/>
      <c r="I94" s="177"/>
      <c r="J94" s="80"/>
      <c r="K94" s="80"/>
      <c r="L94" s="177"/>
      <c r="M94" s="111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177"/>
      <c r="Y94" s="80"/>
      <c r="Z94" s="80"/>
      <c r="AA94" s="177"/>
      <c r="AB94" s="177"/>
      <c r="AC94" s="111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</row>
    <row r="95" spans="1:64">
      <c r="A95" s="80"/>
      <c r="B95" s="80"/>
      <c r="C95" s="80"/>
      <c r="D95" s="80"/>
      <c r="E95" s="80"/>
      <c r="F95" s="80"/>
      <c r="G95" s="80"/>
      <c r="H95" s="80"/>
      <c r="I95" s="177"/>
      <c r="J95" s="80"/>
      <c r="K95" s="80"/>
      <c r="L95" s="177"/>
      <c r="M95" s="111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177"/>
      <c r="Y95" s="80"/>
      <c r="Z95" s="80"/>
      <c r="AA95" s="177"/>
      <c r="AB95" s="177"/>
      <c r="AC95" s="111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</row>
    <row r="96" spans="1:64">
      <c r="A96" s="80"/>
      <c r="B96" s="80"/>
      <c r="C96" s="80"/>
      <c r="D96" s="80"/>
      <c r="E96" s="80"/>
      <c r="F96" s="80"/>
      <c r="G96" s="80"/>
      <c r="H96" s="80"/>
      <c r="I96" s="177"/>
      <c r="J96" s="80"/>
      <c r="K96" s="80"/>
      <c r="L96" s="177"/>
      <c r="M96" s="111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177"/>
      <c r="Y96" s="80"/>
      <c r="Z96" s="80"/>
      <c r="AA96" s="177"/>
      <c r="AB96" s="177"/>
      <c r="AC96" s="111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</row>
    <row r="97" spans="1:64">
      <c r="A97" s="80"/>
      <c r="B97" s="80"/>
      <c r="C97" s="80"/>
      <c r="D97" s="80"/>
      <c r="E97" s="80"/>
      <c r="F97" s="80"/>
      <c r="G97" s="80"/>
      <c r="H97" s="80"/>
      <c r="I97" s="177"/>
      <c r="J97" s="80"/>
      <c r="K97" s="80"/>
      <c r="L97" s="177"/>
      <c r="M97" s="111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177"/>
      <c r="Y97" s="80"/>
      <c r="Z97" s="80"/>
      <c r="AA97" s="177"/>
      <c r="AB97" s="177"/>
      <c r="AC97" s="111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</row>
    <row r="98" spans="1:64">
      <c r="A98" s="80"/>
      <c r="B98" s="80"/>
      <c r="C98" s="80"/>
      <c r="D98" s="80"/>
      <c r="E98" s="80"/>
      <c r="F98" s="80"/>
      <c r="G98" s="80"/>
      <c r="H98" s="80"/>
      <c r="I98" s="177"/>
      <c r="J98" s="80"/>
      <c r="K98" s="80"/>
      <c r="L98" s="177"/>
      <c r="M98" s="111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177"/>
      <c r="Y98" s="80"/>
      <c r="Z98" s="80"/>
      <c r="AA98" s="177"/>
      <c r="AB98" s="177"/>
      <c r="AC98" s="111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</row>
    <row r="99" spans="1:64">
      <c r="A99" s="80"/>
      <c r="B99" s="80"/>
      <c r="C99" s="80"/>
      <c r="D99" s="80"/>
      <c r="E99" s="80"/>
      <c r="F99" s="80"/>
      <c r="G99" s="80"/>
      <c r="H99" s="80"/>
      <c r="I99" s="177"/>
      <c r="J99" s="80"/>
      <c r="K99" s="80"/>
      <c r="L99" s="177"/>
      <c r="M99" s="111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177"/>
      <c r="Y99" s="80"/>
      <c r="Z99" s="80"/>
      <c r="AA99" s="177"/>
      <c r="AB99" s="177"/>
      <c r="AC99" s="111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</row>
    <row r="100" spans="1:64">
      <c r="A100" s="80"/>
      <c r="B100" s="80"/>
      <c r="C100" s="80"/>
      <c r="D100" s="80"/>
      <c r="E100" s="80"/>
      <c r="F100" s="80"/>
      <c r="G100" s="80"/>
      <c r="H100" s="80"/>
      <c r="I100" s="177"/>
      <c r="J100" s="80"/>
      <c r="K100" s="80"/>
      <c r="L100" s="177"/>
      <c r="M100" s="111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177"/>
      <c r="Y100" s="80"/>
      <c r="Z100" s="80"/>
      <c r="AA100" s="177"/>
      <c r="AB100" s="177"/>
      <c r="AC100" s="111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</row>
    <row r="101" spans="1:64">
      <c r="A101" s="80"/>
      <c r="B101" s="80"/>
      <c r="C101" s="80"/>
      <c r="D101" s="80"/>
      <c r="E101" s="80"/>
      <c r="F101" s="80"/>
      <c r="G101" s="80"/>
      <c r="H101" s="80"/>
      <c r="I101" s="177"/>
      <c r="J101" s="80"/>
      <c r="K101" s="80"/>
      <c r="L101" s="177"/>
      <c r="M101" s="111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177"/>
      <c r="Y101" s="80"/>
      <c r="Z101" s="80"/>
      <c r="AA101" s="177"/>
      <c r="AB101" s="177"/>
      <c r="AC101" s="111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</row>
    <row r="102" spans="1:64">
      <c r="A102" s="80"/>
      <c r="B102" s="80"/>
      <c r="C102" s="80"/>
      <c r="D102" s="80"/>
      <c r="E102" s="80"/>
      <c r="F102" s="80"/>
      <c r="G102" s="80"/>
      <c r="H102" s="80"/>
      <c r="I102" s="177"/>
      <c r="J102" s="80"/>
      <c r="K102" s="80"/>
      <c r="L102" s="177"/>
      <c r="M102" s="111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177"/>
      <c r="Y102" s="80"/>
      <c r="Z102" s="80"/>
      <c r="AA102" s="177"/>
      <c r="AB102" s="177"/>
      <c r="AC102" s="111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</row>
    <row r="103" spans="1:64">
      <c r="A103" s="80"/>
      <c r="B103" s="80"/>
      <c r="C103" s="80"/>
      <c r="D103" s="80"/>
      <c r="E103" s="80"/>
      <c r="F103" s="80"/>
      <c r="G103" s="80"/>
      <c r="H103" s="80"/>
      <c r="I103" s="177"/>
      <c r="J103" s="80"/>
      <c r="K103" s="80"/>
      <c r="L103" s="177"/>
      <c r="M103" s="111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177"/>
      <c r="Y103" s="80"/>
      <c r="Z103" s="80"/>
      <c r="AA103" s="177"/>
      <c r="AB103" s="177"/>
      <c r="AC103" s="111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</row>
    <row r="104" spans="1:64">
      <c r="A104" s="80"/>
      <c r="B104" s="80"/>
      <c r="C104" s="80"/>
      <c r="D104" s="80"/>
      <c r="E104" s="80"/>
      <c r="F104" s="80"/>
      <c r="G104" s="80"/>
      <c r="H104" s="80"/>
      <c r="I104" s="177"/>
      <c r="J104" s="80"/>
      <c r="K104" s="80"/>
      <c r="L104" s="177"/>
      <c r="M104" s="111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177"/>
      <c r="Y104" s="80"/>
      <c r="Z104" s="80"/>
      <c r="AA104" s="177"/>
      <c r="AB104" s="177"/>
      <c r="AC104" s="111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</row>
    <row r="105" spans="1:64">
      <c r="A105" s="80"/>
      <c r="B105" s="80"/>
      <c r="C105" s="80"/>
      <c r="D105" s="80"/>
      <c r="E105" s="80"/>
      <c r="F105" s="80"/>
      <c r="G105" s="80"/>
      <c r="H105" s="80"/>
      <c r="I105" s="177"/>
      <c r="J105" s="80"/>
      <c r="K105" s="80"/>
      <c r="L105" s="177"/>
      <c r="M105" s="111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177"/>
      <c r="Y105" s="80"/>
      <c r="Z105" s="80"/>
      <c r="AA105" s="177"/>
      <c r="AB105" s="177"/>
      <c r="AC105" s="111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</row>
    <row r="106" spans="1:64">
      <c r="A106" s="80"/>
      <c r="B106" s="80"/>
      <c r="C106" s="80"/>
      <c r="D106" s="80"/>
      <c r="E106" s="80"/>
      <c r="F106" s="80"/>
      <c r="G106" s="80"/>
      <c r="H106" s="80"/>
      <c r="I106" s="177"/>
      <c r="J106" s="80"/>
      <c r="K106" s="80"/>
      <c r="L106" s="177"/>
      <c r="M106" s="111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177"/>
      <c r="Y106" s="80"/>
      <c r="Z106" s="80"/>
      <c r="AA106" s="177"/>
      <c r="AB106" s="177"/>
      <c r="AC106" s="111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</row>
    <row r="107" spans="1:64">
      <c r="A107" s="80"/>
      <c r="B107" s="80"/>
      <c r="C107" s="80"/>
      <c r="D107" s="80"/>
      <c r="E107" s="80"/>
      <c r="F107" s="80"/>
      <c r="G107" s="80"/>
      <c r="H107" s="80"/>
      <c r="I107" s="177"/>
      <c r="J107" s="80"/>
      <c r="K107" s="80"/>
      <c r="L107" s="177"/>
      <c r="M107" s="111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177"/>
      <c r="Y107" s="80"/>
      <c r="Z107" s="80"/>
      <c r="AA107" s="177"/>
      <c r="AB107" s="177"/>
      <c r="AC107" s="111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</row>
    <row r="108" spans="1:64">
      <c r="A108" s="80"/>
      <c r="B108" s="80"/>
      <c r="C108" s="80"/>
      <c r="D108" s="80"/>
      <c r="E108" s="80"/>
      <c r="F108" s="80"/>
      <c r="G108" s="80"/>
      <c r="H108" s="80"/>
      <c r="I108" s="177"/>
      <c r="J108" s="80"/>
      <c r="K108" s="80"/>
      <c r="L108" s="177"/>
      <c r="M108" s="111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177"/>
      <c r="Y108" s="80"/>
      <c r="Z108" s="80"/>
      <c r="AA108" s="177"/>
      <c r="AB108" s="177"/>
      <c r="AC108" s="111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</row>
    <row r="109" spans="1:64">
      <c r="A109" s="80"/>
      <c r="B109" s="80"/>
      <c r="C109" s="80"/>
      <c r="D109" s="80"/>
      <c r="E109" s="80"/>
      <c r="F109" s="80"/>
      <c r="G109" s="80"/>
      <c r="H109" s="80"/>
      <c r="I109" s="177"/>
      <c r="J109" s="80"/>
      <c r="K109" s="80"/>
      <c r="L109" s="177"/>
      <c r="M109" s="111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177"/>
      <c r="Y109" s="80"/>
      <c r="Z109" s="80"/>
      <c r="AA109" s="177"/>
      <c r="AB109" s="177"/>
      <c r="AC109" s="111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</row>
    <row r="110" spans="1:64">
      <c r="A110" s="80"/>
      <c r="B110" s="80"/>
      <c r="C110" s="80"/>
      <c r="D110" s="80"/>
      <c r="E110" s="80"/>
      <c r="F110" s="80"/>
      <c r="G110" s="80"/>
      <c r="H110" s="80"/>
      <c r="I110" s="177"/>
      <c r="J110" s="80"/>
      <c r="K110" s="80"/>
      <c r="L110" s="177"/>
      <c r="M110" s="111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177"/>
      <c r="Y110" s="80"/>
      <c r="Z110" s="80"/>
      <c r="AA110" s="177"/>
      <c r="AB110" s="177"/>
      <c r="AC110" s="111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</row>
    <row r="111" spans="1:64">
      <c r="A111" s="80"/>
      <c r="B111" s="80"/>
      <c r="C111" s="80"/>
      <c r="D111" s="80"/>
      <c r="E111" s="80"/>
      <c r="F111" s="80"/>
      <c r="G111" s="80"/>
      <c r="H111" s="80"/>
      <c r="I111" s="177"/>
      <c r="J111" s="80"/>
      <c r="K111" s="80"/>
      <c r="L111" s="177"/>
      <c r="M111" s="111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177"/>
      <c r="Y111" s="80"/>
      <c r="Z111" s="80"/>
      <c r="AA111" s="177"/>
      <c r="AB111" s="177"/>
      <c r="AC111" s="111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</row>
    <row r="112" spans="1:64">
      <c r="A112" s="80"/>
      <c r="B112" s="80"/>
      <c r="C112" s="80"/>
      <c r="D112" s="80"/>
      <c r="E112" s="80"/>
      <c r="F112" s="80"/>
      <c r="G112" s="80"/>
      <c r="H112" s="80"/>
      <c r="I112" s="177"/>
      <c r="J112" s="80"/>
      <c r="K112" s="80"/>
      <c r="L112" s="177"/>
      <c r="M112" s="111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177"/>
      <c r="Y112" s="80"/>
      <c r="Z112" s="80"/>
      <c r="AA112" s="177"/>
      <c r="AB112" s="177"/>
      <c r="AC112" s="111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</row>
    <row r="113" spans="1:64">
      <c r="A113" s="80"/>
      <c r="B113" s="80"/>
      <c r="C113" s="80"/>
      <c r="D113" s="80"/>
      <c r="E113" s="80"/>
      <c r="F113" s="80"/>
      <c r="G113" s="80"/>
      <c r="H113" s="80"/>
      <c r="I113" s="177"/>
      <c r="J113" s="80"/>
      <c r="K113" s="80"/>
      <c r="L113" s="177"/>
      <c r="M113" s="111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177"/>
      <c r="Y113" s="80"/>
      <c r="Z113" s="80"/>
      <c r="AA113" s="177"/>
      <c r="AB113" s="177"/>
      <c r="AC113" s="111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</row>
    <row r="114" spans="1:64">
      <c r="A114" s="80"/>
      <c r="B114" s="80"/>
      <c r="C114" s="80"/>
      <c r="D114" s="80"/>
      <c r="E114" s="80"/>
      <c r="F114" s="80"/>
      <c r="G114" s="80"/>
      <c r="H114" s="80"/>
      <c r="I114" s="177"/>
      <c r="J114" s="80"/>
      <c r="K114" s="80"/>
      <c r="L114" s="177"/>
      <c r="M114" s="111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177"/>
      <c r="Y114" s="80"/>
      <c r="Z114" s="80"/>
      <c r="AA114" s="177"/>
      <c r="AB114" s="177"/>
      <c r="AC114" s="111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</row>
    <row r="115" spans="1:64">
      <c r="A115" s="80"/>
      <c r="B115" s="80"/>
      <c r="C115" s="80"/>
      <c r="D115" s="80"/>
      <c r="E115" s="80"/>
      <c r="F115" s="80"/>
      <c r="G115" s="80"/>
      <c r="H115" s="80"/>
      <c r="I115" s="177"/>
      <c r="J115" s="80"/>
      <c r="K115" s="80"/>
      <c r="L115" s="177"/>
      <c r="M115" s="111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177"/>
      <c r="Y115" s="80"/>
      <c r="Z115" s="80"/>
      <c r="AA115" s="177"/>
      <c r="AB115" s="177"/>
      <c r="AC115" s="111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</row>
    <row r="116" spans="1:64">
      <c r="A116" s="80"/>
      <c r="B116" s="80"/>
      <c r="C116" s="80"/>
      <c r="D116" s="80"/>
      <c r="E116" s="80"/>
      <c r="F116" s="80"/>
      <c r="G116" s="80"/>
      <c r="H116" s="80"/>
      <c r="I116" s="177"/>
      <c r="J116" s="80"/>
      <c r="K116" s="80"/>
      <c r="L116" s="177"/>
      <c r="M116" s="111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177"/>
      <c r="Y116" s="80"/>
      <c r="Z116" s="80"/>
      <c r="AA116" s="177"/>
      <c r="AB116" s="177"/>
      <c r="AC116" s="111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</row>
    <row r="117" spans="1:64">
      <c r="A117" s="80"/>
      <c r="B117" s="80"/>
      <c r="C117" s="80"/>
      <c r="D117" s="80"/>
      <c r="E117" s="80"/>
      <c r="F117" s="80"/>
      <c r="G117" s="80"/>
      <c r="H117" s="80"/>
      <c r="I117" s="177"/>
      <c r="J117" s="80"/>
      <c r="K117" s="80"/>
      <c r="L117" s="177"/>
      <c r="M117" s="111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177"/>
      <c r="Y117" s="80"/>
      <c r="Z117" s="80"/>
      <c r="AA117" s="177"/>
      <c r="AB117" s="177"/>
      <c r="AC117" s="111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</row>
    <row r="118" spans="1:64">
      <c r="A118" s="80"/>
      <c r="B118" s="80"/>
      <c r="C118" s="80"/>
      <c r="D118" s="80"/>
      <c r="E118" s="80"/>
      <c r="F118" s="80"/>
      <c r="G118" s="80"/>
      <c r="H118" s="80"/>
      <c r="I118" s="177"/>
      <c r="J118" s="80"/>
      <c r="K118" s="80"/>
      <c r="L118" s="177"/>
      <c r="M118" s="111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177"/>
      <c r="Y118" s="80"/>
      <c r="Z118" s="80"/>
      <c r="AA118" s="177"/>
      <c r="AB118" s="177"/>
      <c r="AC118" s="111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</row>
    <row r="119" spans="1:64">
      <c r="A119" s="80"/>
      <c r="B119" s="80"/>
      <c r="C119" s="80"/>
      <c r="D119" s="80"/>
      <c r="E119" s="80"/>
      <c r="F119" s="80"/>
      <c r="G119" s="80"/>
      <c r="H119" s="80"/>
      <c r="I119" s="177"/>
      <c r="J119" s="80"/>
      <c r="K119" s="80"/>
      <c r="L119" s="177"/>
      <c r="M119" s="111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177"/>
      <c r="Y119" s="80"/>
      <c r="Z119" s="80"/>
      <c r="AA119" s="177"/>
      <c r="AB119" s="177"/>
      <c r="AC119" s="111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</row>
    <row r="120" spans="1:64">
      <c r="A120" s="80"/>
      <c r="B120" s="80"/>
      <c r="C120" s="80"/>
      <c r="D120" s="80"/>
      <c r="E120" s="80"/>
      <c r="F120" s="80"/>
      <c r="G120" s="80"/>
      <c r="H120" s="80"/>
      <c r="I120" s="177"/>
      <c r="J120" s="80"/>
      <c r="K120" s="80"/>
      <c r="L120" s="177"/>
      <c r="M120" s="111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177"/>
      <c r="Y120" s="80"/>
      <c r="Z120" s="80"/>
      <c r="AA120" s="177"/>
      <c r="AB120" s="177"/>
      <c r="AC120" s="111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</row>
    <row r="121" spans="1:64">
      <c r="A121" s="80"/>
      <c r="B121" s="80"/>
      <c r="C121" s="80"/>
      <c r="D121" s="80"/>
      <c r="E121" s="80"/>
      <c r="F121" s="80"/>
      <c r="G121" s="80"/>
      <c r="H121" s="80"/>
      <c r="I121" s="177"/>
      <c r="J121" s="80"/>
      <c r="K121" s="80"/>
      <c r="L121" s="177"/>
      <c r="M121" s="111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177"/>
      <c r="Y121" s="80"/>
      <c r="Z121" s="80"/>
      <c r="AA121" s="177"/>
      <c r="AB121" s="177"/>
      <c r="AC121" s="111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</row>
    <row r="122" spans="1:64">
      <c r="A122" s="80"/>
      <c r="B122" s="80"/>
      <c r="C122" s="80"/>
      <c r="D122" s="80"/>
      <c r="E122" s="80"/>
      <c r="F122" s="80"/>
      <c r="G122" s="80"/>
      <c r="H122" s="80"/>
      <c r="I122" s="177"/>
      <c r="J122" s="80"/>
      <c r="K122" s="80"/>
      <c r="L122" s="177"/>
      <c r="M122" s="111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177"/>
      <c r="Y122" s="80"/>
      <c r="Z122" s="80"/>
      <c r="AA122" s="177"/>
      <c r="AB122" s="177"/>
      <c r="AC122" s="111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</row>
    <row r="123" spans="1:64">
      <c r="A123" s="80"/>
      <c r="B123" s="80"/>
      <c r="C123" s="80"/>
      <c r="D123" s="80"/>
      <c r="E123" s="80"/>
      <c r="F123" s="80"/>
      <c r="G123" s="80"/>
      <c r="H123" s="80"/>
      <c r="I123" s="177"/>
      <c r="J123" s="80"/>
      <c r="K123" s="80"/>
      <c r="L123" s="177"/>
      <c r="M123" s="111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177"/>
      <c r="Y123" s="80"/>
      <c r="Z123" s="80"/>
      <c r="AA123" s="177"/>
      <c r="AB123" s="177"/>
      <c r="AC123" s="111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</row>
    <row r="124" spans="1:64">
      <c r="A124" s="80"/>
      <c r="B124" s="80"/>
      <c r="C124" s="80"/>
      <c r="D124" s="80"/>
      <c r="E124" s="80"/>
      <c r="F124" s="80"/>
      <c r="G124" s="80"/>
      <c r="H124" s="80"/>
      <c r="I124" s="177"/>
      <c r="J124" s="80"/>
      <c r="K124" s="80"/>
      <c r="L124" s="177"/>
      <c r="M124" s="111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177"/>
      <c r="Y124" s="80"/>
      <c r="Z124" s="80"/>
      <c r="AA124" s="177"/>
      <c r="AB124" s="177"/>
      <c r="AC124" s="111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</row>
    <row r="125" spans="1:64">
      <c r="A125" s="80"/>
      <c r="B125" s="80"/>
      <c r="C125" s="80"/>
      <c r="D125" s="80"/>
      <c r="E125" s="80"/>
      <c r="F125" s="80"/>
      <c r="G125" s="80"/>
      <c r="H125" s="80"/>
      <c r="I125" s="177"/>
      <c r="J125" s="80"/>
      <c r="K125" s="80"/>
      <c r="L125" s="177"/>
      <c r="M125" s="111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177"/>
      <c r="Y125" s="80"/>
      <c r="Z125" s="80"/>
      <c r="AA125" s="177"/>
      <c r="AB125" s="177"/>
      <c r="AC125" s="111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</row>
    <row r="126" spans="1:64">
      <c r="A126" s="80"/>
      <c r="B126" s="80"/>
      <c r="C126" s="80"/>
      <c r="D126" s="80"/>
      <c r="E126" s="80"/>
      <c r="F126" s="80"/>
      <c r="G126" s="80"/>
      <c r="H126" s="80"/>
      <c r="I126" s="177"/>
      <c r="J126" s="80"/>
      <c r="K126" s="80"/>
      <c r="L126" s="177"/>
      <c r="M126" s="111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177"/>
      <c r="Y126" s="80"/>
      <c r="Z126" s="80"/>
      <c r="AA126" s="177"/>
      <c r="AB126" s="177"/>
      <c r="AC126" s="111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</row>
    <row r="127" spans="1:64">
      <c r="A127" s="80"/>
      <c r="B127" s="80"/>
      <c r="C127" s="80"/>
      <c r="D127" s="80"/>
      <c r="E127" s="80"/>
      <c r="F127" s="80"/>
      <c r="G127" s="80"/>
      <c r="H127" s="80"/>
      <c r="I127" s="177"/>
      <c r="J127" s="80"/>
      <c r="K127" s="80"/>
      <c r="L127" s="177"/>
      <c r="M127" s="111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177"/>
      <c r="Y127" s="80"/>
      <c r="Z127" s="80"/>
      <c r="AA127" s="177"/>
      <c r="AB127" s="177"/>
      <c r="AC127" s="111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</row>
    <row r="128" spans="1:64">
      <c r="A128" s="80"/>
      <c r="B128" s="80"/>
      <c r="C128" s="80"/>
      <c r="D128" s="80"/>
      <c r="E128" s="80"/>
      <c r="F128" s="80"/>
      <c r="G128" s="80"/>
      <c r="H128" s="80"/>
      <c r="I128" s="177"/>
      <c r="J128" s="80"/>
      <c r="K128" s="80"/>
      <c r="L128" s="177"/>
      <c r="M128" s="111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177"/>
      <c r="Y128" s="80"/>
      <c r="Z128" s="80"/>
      <c r="AA128" s="177"/>
      <c r="AB128" s="177"/>
      <c r="AC128" s="111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</row>
    <row r="129" spans="1:64">
      <c r="A129" s="80"/>
      <c r="B129" s="80"/>
      <c r="C129" s="80"/>
      <c r="D129" s="80"/>
      <c r="E129" s="80"/>
      <c r="F129" s="80"/>
      <c r="G129" s="80"/>
      <c r="H129" s="80"/>
      <c r="I129" s="177"/>
      <c r="J129" s="80"/>
      <c r="K129" s="80"/>
      <c r="L129" s="177"/>
      <c r="M129" s="111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177"/>
      <c r="Y129" s="80"/>
      <c r="Z129" s="80"/>
      <c r="AA129" s="177"/>
      <c r="AB129" s="177"/>
      <c r="AC129" s="111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</row>
    <row r="130" spans="1:64">
      <c r="A130" s="80"/>
      <c r="B130" s="80"/>
      <c r="C130" s="80"/>
      <c r="D130" s="80"/>
      <c r="E130" s="80"/>
      <c r="F130" s="80"/>
      <c r="G130" s="80"/>
      <c r="H130" s="80"/>
      <c r="I130" s="177"/>
      <c r="J130" s="80"/>
      <c r="K130" s="80"/>
      <c r="L130" s="177"/>
      <c r="M130" s="111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177"/>
      <c r="Y130" s="80"/>
      <c r="Z130" s="80"/>
      <c r="AA130" s="177"/>
      <c r="AB130" s="177"/>
      <c r="AC130" s="111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</row>
    <row r="131" spans="1:64">
      <c r="A131" s="80"/>
      <c r="B131" s="80"/>
      <c r="C131" s="80"/>
      <c r="D131" s="80"/>
      <c r="E131" s="80"/>
      <c r="F131" s="80"/>
      <c r="G131" s="80"/>
      <c r="H131" s="80"/>
      <c r="I131" s="177"/>
      <c r="J131" s="80"/>
      <c r="K131" s="80"/>
      <c r="L131" s="177"/>
      <c r="M131" s="111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177"/>
      <c r="Y131" s="80"/>
      <c r="Z131" s="80"/>
      <c r="AA131" s="177"/>
      <c r="AB131" s="177"/>
      <c r="AC131" s="111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</row>
    <row r="132" spans="1:64">
      <c r="A132" s="80"/>
      <c r="B132" s="80"/>
      <c r="C132" s="80"/>
      <c r="D132" s="80"/>
      <c r="E132" s="80"/>
      <c r="F132" s="80"/>
      <c r="G132" s="80"/>
      <c r="H132" s="80"/>
      <c r="I132" s="177"/>
      <c r="J132" s="80"/>
      <c r="K132" s="80"/>
      <c r="L132" s="177"/>
      <c r="M132" s="111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177"/>
      <c r="Y132" s="80"/>
      <c r="Z132" s="80"/>
      <c r="AA132" s="177"/>
      <c r="AB132" s="177"/>
      <c r="AC132" s="111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</row>
    <row r="133" spans="1:64">
      <c r="A133" s="80"/>
      <c r="B133" s="80"/>
      <c r="C133" s="80"/>
      <c r="D133" s="80"/>
      <c r="E133" s="80"/>
      <c r="F133" s="80"/>
      <c r="G133" s="80"/>
      <c r="H133" s="80"/>
      <c r="I133" s="177"/>
      <c r="J133" s="80"/>
      <c r="K133" s="80"/>
      <c r="L133" s="177"/>
      <c r="M133" s="111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177"/>
      <c r="Y133" s="80"/>
      <c r="Z133" s="80"/>
      <c r="AA133" s="177"/>
      <c r="AB133" s="177"/>
      <c r="AC133" s="111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</row>
    <row r="134" spans="1:64">
      <c r="A134" s="80"/>
      <c r="B134" s="80"/>
      <c r="C134" s="80"/>
      <c r="D134" s="80"/>
      <c r="E134" s="80"/>
      <c r="F134" s="80"/>
      <c r="G134" s="80"/>
      <c r="H134" s="80"/>
      <c r="I134" s="177"/>
      <c r="J134" s="80"/>
      <c r="K134" s="80"/>
      <c r="L134" s="177"/>
      <c r="M134" s="111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177"/>
      <c r="Y134" s="80"/>
      <c r="Z134" s="80"/>
      <c r="AA134" s="177"/>
      <c r="AB134" s="177"/>
      <c r="AC134" s="111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</row>
    <row r="135" spans="1:64">
      <c r="A135" s="80"/>
      <c r="B135" s="80"/>
      <c r="C135" s="80"/>
      <c r="D135" s="80"/>
      <c r="E135" s="80"/>
      <c r="F135" s="80"/>
      <c r="G135" s="80"/>
      <c r="H135" s="80"/>
      <c r="I135" s="177"/>
      <c r="J135" s="80"/>
      <c r="K135" s="80"/>
      <c r="L135" s="177"/>
      <c r="M135" s="111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177"/>
      <c r="Y135" s="80"/>
      <c r="Z135" s="80"/>
      <c r="AA135" s="177"/>
      <c r="AB135" s="177"/>
      <c r="AC135" s="111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</row>
    <row r="136" spans="1:64">
      <c r="A136" s="80"/>
      <c r="B136" s="80"/>
      <c r="C136" s="80"/>
      <c r="D136" s="80"/>
      <c r="E136" s="80"/>
      <c r="F136" s="80"/>
      <c r="G136" s="80"/>
      <c r="H136" s="80"/>
      <c r="I136" s="177"/>
      <c r="J136" s="80"/>
      <c r="K136" s="80"/>
      <c r="L136" s="177"/>
      <c r="M136" s="111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177"/>
      <c r="Y136" s="80"/>
      <c r="Z136" s="80"/>
      <c r="AA136" s="177"/>
      <c r="AB136" s="177"/>
      <c r="AC136" s="111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</row>
    <row r="137" spans="1:64">
      <c r="A137" s="80"/>
      <c r="B137" s="80"/>
      <c r="C137" s="80"/>
      <c r="D137" s="80"/>
      <c r="E137" s="80"/>
      <c r="F137" s="80"/>
      <c r="G137" s="80"/>
      <c r="H137" s="80"/>
      <c r="I137" s="177"/>
      <c r="J137" s="80"/>
      <c r="K137" s="80"/>
      <c r="L137" s="177"/>
      <c r="M137" s="111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177"/>
      <c r="Y137" s="80"/>
      <c r="Z137" s="80"/>
      <c r="AA137" s="177"/>
      <c r="AB137" s="177"/>
      <c r="AC137" s="111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</row>
    <row r="138" spans="1:64">
      <c r="A138" s="80"/>
      <c r="B138" s="80"/>
      <c r="C138" s="80"/>
      <c r="D138" s="80"/>
      <c r="E138" s="80"/>
      <c r="F138" s="80"/>
      <c r="G138" s="80"/>
      <c r="H138" s="80"/>
      <c r="I138" s="177"/>
      <c r="J138" s="80"/>
      <c r="K138" s="80"/>
      <c r="L138" s="177"/>
      <c r="M138" s="111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177"/>
      <c r="Y138" s="80"/>
      <c r="Z138" s="80"/>
      <c r="AA138" s="177"/>
      <c r="AB138" s="177"/>
      <c r="AC138" s="111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</row>
    <row r="139" spans="1:64">
      <c r="A139" s="80"/>
      <c r="B139" s="80"/>
      <c r="C139" s="80"/>
      <c r="D139" s="80"/>
      <c r="E139" s="80"/>
      <c r="F139" s="80"/>
      <c r="G139" s="80"/>
      <c r="H139" s="80"/>
      <c r="I139" s="177"/>
      <c r="J139" s="80"/>
      <c r="K139" s="80"/>
      <c r="L139" s="177"/>
      <c r="M139" s="111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177"/>
      <c r="Y139" s="80"/>
      <c r="Z139" s="80"/>
      <c r="AA139" s="177"/>
      <c r="AB139" s="177"/>
      <c r="AC139" s="111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</row>
    <row r="140" spans="1:64">
      <c r="A140" s="80"/>
      <c r="B140" s="80"/>
      <c r="C140" s="80"/>
      <c r="D140" s="80"/>
      <c r="E140" s="80"/>
      <c r="F140" s="80"/>
      <c r="G140" s="80"/>
      <c r="H140" s="80"/>
      <c r="I140" s="177"/>
      <c r="J140" s="80"/>
      <c r="K140" s="80"/>
      <c r="L140" s="177"/>
      <c r="M140" s="111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177"/>
      <c r="Y140" s="80"/>
      <c r="Z140" s="80"/>
      <c r="AA140" s="177"/>
      <c r="AB140" s="177"/>
      <c r="AC140" s="111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</row>
    <row r="141" spans="1:64">
      <c r="A141" s="80"/>
      <c r="B141" s="80"/>
      <c r="C141" s="80"/>
      <c r="D141" s="80"/>
      <c r="E141" s="80"/>
      <c r="F141" s="80"/>
      <c r="G141" s="80"/>
      <c r="H141" s="80"/>
      <c r="I141" s="177"/>
      <c r="J141" s="80"/>
      <c r="K141" s="80"/>
      <c r="L141" s="177"/>
      <c r="M141" s="111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177"/>
      <c r="Y141" s="80"/>
      <c r="Z141" s="80"/>
      <c r="AA141" s="177"/>
      <c r="AB141" s="177"/>
      <c r="AC141" s="111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</row>
    <row r="142" spans="1:64">
      <c r="A142" s="80"/>
      <c r="B142" s="80"/>
      <c r="C142" s="80"/>
      <c r="D142" s="80"/>
      <c r="E142" s="80"/>
      <c r="F142" s="80"/>
      <c r="G142" s="80"/>
      <c r="H142" s="80"/>
      <c r="I142" s="177"/>
      <c r="J142" s="80"/>
      <c r="K142" s="80"/>
      <c r="L142" s="177"/>
      <c r="M142" s="111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177"/>
      <c r="Y142" s="80"/>
      <c r="Z142" s="80"/>
      <c r="AA142" s="177"/>
      <c r="AB142" s="177"/>
      <c r="AC142" s="111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</row>
    <row r="143" spans="1:64">
      <c r="A143" s="80"/>
      <c r="B143" s="80"/>
      <c r="C143" s="80"/>
      <c r="D143" s="80"/>
      <c r="E143" s="80"/>
      <c r="F143" s="80"/>
      <c r="G143" s="80"/>
      <c r="H143" s="80"/>
      <c r="I143" s="177"/>
      <c r="J143" s="80"/>
      <c r="K143" s="80"/>
      <c r="L143" s="177"/>
      <c r="M143" s="111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177"/>
      <c r="Y143" s="80"/>
      <c r="Z143" s="80"/>
      <c r="AA143" s="177"/>
      <c r="AB143" s="177"/>
      <c r="AC143" s="111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</row>
    <row r="144" spans="1:64">
      <c r="A144" s="80"/>
      <c r="B144" s="80"/>
      <c r="C144" s="80"/>
      <c r="D144" s="80"/>
      <c r="E144" s="80"/>
      <c r="F144" s="80"/>
      <c r="G144" s="80"/>
      <c r="H144" s="80"/>
      <c r="I144" s="177"/>
      <c r="J144" s="80"/>
      <c r="K144" s="80"/>
      <c r="L144" s="177"/>
      <c r="M144" s="111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177"/>
      <c r="Y144" s="80"/>
      <c r="Z144" s="80"/>
      <c r="AA144" s="177"/>
      <c r="AB144" s="177"/>
      <c r="AC144" s="111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>
      <c r="A145" s="80"/>
      <c r="B145" s="80"/>
      <c r="C145" s="80"/>
      <c r="D145" s="80"/>
      <c r="E145" s="80"/>
      <c r="F145" s="80"/>
      <c r="G145" s="80"/>
      <c r="H145" s="80"/>
      <c r="I145" s="177"/>
      <c r="J145" s="80"/>
      <c r="K145" s="80"/>
      <c r="L145" s="177"/>
      <c r="M145" s="111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177"/>
      <c r="Y145" s="80"/>
      <c r="Z145" s="80"/>
      <c r="AA145" s="177"/>
      <c r="AB145" s="177"/>
      <c r="AC145" s="111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>
      <c r="A146" s="80"/>
      <c r="B146" s="80"/>
      <c r="C146" s="80"/>
      <c r="D146" s="80"/>
      <c r="E146" s="80"/>
      <c r="F146" s="80"/>
      <c r="G146" s="80"/>
      <c r="H146" s="80"/>
      <c r="I146" s="177"/>
      <c r="J146" s="80"/>
      <c r="K146" s="80"/>
      <c r="L146" s="177"/>
      <c r="M146" s="111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177"/>
      <c r="Y146" s="80"/>
      <c r="Z146" s="80"/>
      <c r="AA146" s="177"/>
      <c r="AB146" s="177"/>
      <c r="AC146" s="111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>
      <c r="A147" s="80"/>
      <c r="B147" s="80"/>
      <c r="C147" s="80"/>
      <c r="D147" s="80"/>
      <c r="E147" s="80"/>
      <c r="F147" s="80"/>
      <c r="G147" s="80"/>
      <c r="H147" s="80"/>
      <c r="I147" s="177"/>
      <c r="J147" s="80"/>
      <c r="K147" s="80"/>
      <c r="L147" s="177"/>
      <c r="M147" s="111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177"/>
      <c r="Y147" s="80"/>
      <c r="Z147" s="80"/>
      <c r="AA147" s="177"/>
      <c r="AB147" s="177"/>
      <c r="AC147" s="111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>
      <c r="A148" s="80"/>
      <c r="B148" s="80"/>
      <c r="C148" s="80"/>
      <c r="D148" s="80"/>
      <c r="E148" s="80"/>
      <c r="F148" s="80"/>
      <c r="G148" s="80"/>
      <c r="H148" s="80"/>
      <c r="I148" s="177"/>
      <c r="J148" s="80"/>
      <c r="K148" s="80"/>
      <c r="L148" s="177"/>
      <c r="M148" s="111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177"/>
      <c r="Y148" s="80"/>
      <c r="Z148" s="80"/>
      <c r="AA148" s="177"/>
      <c r="AB148" s="177"/>
      <c r="AC148" s="111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</row>
    <row r="149" spans="1:64">
      <c r="A149" s="80"/>
      <c r="B149" s="80"/>
      <c r="C149" s="80"/>
      <c r="D149" s="80"/>
      <c r="E149" s="80"/>
      <c r="F149" s="80"/>
      <c r="G149" s="80"/>
      <c r="H149" s="80"/>
      <c r="I149" s="177"/>
      <c r="J149" s="80"/>
      <c r="K149" s="80"/>
      <c r="L149" s="177"/>
      <c r="M149" s="111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177"/>
      <c r="Y149" s="80"/>
      <c r="Z149" s="80"/>
      <c r="AA149" s="177"/>
      <c r="AB149" s="177"/>
      <c r="AC149" s="111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</row>
    <row r="150" spans="1:64">
      <c r="A150" s="80"/>
      <c r="B150" s="80"/>
      <c r="C150" s="80"/>
      <c r="D150" s="80"/>
      <c r="E150" s="80"/>
      <c r="F150" s="80"/>
      <c r="G150" s="80"/>
      <c r="H150" s="80"/>
      <c r="I150" s="177"/>
      <c r="J150" s="80"/>
      <c r="K150" s="80"/>
      <c r="L150" s="177"/>
      <c r="M150" s="111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177"/>
      <c r="Y150" s="80"/>
      <c r="Z150" s="80"/>
      <c r="AA150" s="177"/>
      <c r="AB150" s="177"/>
      <c r="AC150" s="111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</row>
    <row r="151" spans="1:64">
      <c r="A151" s="80"/>
      <c r="B151" s="80"/>
      <c r="C151" s="80"/>
      <c r="D151" s="80"/>
      <c r="E151" s="80"/>
      <c r="F151" s="80"/>
      <c r="G151" s="80"/>
      <c r="H151" s="80"/>
      <c r="I151" s="177"/>
      <c r="J151" s="80"/>
      <c r="K151" s="80"/>
      <c r="L151" s="177"/>
      <c r="M151" s="111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177"/>
      <c r="Y151" s="80"/>
      <c r="Z151" s="80"/>
      <c r="AA151" s="177"/>
      <c r="AB151" s="177"/>
      <c r="AC151" s="111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</row>
    <row r="152" spans="1:64">
      <c r="A152" s="80"/>
      <c r="B152" s="80"/>
      <c r="C152" s="80"/>
      <c r="D152" s="80"/>
      <c r="E152" s="80"/>
      <c r="F152" s="80"/>
      <c r="G152" s="80"/>
      <c r="H152" s="80"/>
      <c r="I152" s="177"/>
      <c r="J152" s="80"/>
      <c r="K152" s="80"/>
      <c r="L152" s="177"/>
      <c r="M152" s="111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177"/>
      <c r="Y152" s="80"/>
      <c r="Z152" s="80"/>
      <c r="AA152" s="177"/>
      <c r="AB152" s="177"/>
      <c r="AC152" s="111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</row>
    <row r="153" spans="1:64">
      <c r="A153" s="80"/>
      <c r="B153" s="80"/>
      <c r="C153" s="80"/>
      <c r="D153" s="80"/>
      <c r="E153" s="80"/>
      <c r="F153" s="80"/>
      <c r="G153" s="80"/>
      <c r="H153" s="80"/>
      <c r="I153" s="177"/>
      <c r="J153" s="80"/>
      <c r="K153" s="80"/>
      <c r="L153" s="177"/>
      <c r="M153" s="111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177"/>
      <c r="Y153" s="80"/>
      <c r="Z153" s="80"/>
      <c r="AA153" s="177"/>
      <c r="AB153" s="177"/>
      <c r="AC153" s="111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</row>
    <row r="154" spans="1:64">
      <c r="A154" s="80"/>
      <c r="B154" s="80"/>
      <c r="C154" s="80"/>
      <c r="D154" s="80"/>
      <c r="E154" s="80"/>
      <c r="F154" s="80"/>
      <c r="G154" s="80"/>
      <c r="H154" s="80"/>
      <c r="I154" s="177"/>
      <c r="J154" s="80"/>
      <c r="K154" s="80"/>
      <c r="L154" s="177"/>
      <c r="M154" s="111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177"/>
      <c r="Y154" s="80"/>
      <c r="Z154" s="80"/>
      <c r="AA154" s="177"/>
      <c r="AB154" s="177"/>
      <c r="AC154" s="111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</row>
    <row r="155" spans="1:64">
      <c r="A155" s="80"/>
      <c r="B155" s="80"/>
      <c r="C155" s="80"/>
      <c r="D155" s="80"/>
      <c r="E155" s="80"/>
      <c r="F155" s="80"/>
      <c r="G155" s="80"/>
      <c r="H155" s="80"/>
      <c r="I155" s="177"/>
      <c r="J155" s="80"/>
      <c r="K155" s="80"/>
      <c r="L155" s="177"/>
      <c r="M155" s="111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177"/>
      <c r="Y155" s="80"/>
      <c r="Z155" s="80"/>
      <c r="AA155" s="177"/>
      <c r="AB155" s="177"/>
      <c r="AC155" s="111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</row>
    <row r="156" spans="1:64">
      <c r="A156" s="80"/>
      <c r="B156" s="80"/>
      <c r="C156" s="80"/>
      <c r="D156" s="80"/>
      <c r="E156" s="80"/>
      <c r="F156" s="80"/>
      <c r="G156" s="80"/>
      <c r="H156" s="80"/>
      <c r="I156" s="177"/>
      <c r="J156" s="80"/>
      <c r="K156" s="80"/>
      <c r="L156" s="177"/>
      <c r="M156" s="111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177"/>
      <c r="Y156" s="80"/>
      <c r="Z156" s="80"/>
      <c r="AA156" s="177"/>
      <c r="AB156" s="177"/>
      <c r="AC156" s="111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</row>
    <row r="157" spans="1:64">
      <c r="A157" s="80"/>
      <c r="B157" s="80"/>
      <c r="C157" s="80"/>
      <c r="D157" s="80"/>
      <c r="E157" s="80"/>
      <c r="F157" s="80"/>
      <c r="G157" s="80"/>
      <c r="H157" s="80"/>
      <c r="I157" s="177"/>
      <c r="J157" s="80"/>
      <c r="K157" s="80"/>
      <c r="L157" s="177"/>
      <c r="M157" s="111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177"/>
      <c r="Y157" s="80"/>
      <c r="Z157" s="80"/>
      <c r="AA157" s="177"/>
      <c r="AB157" s="177"/>
      <c r="AC157" s="111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</row>
    <row r="158" spans="1:64">
      <c r="A158" s="80"/>
      <c r="B158" s="80"/>
      <c r="C158" s="80"/>
      <c r="D158" s="80"/>
      <c r="E158" s="80"/>
      <c r="F158" s="80"/>
      <c r="G158" s="80"/>
      <c r="H158" s="80"/>
      <c r="I158" s="177"/>
      <c r="J158" s="80"/>
      <c r="K158" s="80"/>
      <c r="L158" s="177"/>
      <c r="M158" s="111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177"/>
      <c r="Y158" s="80"/>
      <c r="Z158" s="80"/>
      <c r="AA158" s="177"/>
      <c r="AB158" s="177"/>
      <c r="AC158" s="111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</row>
    <row r="159" spans="1:64">
      <c r="A159" s="80"/>
      <c r="B159" s="80"/>
      <c r="C159" s="80"/>
      <c r="D159" s="80"/>
      <c r="E159" s="80"/>
      <c r="F159" s="80"/>
      <c r="G159" s="80"/>
      <c r="H159" s="80"/>
      <c r="I159" s="177"/>
      <c r="J159" s="80"/>
      <c r="K159" s="80"/>
      <c r="L159" s="177"/>
      <c r="M159" s="111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177"/>
      <c r="Y159" s="80"/>
      <c r="Z159" s="80"/>
      <c r="AA159" s="177"/>
      <c r="AB159" s="177"/>
      <c r="AC159" s="111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</row>
    <row r="160" spans="1:64">
      <c r="A160" s="80"/>
      <c r="B160" s="80"/>
      <c r="C160" s="80"/>
      <c r="D160" s="80"/>
      <c r="E160" s="80"/>
      <c r="F160" s="80"/>
      <c r="G160" s="80"/>
      <c r="H160" s="80"/>
      <c r="I160" s="177"/>
      <c r="J160" s="80"/>
      <c r="K160" s="80"/>
      <c r="L160" s="177"/>
      <c r="M160" s="111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177"/>
      <c r="Y160" s="80"/>
      <c r="Z160" s="80"/>
      <c r="AA160" s="177"/>
      <c r="AB160" s="177"/>
      <c r="AC160" s="111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</row>
    <row r="161" spans="1:64">
      <c r="A161" s="80"/>
      <c r="B161" s="80"/>
      <c r="C161" s="80"/>
      <c r="D161" s="80"/>
      <c r="E161" s="80"/>
      <c r="F161" s="80"/>
      <c r="G161" s="80"/>
      <c r="H161" s="80"/>
      <c r="I161" s="177"/>
      <c r="J161" s="80"/>
      <c r="K161" s="80"/>
      <c r="L161" s="177"/>
      <c r="M161" s="111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177"/>
      <c r="Y161" s="80"/>
      <c r="Z161" s="80"/>
      <c r="AA161" s="177"/>
      <c r="AB161" s="177"/>
      <c r="AC161" s="111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</row>
    <row r="162" spans="1:64">
      <c r="A162" s="80"/>
      <c r="B162" s="80"/>
      <c r="C162" s="80"/>
      <c r="D162" s="80"/>
      <c r="E162" s="80"/>
      <c r="F162" s="80"/>
      <c r="G162" s="80"/>
      <c r="H162" s="80"/>
      <c r="I162" s="177"/>
      <c r="J162" s="80"/>
      <c r="K162" s="80"/>
      <c r="L162" s="177"/>
      <c r="M162" s="111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177"/>
      <c r="Y162" s="80"/>
      <c r="Z162" s="80"/>
      <c r="AA162" s="177"/>
      <c r="AB162" s="177"/>
      <c r="AC162" s="111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</row>
    <row r="163" spans="1:64">
      <c r="A163" s="80"/>
      <c r="B163" s="80"/>
      <c r="C163" s="80"/>
      <c r="D163" s="80"/>
      <c r="E163" s="80"/>
      <c r="F163" s="80"/>
      <c r="G163" s="80"/>
      <c r="H163" s="80"/>
      <c r="I163" s="177"/>
      <c r="J163" s="80"/>
      <c r="K163" s="80"/>
      <c r="L163" s="177"/>
      <c r="M163" s="111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177"/>
      <c r="Y163" s="80"/>
      <c r="Z163" s="80"/>
      <c r="AA163" s="177"/>
      <c r="AB163" s="177"/>
      <c r="AC163" s="111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</row>
    <row r="164" spans="1:64">
      <c r="A164" s="80"/>
      <c r="B164" s="80"/>
      <c r="C164" s="80"/>
      <c r="D164" s="80"/>
      <c r="E164" s="80"/>
      <c r="F164" s="80"/>
      <c r="G164" s="80"/>
      <c r="H164" s="80"/>
      <c r="I164" s="177"/>
      <c r="J164" s="80"/>
      <c r="K164" s="80"/>
      <c r="L164" s="177"/>
      <c r="M164" s="111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177"/>
      <c r="Y164" s="80"/>
      <c r="Z164" s="80"/>
      <c r="AA164" s="177"/>
      <c r="AB164" s="177"/>
      <c r="AC164" s="111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</row>
    <row r="165" spans="1:64">
      <c r="A165" s="80"/>
      <c r="B165" s="80"/>
      <c r="C165" s="80"/>
      <c r="D165" s="80"/>
      <c r="E165" s="80"/>
      <c r="F165" s="80"/>
      <c r="G165" s="80"/>
      <c r="H165" s="80"/>
      <c r="I165" s="177"/>
      <c r="J165" s="80"/>
      <c r="K165" s="80"/>
      <c r="L165" s="177"/>
      <c r="M165" s="111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177"/>
      <c r="Y165" s="80"/>
      <c r="Z165" s="80"/>
      <c r="AA165" s="177"/>
      <c r="AB165" s="177"/>
      <c r="AC165" s="111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</row>
    <row r="166" spans="1:64">
      <c r="A166" s="80"/>
      <c r="B166" s="80"/>
      <c r="C166" s="80"/>
      <c r="D166" s="80"/>
      <c r="E166" s="80"/>
      <c r="F166" s="80"/>
      <c r="G166" s="80"/>
      <c r="H166" s="80"/>
      <c r="I166" s="177"/>
      <c r="J166" s="80"/>
      <c r="K166" s="80"/>
      <c r="L166" s="177"/>
      <c r="M166" s="111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177"/>
      <c r="Y166" s="80"/>
      <c r="Z166" s="80"/>
      <c r="AA166" s="177"/>
      <c r="AB166" s="177"/>
      <c r="AC166" s="111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</row>
    <row r="167" spans="1:64">
      <c r="A167" s="80"/>
      <c r="B167" s="80"/>
      <c r="C167" s="80"/>
      <c r="D167" s="80"/>
      <c r="E167" s="80"/>
      <c r="F167" s="80"/>
      <c r="G167" s="80"/>
      <c r="H167" s="80"/>
      <c r="I167" s="177"/>
      <c r="J167" s="80"/>
      <c r="K167" s="80"/>
      <c r="L167" s="177"/>
      <c r="M167" s="111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177"/>
      <c r="Y167" s="80"/>
      <c r="Z167" s="80"/>
      <c r="AA167" s="177"/>
      <c r="AB167" s="177"/>
      <c r="AC167" s="111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</row>
    <row r="168" spans="1:64">
      <c r="A168" s="80"/>
      <c r="B168" s="80"/>
      <c r="C168" s="80"/>
      <c r="D168" s="80"/>
      <c r="E168" s="80"/>
      <c r="F168" s="80"/>
      <c r="G168" s="80"/>
      <c r="H168" s="80"/>
      <c r="I168" s="177"/>
      <c r="J168" s="80"/>
      <c r="K168" s="80"/>
      <c r="L168" s="177"/>
      <c r="M168" s="111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177"/>
      <c r="Y168" s="80"/>
      <c r="Z168" s="80"/>
      <c r="AA168" s="177"/>
      <c r="AB168" s="177"/>
      <c r="AC168" s="111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</row>
    <row r="169" spans="1:64">
      <c r="A169" s="80"/>
      <c r="B169" s="80"/>
      <c r="C169" s="80"/>
      <c r="D169" s="80"/>
      <c r="E169" s="80"/>
      <c r="F169" s="80"/>
      <c r="G169" s="80"/>
      <c r="H169" s="80"/>
      <c r="I169" s="177"/>
      <c r="J169" s="80"/>
      <c r="K169" s="80"/>
      <c r="L169" s="177"/>
      <c r="M169" s="111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177"/>
      <c r="Y169" s="80"/>
      <c r="Z169" s="80"/>
      <c r="AA169" s="177"/>
      <c r="AB169" s="177"/>
      <c r="AC169" s="111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</row>
    <row r="170" spans="1:64">
      <c r="A170" s="80"/>
      <c r="B170" s="80"/>
      <c r="C170" s="80"/>
      <c r="D170" s="80"/>
      <c r="E170" s="80"/>
      <c r="F170" s="80"/>
      <c r="G170" s="80"/>
      <c r="H170" s="80"/>
      <c r="I170" s="177"/>
      <c r="J170" s="80"/>
      <c r="K170" s="80"/>
      <c r="L170" s="177"/>
      <c r="M170" s="111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177"/>
      <c r="Y170" s="80"/>
      <c r="Z170" s="80"/>
      <c r="AA170" s="177"/>
      <c r="AB170" s="177"/>
      <c r="AC170" s="111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</row>
    <row r="171" spans="1:64">
      <c r="A171" s="80"/>
      <c r="B171" s="80"/>
      <c r="C171" s="80"/>
      <c r="D171" s="80"/>
      <c r="E171" s="80"/>
      <c r="F171" s="80"/>
      <c r="G171" s="80"/>
      <c r="H171" s="80"/>
      <c r="I171" s="177"/>
      <c r="J171" s="80"/>
      <c r="K171" s="80"/>
      <c r="L171" s="177"/>
      <c r="M171" s="111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177"/>
      <c r="Y171" s="80"/>
      <c r="Z171" s="80"/>
      <c r="AA171" s="177"/>
      <c r="AB171" s="177"/>
      <c r="AC171" s="111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</row>
    <row r="172" spans="1:64">
      <c r="A172" s="80"/>
      <c r="B172" s="80"/>
      <c r="C172" s="80"/>
      <c r="D172" s="80"/>
      <c r="E172" s="80"/>
      <c r="F172" s="80"/>
      <c r="G172" s="80"/>
      <c r="H172" s="80"/>
      <c r="I172" s="177"/>
      <c r="J172" s="80"/>
      <c r="K172" s="80"/>
      <c r="L172" s="177"/>
      <c r="M172" s="111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177"/>
      <c r="Y172" s="80"/>
      <c r="Z172" s="80"/>
      <c r="AA172" s="177"/>
      <c r="AB172" s="177"/>
      <c r="AC172" s="111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</row>
    <row r="173" spans="1:64">
      <c r="A173" s="80"/>
      <c r="B173" s="80"/>
      <c r="C173" s="80"/>
      <c r="D173" s="80"/>
      <c r="E173" s="80"/>
      <c r="F173" s="80"/>
      <c r="G173" s="80"/>
      <c r="H173" s="80"/>
      <c r="I173" s="177"/>
      <c r="J173" s="80"/>
      <c r="K173" s="80"/>
      <c r="L173" s="177"/>
      <c r="M173" s="111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177"/>
      <c r="Y173" s="80"/>
      <c r="Z173" s="80"/>
      <c r="AA173" s="177"/>
      <c r="AB173" s="177"/>
      <c r="AC173" s="111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</row>
    <row r="174" spans="1:64">
      <c r="A174" s="80"/>
      <c r="B174" s="80"/>
      <c r="C174" s="80"/>
      <c r="D174" s="80"/>
      <c r="E174" s="80"/>
      <c r="F174" s="80"/>
      <c r="G174" s="80"/>
      <c r="H174" s="80"/>
      <c r="I174" s="177"/>
      <c r="J174" s="80"/>
      <c r="K174" s="80"/>
      <c r="L174" s="177"/>
      <c r="M174" s="111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177"/>
      <c r="Y174" s="80"/>
      <c r="Z174" s="80"/>
      <c r="AA174" s="177"/>
      <c r="AB174" s="177"/>
      <c r="AC174" s="111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</row>
    <row r="175" spans="1:64">
      <c r="A175" s="80"/>
      <c r="B175" s="80"/>
      <c r="C175" s="80"/>
      <c r="D175" s="80"/>
      <c r="E175" s="80"/>
      <c r="F175" s="80"/>
      <c r="G175" s="80"/>
      <c r="H175" s="80"/>
      <c r="I175" s="177"/>
      <c r="J175" s="80"/>
      <c r="K175" s="80"/>
      <c r="L175" s="177"/>
      <c r="M175" s="111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177"/>
      <c r="Y175" s="80"/>
      <c r="Z175" s="80"/>
      <c r="AA175" s="177"/>
      <c r="AB175" s="177"/>
      <c r="AC175" s="111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</row>
    <row r="176" spans="1:64">
      <c r="A176" s="80"/>
      <c r="B176" s="80"/>
      <c r="C176" s="80"/>
      <c r="D176" s="80"/>
      <c r="E176" s="80"/>
      <c r="F176" s="80"/>
      <c r="G176" s="80"/>
      <c r="H176" s="80"/>
      <c r="I176" s="177"/>
      <c r="J176" s="80"/>
      <c r="K176" s="80"/>
      <c r="L176" s="177"/>
      <c r="M176" s="111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177"/>
      <c r="Y176" s="80"/>
      <c r="Z176" s="80"/>
      <c r="AA176" s="177"/>
      <c r="AB176" s="177"/>
      <c r="AC176" s="111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</row>
    <row r="177" spans="1:64">
      <c r="A177" s="80"/>
      <c r="B177" s="80"/>
      <c r="C177" s="80"/>
      <c r="D177" s="80"/>
      <c r="E177" s="80"/>
      <c r="F177" s="80"/>
      <c r="G177" s="80"/>
      <c r="H177" s="80"/>
      <c r="I177" s="177"/>
      <c r="J177" s="80"/>
      <c r="K177" s="80"/>
      <c r="L177" s="177"/>
      <c r="M177" s="111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177"/>
      <c r="Y177" s="80"/>
      <c r="Z177" s="80"/>
      <c r="AA177" s="177"/>
      <c r="AB177" s="177"/>
      <c r="AC177" s="111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</row>
    <row r="178" spans="1:64">
      <c r="A178" s="80"/>
      <c r="B178" s="80"/>
      <c r="C178" s="80"/>
      <c r="D178" s="80"/>
      <c r="E178" s="80"/>
      <c r="F178" s="80"/>
      <c r="G178" s="80"/>
      <c r="H178" s="80"/>
      <c r="I178" s="177"/>
      <c r="J178" s="80"/>
      <c r="K178" s="80"/>
      <c r="L178" s="177"/>
      <c r="M178" s="111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177"/>
      <c r="Y178" s="80"/>
      <c r="Z178" s="80"/>
      <c r="AA178" s="177"/>
      <c r="AB178" s="177"/>
      <c r="AC178" s="111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</row>
    <row r="179" spans="1:64">
      <c r="A179" s="80"/>
      <c r="B179" s="80"/>
      <c r="C179" s="80"/>
      <c r="D179" s="80"/>
      <c r="E179" s="80"/>
      <c r="F179" s="80"/>
      <c r="G179" s="80"/>
      <c r="H179" s="80"/>
      <c r="I179" s="177"/>
      <c r="J179" s="80"/>
      <c r="K179" s="80"/>
      <c r="L179" s="177"/>
      <c r="M179" s="111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177"/>
      <c r="Y179" s="80"/>
      <c r="Z179" s="80"/>
      <c r="AA179" s="177"/>
      <c r="AB179" s="177"/>
      <c r="AC179" s="111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</row>
    <row r="180" spans="1:64">
      <c r="A180" s="80"/>
      <c r="B180" s="80"/>
      <c r="C180" s="80"/>
      <c r="D180" s="80"/>
      <c r="E180" s="80"/>
      <c r="F180" s="80"/>
      <c r="G180" s="80"/>
      <c r="H180" s="80"/>
      <c r="I180" s="177"/>
      <c r="J180" s="80"/>
      <c r="K180" s="80"/>
      <c r="L180" s="177"/>
      <c r="M180" s="111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177"/>
      <c r="Y180" s="80"/>
      <c r="Z180" s="80"/>
      <c r="AA180" s="177"/>
      <c r="AB180" s="177"/>
      <c r="AC180" s="111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</row>
    <row r="181" spans="1:64">
      <c r="A181" s="80"/>
      <c r="B181" s="80"/>
      <c r="C181" s="80"/>
      <c r="D181" s="80"/>
      <c r="E181" s="80"/>
      <c r="F181" s="80"/>
      <c r="G181" s="80"/>
      <c r="H181" s="80"/>
      <c r="I181" s="177"/>
      <c r="J181" s="80"/>
      <c r="K181" s="80"/>
      <c r="L181" s="177"/>
      <c r="M181" s="111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177"/>
      <c r="Y181" s="80"/>
      <c r="Z181" s="80"/>
      <c r="AA181" s="177"/>
      <c r="AB181" s="177"/>
      <c r="AC181" s="111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</row>
    <row r="182" spans="1:64">
      <c r="A182" s="80"/>
      <c r="B182" s="80"/>
      <c r="C182" s="80"/>
      <c r="D182" s="80"/>
      <c r="E182" s="80"/>
      <c r="F182" s="80"/>
      <c r="G182" s="80"/>
      <c r="H182" s="80"/>
      <c r="I182" s="177"/>
      <c r="J182" s="80"/>
      <c r="K182" s="80"/>
      <c r="L182" s="177"/>
      <c r="M182" s="111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177"/>
      <c r="Y182" s="80"/>
      <c r="Z182" s="80"/>
      <c r="AA182" s="177"/>
      <c r="AB182" s="177"/>
      <c r="AC182" s="111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</row>
    <row r="183" spans="1:64">
      <c r="A183" s="80"/>
      <c r="B183" s="80"/>
      <c r="C183" s="80"/>
      <c r="D183" s="80"/>
      <c r="E183" s="80"/>
      <c r="F183" s="80"/>
      <c r="G183" s="80"/>
      <c r="H183" s="80"/>
      <c r="I183" s="177"/>
      <c r="J183" s="80"/>
      <c r="K183" s="80"/>
      <c r="L183" s="177"/>
      <c r="M183" s="111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177"/>
      <c r="Y183" s="80"/>
      <c r="Z183" s="80"/>
      <c r="AA183" s="177"/>
      <c r="AB183" s="177"/>
      <c r="AC183" s="111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</row>
    <row r="184" spans="1:64">
      <c r="A184" s="80"/>
      <c r="B184" s="80"/>
      <c r="C184" s="80"/>
      <c r="D184" s="80"/>
      <c r="E184" s="80"/>
      <c r="F184" s="80"/>
      <c r="G184" s="80"/>
      <c r="H184" s="80"/>
      <c r="I184" s="177"/>
      <c r="J184" s="80"/>
      <c r="K184" s="80"/>
      <c r="L184" s="177"/>
      <c r="M184" s="111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177"/>
      <c r="Y184" s="80"/>
      <c r="Z184" s="80"/>
      <c r="AA184" s="177"/>
      <c r="AB184" s="177"/>
      <c r="AC184" s="111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</row>
    <row r="185" spans="1:64">
      <c r="A185" s="80"/>
      <c r="B185" s="80"/>
      <c r="C185" s="80"/>
      <c r="D185" s="80"/>
      <c r="E185" s="80"/>
      <c r="F185" s="80"/>
      <c r="G185" s="80"/>
      <c r="H185" s="80"/>
      <c r="I185" s="177"/>
      <c r="J185" s="80"/>
      <c r="K185" s="80"/>
      <c r="L185" s="177"/>
      <c r="M185" s="111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177"/>
      <c r="Y185" s="80"/>
      <c r="Z185" s="80"/>
      <c r="AA185" s="177"/>
      <c r="AB185" s="177"/>
      <c r="AC185" s="111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</row>
    <row r="186" spans="1:64">
      <c r="A186" s="80"/>
      <c r="B186" s="80"/>
      <c r="C186" s="80"/>
      <c r="D186" s="80"/>
      <c r="E186" s="80"/>
      <c r="F186" s="80"/>
      <c r="G186" s="80"/>
      <c r="H186" s="80"/>
      <c r="I186" s="177"/>
      <c r="J186" s="80"/>
      <c r="K186" s="80"/>
      <c r="L186" s="177"/>
      <c r="M186" s="111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177"/>
      <c r="Y186" s="80"/>
      <c r="Z186" s="80"/>
      <c r="AA186" s="177"/>
      <c r="AB186" s="177"/>
      <c r="AC186" s="111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</row>
    <row r="187" spans="1:64">
      <c r="A187" s="80"/>
      <c r="B187" s="80"/>
      <c r="C187" s="80"/>
      <c r="D187" s="80"/>
      <c r="E187" s="80"/>
      <c r="F187" s="80"/>
      <c r="G187" s="80"/>
      <c r="H187" s="80"/>
      <c r="I187" s="177"/>
      <c r="J187" s="80"/>
      <c r="K187" s="80"/>
      <c r="L187" s="177"/>
      <c r="M187" s="111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177"/>
      <c r="Y187" s="80"/>
      <c r="Z187" s="80"/>
      <c r="AA187" s="177"/>
      <c r="AB187" s="177"/>
      <c r="AC187" s="111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</row>
    <row r="188" spans="1:64">
      <c r="A188" s="80"/>
      <c r="B188" s="80"/>
      <c r="C188" s="80"/>
      <c r="D188" s="80"/>
      <c r="E188" s="80"/>
      <c r="F188" s="80"/>
      <c r="G188" s="80"/>
      <c r="H188" s="80"/>
      <c r="I188" s="177"/>
      <c r="J188" s="80"/>
      <c r="K188" s="80"/>
      <c r="L188" s="177"/>
      <c r="M188" s="111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177"/>
      <c r="Y188" s="80"/>
      <c r="Z188" s="80"/>
      <c r="AA188" s="177"/>
      <c r="AB188" s="177"/>
      <c r="AC188" s="111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</row>
    <row r="189" spans="1:64">
      <c r="A189" s="80"/>
      <c r="B189" s="80"/>
      <c r="C189" s="80"/>
      <c r="D189" s="80"/>
      <c r="E189" s="80"/>
      <c r="F189" s="80"/>
      <c r="G189" s="80"/>
      <c r="H189" s="80"/>
      <c r="I189" s="177"/>
      <c r="J189" s="80"/>
      <c r="K189" s="80"/>
      <c r="L189" s="177"/>
      <c r="M189" s="111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177"/>
      <c r="Y189" s="80"/>
      <c r="Z189" s="80"/>
      <c r="AA189" s="177"/>
      <c r="AB189" s="177"/>
      <c r="AC189" s="111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</row>
    <row r="190" spans="1:64">
      <c r="A190" s="80"/>
      <c r="B190" s="80"/>
      <c r="C190" s="80"/>
      <c r="D190" s="80"/>
      <c r="E190" s="80"/>
      <c r="F190" s="80"/>
      <c r="G190" s="80"/>
      <c r="H190" s="80"/>
      <c r="I190" s="177"/>
      <c r="J190" s="80"/>
      <c r="K190" s="80"/>
      <c r="L190" s="177"/>
      <c r="M190" s="111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177"/>
      <c r="Y190" s="80"/>
      <c r="Z190" s="80"/>
      <c r="AA190" s="177"/>
      <c r="AB190" s="177"/>
      <c r="AC190" s="111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</row>
    <row r="191" spans="1:64">
      <c r="A191" s="80"/>
      <c r="B191" s="80"/>
      <c r="C191" s="80"/>
      <c r="D191" s="80"/>
      <c r="E191" s="80"/>
      <c r="F191" s="80"/>
      <c r="G191" s="80"/>
      <c r="H191" s="80"/>
      <c r="I191" s="177"/>
      <c r="J191" s="80"/>
      <c r="K191" s="80"/>
      <c r="L191" s="177"/>
      <c r="M191" s="111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177"/>
      <c r="Y191" s="80"/>
      <c r="Z191" s="80"/>
      <c r="AA191" s="177"/>
      <c r="AB191" s="177"/>
      <c r="AC191" s="111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</row>
    <row r="192" spans="1:64">
      <c r="A192" s="80"/>
      <c r="B192" s="80"/>
      <c r="C192" s="80"/>
      <c r="D192" s="80"/>
      <c r="E192" s="80"/>
      <c r="F192" s="80"/>
      <c r="G192" s="80"/>
      <c r="H192" s="80"/>
      <c r="I192" s="177"/>
      <c r="J192" s="80"/>
      <c r="K192" s="80"/>
      <c r="L192" s="177"/>
      <c r="M192" s="111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177"/>
      <c r="Y192" s="80"/>
      <c r="Z192" s="80"/>
      <c r="AA192" s="177"/>
      <c r="AB192" s="177"/>
      <c r="AC192" s="111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</row>
    <row r="193" spans="1:64">
      <c r="A193" s="80"/>
      <c r="B193" s="80"/>
      <c r="C193" s="80"/>
      <c r="D193" s="80"/>
      <c r="E193" s="80"/>
      <c r="F193" s="80"/>
      <c r="G193" s="80"/>
      <c r="H193" s="80"/>
      <c r="I193" s="177"/>
      <c r="J193" s="80"/>
      <c r="K193" s="80"/>
      <c r="L193" s="177"/>
      <c r="M193" s="111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177"/>
      <c r="Y193" s="80"/>
      <c r="Z193" s="80"/>
      <c r="AA193" s="177"/>
      <c r="AB193" s="177"/>
      <c r="AC193" s="111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</row>
    <row r="194" spans="1:64">
      <c r="A194" s="80"/>
      <c r="B194" s="80"/>
      <c r="C194" s="80"/>
      <c r="D194" s="80"/>
      <c r="E194" s="80"/>
      <c r="F194" s="80"/>
      <c r="G194" s="80"/>
      <c r="H194" s="80"/>
      <c r="I194" s="177"/>
      <c r="J194" s="80"/>
      <c r="K194" s="80"/>
      <c r="L194" s="177"/>
      <c r="M194" s="111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177"/>
      <c r="Y194" s="80"/>
      <c r="Z194" s="80"/>
      <c r="AA194" s="177"/>
      <c r="AB194" s="177"/>
      <c r="AC194" s="111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</row>
    <row r="195" spans="1:64">
      <c r="A195" s="80"/>
      <c r="B195" s="80"/>
      <c r="C195" s="80"/>
      <c r="D195" s="80"/>
      <c r="E195" s="80"/>
      <c r="F195" s="80"/>
      <c r="G195" s="80"/>
      <c r="H195" s="80"/>
      <c r="I195" s="177"/>
      <c r="J195" s="80"/>
      <c r="K195" s="80"/>
      <c r="L195" s="177"/>
      <c r="M195" s="111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177"/>
      <c r="Y195" s="80"/>
      <c r="Z195" s="80"/>
      <c r="AA195" s="177"/>
      <c r="AB195" s="177"/>
      <c r="AC195" s="111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</row>
    <row r="196" spans="1:64">
      <c r="A196" s="80"/>
      <c r="B196" s="80"/>
      <c r="C196" s="80"/>
      <c r="D196" s="80"/>
      <c r="E196" s="80"/>
      <c r="F196" s="80"/>
      <c r="G196" s="80"/>
      <c r="H196" s="80"/>
      <c r="I196" s="177"/>
      <c r="J196" s="80"/>
      <c r="K196" s="80"/>
      <c r="L196" s="177"/>
      <c r="M196" s="111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177"/>
      <c r="Y196" s="80"/>
      <c r="Z196" s="80"/>
      <c r="AA196" s="177"/>
      <c r="AB196" s="177"/>
      <c r="AC196" s="111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</row>
    <row r="197" spans="1:64">
      <c r="A197" s="80"/>
      <c r="B197" s="80"/>
      <c r="C197" s="80"/>
      <c r="D197" s="80"/>
      <c r="E197" s="80"/>
      <c r="F197" s="80"/>
      <c r="G197" s="80"/>
      <c r="H197" s="80"/>
      <c r="I197" s="177"/>
      <c r="J197" s="80"/>
      <c r="K197" s="80"/>
      <c r="L197" s="177"/>
      <c r="M197" s="111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177"/>
      <c r="Y197" s="80"/>
      <c r="Z197" s="80"/>
      <c r="AA197" s="177"/>
      <c r="AB197" s="177"/>
      <c r="AC197" s="111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</row>
    <row r="198" spans="1:64">
      <c r="A198" s="80"/>
      <c r="B198" s="80"/>
      <c r="C198" s="80"/>
      <c r="D198" s="80"/>
      <c r="E198" s="80"/>
      <c r="F198" s="80"/>
      <c r="G198" s="80"/>
      <c r="H198" s="80"/>
      <c r="I198" s="177"/>
      <c r="J198" s="80"/>
      <c r="K198" s="80"/>
      <c r="L198" s="177"/>
      <c r="M198" s="111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177"/>
      <c r="Y198" s="80"/>
      <c r="Z198" s="80"/>
      <c r="AA198" s="177"/>
      <c r="AB198" s="177"/>
      <c r="AC198" s="111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</row>
    <row r="199" spans="1:64">
      <c r="A199" s="80"/>
      <c r="B199" s="80"/>
      <c r="C199" s="80"/>
      <c r="D199" s="80"/>
      <c r="E199" s="80"/>
      <c r="F199" s="80"/>
      <c r="G199" s="80"/>
      <c r="H199" s="80"/>
      <c r="I199" s="177"/>
      <c r="J199" s="80"/>
      <c r="K199" s="80"/>
      <c r="L199" s="177"/>
      <c r="M199" s="111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177"/>
      <c r="Y199" s="80"/>
      <c r="Z199" s="80"/>
      <c r="AA199" s="177"/>
      <c r="AB199" s="177"/>
      <c r="AC199" s="111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</row>
    <row r="200" spans="1:64">
      <c r="A200" s="80"/>
      <c r="B200" s="80"/>
      <c r="C200" s="80"/>
      <c r="D200" s="80"/>
      <c r="E200" s="80"/>
      <c r="F200" s="80"/>
      <c r="G200" s="80"/>
      <c r="H200" s="80"/>
      <c r="I200" s="177"/>
      <c r="J200" s="80"/>
      <c r="K200" s="80"/>
      <c r="L200" s="177"/>
      <c r="M200" s="111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177"/>
      <c r="Y200" s="80"/>
      <c r="Z200" s="80"/>
      <c r="AA200" s="177"/>
      <c r="AB200" s="177"/>
      <c r="AC200" s="111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</row>
    <row r="201" spans="1:64">
      <c r="A201" s="80"/>
      <c r="B201" s="80"/>
      <c r="C201" s="80"/>
      <c r="D201" s="80"/>
      <c r="E201" s="80"/>
      <c r="F201" s="80"/>
      <c r="G201" s="80"/>
      <c r="H201" s="80"/>
      <c r="I201" s="177"/>
      <c r="J201" s="80"/>
      <c r="K201" s="80"/>
      <c r="L201" s="177"/>
      <c r="M201" s="111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177"/>
      <c r="Y201" s="80"/>
      <c r="Z201" s="80"/>
      <c r="AA201" s="177"/>
      <c r="AB201" s="177"/>
      <c r="AC201" s="111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</row>
    <row r="202" spans="1:64">
      <c r="A202" s="80"/>
      <c r="B202" s="80"/>
      <c r="C202" s="80"/>
      <c r="D202" s="80"/>
      <c r="E202" s="80"/>
      <c r="F202" s="80"/>
      <c r="G202" s="80"/>
      <c r="H202" s="80"/>
      <c r="I202" s="177"/>
      <c r="J202" s="80"/>
      <c r="K202" s="80"/>
      <c r="L202" s="177"/>
      <c r="M202" s="111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177"/>
      <c r="Y202" s="80"/>
      <c r="Z202" s="80"/>
      <c r="AA202" s="177"/>
      <c r="AB202" s="177"/>
      <c r="AC202" s="111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</row>
    <row r="203" spans="1:64">
      <c r="A203" s="80"/>
      <c r="B203" s="80"/>
      <c r="C203" s="80"/>
      <c r="D203" s="80"/>
      <c r="E203" s="80"/>
      <c r="F203" s="80"/>
      <c r="G203" s="80"/>
      <c r="H203" s="80"/>
      <c r="I203" s="177"/>
      <c r="J203" s="80"/>
      <c r="K203" s="80"/>
      <c r="L203" s="177"/>
      <c r="M203" s="111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177"/>
      <c r="Y203" s="80"/>
      <c r="Z203" s="80"/>
      <c r="AA203" s="177"/>
      <c r="AB203" s="177"/>
      <c r="AC203" s="111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</row>
    <row r="204" spans="1:64">
      <c r="A204" s="80"/>
      <c r="B204" s="80"/>
      <c r="C204" s="80"/>
      <c r="D204" s="80"/>
      <c r="E204" s="80"/>
      <c r="F204" s="80"/>
      <c r="G204" s="80"/>
      <c r="H204" s="80"/>
      <c r="I204" s="177"/>
      <c r="J204" s="80"/>
      <c r="K204" s="80"/>
      <c r="L204" s="177"/>
      <c r="M204" s="111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177"/>
      <c r="Y204" s="80"/>
      <c r="Z204" s="80"/>
      <c r="AA204" s="177"/>
      <c r="AB204" s="177"/>
      <c r="AC204" s="111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</row>
    <row r="205" spans="1:64">
      <c r="A205" s="80"/>
      <c r="B205" s="80"/>
      <c r="C205" s="80"/>
      <c r="D205" s="80"/>
      <c r="E205" s="80"/>
      <c r="F205" s="80"/>
      <c r="G205" s="80"/>
      <c r="H205" s="80"/>
      <c r="I205" s="177"/>
      <c r="J205" s="80"/>
      <c r="K205" s="80"/>
      <c r="L205" s="177"/>
      <c r="M205" s="111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177"/>
      <c r="Y205" s="80"/>
      <c r="Z205" s="80"/>
      <c r="AA205" s="177"/>
      <c r="AB205" s="177"/>
      <c r="AC205" s="111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</row>
    <row r="206" spans="1:64">
      <c r="A206" s="80"/>
      <c r="B206" s="80"/>
      <c r="C206" s="80"/>
      <c r="D206" s="80"/>
      <c r="E206" s="80"/>
      <c r="F206" s="80"/>
      <c r="G206" s="80"/>
      <c r="H206" s="80"/>
      <c r="I206" s="177"/>
      <c r="J206" s="80"/>
      <c r="K206" s="80"/>
      <c r="L206" s="177"/>
      <c r="M206" s="111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177"/>
      <c r="Y206" s="80"/>
      <c r="Z206" s="80"/>
      <c r="AA206" s="177"/>
      <c r="AB206" s="177"/>
      <c r="AC206" s="111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</row>
    <row r="207" spans="1:64">
      <c r="A207" s="80"/>
      <c r="B207" s="80"/>
      <c r="C207" s="80"/>
      <c r="D207" s="80"/>
      <c r="E207" s="80"/>
      <c r="F207" s="80"/>
      <c r="G207" s="80"/>
      <c r="H207" s="80"/>
      <c r="I207" s="177"/>
      <c r="J207" s="80"/>
      <c r="K207" s="80"/>
      <c r="L207" s="177"/>
      <c r="M207" s="111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177"/>
      <c r="Y207" s="80"/>
      <c r="Z207" s="80"/>
      <c r="AA207" s="177"/>
      <c r="AB207" s="177"/>
      <c r="AC207" s="111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</row>
    <row r="208" spans="1:64">
      <c r="A208" s="80"/>
      <c r="B208" s="80"/>
      <c r="C208" s="80"/>
      <c r="D208" s="80"/>
      <c r="E208" s="80"/>
      <c r="F208" s="80"/>
      <c r="G208" s="80"/>
      <c r="H208" s="80"/>
      <c r="I208" s="177"/>
      <c r="J208" s="80"/>
      <c r="K208" s="80"/>
      <c r="L208" s="177"/>
      <c r="M208" s="111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177"/>
      <c r="Y208" s="80"/>
      <c r="Z208" s="80"/>
      <c r="AA208" s="177"/>
      <c r="AB208" s="177"/>
      <c r="AC208" s="111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</row>
    <row r="209" spans="1:64">
      <c r="A209" s="80"/>
      <c r="B209" s="80"/>
      <c r="C209" s="80"/>
      <c r="D209" s="80"/>
      <c r="E209" s="80"/>
      <c r="F209" s="80"/>
      <c r="G209" s="80"/>
      <c r="H209" s="80"/>
      <c r="I209" s="177"/>
      <c r="J209" s="80"/>
      <c r="K209" s="80"/>
      <c r="L209" s="177"/>
      <c r="M209" s="111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177"/>
      <c r="Y209" s="80"/>
      <c r="Z209" s="80"/>
      <c r="AA209" s="177"/>
      <c r="AB209" s="177"/>
      <c r="AC209" s="111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</row>
    <row r="210" spans="1:64">
      <c r="A210" s="80"/>
      <c r="B210" s="80"/>
      <c r="C210" s="80"/>
      <c r="D210" s="80"/>
      <c r="E210" s="80"/>
      <c r="F210" s="80"/>
      <c r="G210" s="80"/>
      <c r="H210" s="80"/>
      <c r="I210" s="177"/>
      <c r="J210" s="80"/>
      <c r="K210" s="80"/>
      <c r="L210" s="177"/>
      <c r="M210" s="111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177"/>
      <c r="Y210" s="80"/>
      <c r="Z210" s="80"/>
      <c r="AA210" s="177"/>
      <c r="AB210" s="177"/>
      <c r="AC210" s="111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</row>
    <row r="211" spans="1:64">
      <c r="A211" s="80"/>
      <c r="B211" s="80"/>
      <c r="C211" s="80"/>
      <c r="D211" s="80"/>
      <c r="E211" s="80"/>
      <c r="F211" s="80"/>
      <c r="G211" s="80"/>
      <c r="H211" s="80"/>
      <c r="I211" s="177"/>
      <c r="J211" s="80"/>
      <c r="K211" s="80"/>
      <c r="L211" s="177"/>
      <c r="M211" s="111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177"/>
      <c r="Y211" s="80"/>
      <c r="Z211" s="80"/>
      <c r="AA211" s="177"/>
      <c r="AB211" s="177"/>
      <c r="AC211" s="111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</row>
    <row r="212" spans="1:64">
      <c r="A212" s="80"/>
      <c r="B212" s="80"/>
      <c r="C212" s="80"/>
      <c r="D212" s="80"/>
      <c r="E212" s="80"/>
      <c r="F212" s="80"/>
      <c r="G212" s="80"/>
      <c r="H212" s="80"/>
      <c r="I212" s="177"/>
      <c r="J212" s="80"/>
      <c r="K212" s="80"/>
      <c r="L212" s="177"/>
      <c r="M212" s="111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177"/>
      <c r="Y212" s="80"/>
      <c r="Z212" s="80"/>
      <c r="AA212" s="177"/>
      <c r="AB212" s="177"/>
      <c r="AC212" s="111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</row>
    <row r="213" spans="1:64">
      <c r="A213" s="80"/>
      <c r="B213" s="80"/>
      <c r="C213" s="80"/>
      <c r="D213" s="80"/>
      <c r="E213" s="80"/>
      <c r="F213" s="80"/>
      <c r="G213" s="80"/>
      <c r="H213" s="80"/>
      <c r="I213" s="177"/>
      <c r="J213" s="80"/>
      <c r="K213" s="80"/>
      <c r="L213" s="177"/>
      <c r="M213" s="111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177"/>
      <c r="Y213" s="80"/>
      <c r="Z213" s="80"/>
      <c r="AA213" s="177"/>
      <c r="AB213" s="177"/>
      <c r="AC213" s="111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</row>
    <row r="214" spans="1:64">
      <c r="A214" s="80"/>
      <c r="B214" s="80"/>
      <c r="C214" s="80"/>
      <c r="D214" s="80"/>
      <c r="E214" s="80"/>
      <c r="F214" s="80"/>
      <c r="G214" s="80"/>
      <c r="H214" s="80"/>
      <c r="I214" s="177"/>
      <c r="J214" s="80"/>
      <c r="K214" s="80"/>
      <c r="L214" s="177"/>
      <c r="M214" s="111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177"/>
      <c r="Y214" s="80"/>
      <c r="Z214" s="80"/>
      <c r="AA214" s="177"/>
      <c r="AB214" s="177"/>
      <c r="AC214" s="111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</row>
    <row r="215" spans="1:64">
      <c r="A215" s="80"/>
      <c r="B215" s="80"/>
      <c r="C215" s="80"/>
      <c r="D215" s="80"/>
      <c r="E215" s="80"/>
      <c r="F215" s="80"/>
      <c r="G215" s="80"/>
      <c r="H215" s="80"/>
      <c r="I215" s="177"/>
      <c r="J215" s="80"/>
      <c r="K215" s="80"/>
      <c r="L215" s="177"/>
      <c r="M215" s="111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177"/>
      <c r="Y215" s="80"/>
      <c r="Z215" s="80"/>
      <c r="AA215" s="177"/>
      <c r="AB215" s="177"/>
      <c r="AC215" s="111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</row>
    <row r="216" spans="1:64">
      <c r="A216" s="80"/>
      <c r="B216" s="80"/>
      <c r="C216" s="80"/>
      <c r="D216" s="80"/>
      <c r="E216" s="80"/>
      <c r="F216" s="80"/>
      <c r="G216" s="80"/>
      <c r="H216" s="80"/>
      <c r="I216" s="177"/>
      <c r="J216" s="80"/>
      <c r="K216" s="80"/>
      <c r="L216" s="177"/>
      <c r="M216" s="111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177"/>
      <c r="Y216" s="80"/>
      <c r="Z216" s="80"/>
      <c r="AA216" s="177"/>
      <c r="AB216" s="177"/>
      <c r="AC216" s="111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</row>
    <row r="217" spans="1:64">
      <c r="A217" s="80"/>
      <c r="B217" s="80"/>
      <c r="C217" s="80"/>
      <c r="D217" s="80"/>
      <c r="E217" s="80"/>
      <c r="F217" s="80"/>
      <c r="G217" s="80"/>
      <c r="H217" s="80"/>
      <c r="I217" s="177"/>
      <c r="J217" s="80"/>
      <c r="K217" s="80"/>
      <c r="L217" s="177"/>
      <c r="M217" s="111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177"/>
      <c r="Y217" s="80"/>
      <c r="Z217" s="80"/>
      <c r="AA217" s="177"/>
      <c r="AB217" s="177"/>
      <c r="AC217" s="111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</row>
    <row r="218" spans="1:64">
      <c r="A218" s="80"/>
      <c r="B218" s="80"/>
      <c r="C218" s="80"/>
      <c r="D218" s="80"/>
      <c r="E218" s="80"/>
      <c r="F218" s="80"/>
      <c r="G218" s="80"/>
      <c r="H218" s="80"/>
      <c r="I218" s="177"/>
      <c r="J218" s="80"/>
      <c r="K218" s="80"/>
      <c r="L218" s="177"/>
      <c r="M218" s="111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177"/>
      <c r="Y218" s="80"/>
      <c r="Z218" s="80"/>
      <c r="AA218" s="177"/>
      <c r="AB218" s="177"/>
      <c r="AC218" s="111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</row>
    <row r="219" spans="1:64">
      <c r="A219" s="80"/>
      <c r="B219" s="80"/>
      <c r="C219" s="80"/>
      <c r="D219" s="80"/>
      <c r="E219" s="80"/>
      <c r="F219" s="80"/>
      <c r="G219" s="80"/>
      <c r="H219" s="80"/>
      <c r="I219" s="177"/>
      <c r="J219" s="80"/>
      <c r="K219" s="80"/>
      <c r="L219" s="177"/>
      <c r="M219" s="111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177"/>
      <c r="Y219" s="80"/>
      <c r="Z219" s="80"/>
      <c r="AA219" s="177"/>
      <c r="AB219" s="177"/>
      <c r="AC219" s="111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</row>
    <row r="220" spans="1:64">
      <c r="A220" s="80"/>
      <c r="B220" s="80"/>
      <c r="C220" s="80"/>
      <c r="D220" s="80"/>
      <c r="E220" s="80"/>
      <c r="F220" s="80"/>
      <c r="G220" s="80"/>
      <c r="H220" s="80"/>
      <c r="I220" s="177"/>
      <c r="J220" s="80"/>
      <c r="K220" s="80"/>
      <c r="L220" s="177"/>
      <c r="M220" s="111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177"/>
      <c r="Y220" s="80"/>
      <c r="Z220" s="80"/>
      <c r="AA220" s="177"/>
      <c r="AB220" s="177"/>
      <c r="AC220" s="111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</row>
    <row r="221" spans="1:64">
      <c r="A221" s="80"/>
      <c r="B221" s="80"/>
      <c r="C221" s="80"/>
      <c r="D221" s="80"/>
      <c r="E221" s="80"/>
      <c r="F221" s="80"/>
      <c r="G221" s="80"/>
      <c r="H221" s="80"/>
      <c r="I221" s="177"/>
      <c r="J221" s="80"/>
      <c r="K221" s="80"/>
      <c r="L221" s="177"/>
      <c r="M221" s="111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177"/>
      <c r="Y221" s="80"/>
      <c r="Z221" s="80"/>
      <c r="AA221" s="177"/>
      <c r="AB221" s="177"/>
      <c r="AC221" s="111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</row>
    <row r="222" spans="1:64">
      <c r="A222" s="80"/>
      <c r="B222" s="80"/>
      <c r="C222" s="80"/>
      <c r="D222" s="80"/>
      <c r="E222" s="80"/>
      <c r="F222" s="80"/>
      <c r="G222" s="80"/>
      <c r="H222" s="80"/>
      <c r="I222" s="177"/>
      <c r="J222" s="80"/>
      <c r="K222" s="80"/>
      <c r="L222" s="177"/>
      <c r="M222" s="111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177"/>
      <c r="Y222" s="80"/>
      <c r="Z222" s="80"/>
      <c r="AA222" s="177"/>
      <c r="AB222" s="177"/>
      <c r="AC222" s="111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</row>
    <row r="223" spans="1:64">
      <c r="A223" s="80"/>
      <c r="B223" s="80"/>
      <c r="C223" s="80"/>
      <c r="D223" s="80"/>
      <c r="E223" s="80"/>
      <c r="F223" s="80"/>
      <c r="G223" s="80"/>
      <c r="H223" s="80"/>
      <c r="I223" s="177"/>
      <c r="J223" s="80"/>
      <c r="K223" s="80"/>
      <c r="L223" s="177"/>
      <c r="M223" s="111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177"/>
      <c r="Y223" s="80"/>
      <c r="Z223" s="80"/>
      <c r="AA223" s="177"/>
      <c r="AB223" s="177"/>
      <c r="AC223" s="111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</row>
    <row r="224" spans="1:64">
      <c r="A224" s="80"/>
      <c r="B224" s="80"/>
      <c r="C224" s="80"/>
      <c r="D224" s="80"/>
      <c r="E224" s="80"/>
      <c r="F224" s="80"/>
      <c r="G224" s="80"/>
      <c r="H224" s="80"/>
      <c r="I224" s="177"/>
      <c r="J224" s="80"/>
      <c r="K224" s="80"/>
      <c r="L224" s="177"/>
      <c r="M224" s="111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177"/>
      <c r="Y224" s="80"/>
      <c r="Z224" s="80"/>
      <c r="AA224" s="177"/>
      <c r="AB224" s="177"/>
      <c r="AC224" s="111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</row>
    <row r="225" spans="1:64">
      <c r="A225" s="80"/>
      <c r="B225" s="80"/>
      <c r="C225" s="80"/>
      <c r="D225" s="80"/>
      <c r="E225" s="80"/>
      <c r="F225" s="80"/>
      <c r="G225" s="80"/>
      <c r="H225" s="80"/>
      <c r="I225" s="177"/>
      <c r="J225" s="80"/>
      <c r="K225" s="80"/>
      <c r="L225" s="177"/>
      <c r="M225" s="111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177"/>
      <c r="Y225" s="80"/>
      <c r="Z225" s="80"/>
      <c r="AA225" s="177"/>
      <c r="AB225" s="177"/>
      <c r="AC225" s="111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</row>
    <row r="226" spans="1:64">
      <c r="A226" s="80"/>
      <c r="B226" s="80"/>
      <c r="C226" s="80"/>
      <c r="D226" s="80"/>
      <c r="E226" s="80"/>
      <c r="F226" s="80"/>
      <c r="G226" s="80"/>
      <c r="H226" s="80"/>
      <c r="I226" s="177"/>
      <c r="J226" s="80"/>
      <c r="K226" s="80"/>
      <c r="L226" s="177"/>
      <c r="M226" s="111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177"/>
      <c r="Y226" s="80"/>
      <c r="Z226" s="80"/>
      <c r="AA226" s="177"/>
      <c r="AB226" s="177"/>
      <c r="AC226" s="111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</row>
    <row r="227" spans="1:64">
      <c r="A227" s="80"/>
      <c r="B227" s="80"/>
      <c r="C227" s="80"/>
      <c r="D227" s="80"/>
      <c r="E227" s="80"/>
      <c r="F227" s="80"/>
      <c r="G227" s="80"/>
      <c r="H227" s="80"/>
      <c r="I227" s="177"/>
      <c r="J227" s="80"/>
      <c r="K227" s="80"/>
      <c r="L227" s="177"/>
      <c r="M227" s="111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177"/>
      <c r="Y227" s="80"/>
      <c r="Z227" s="80"/>
      <c r="AA227" s="177"/>
      <c r="AB227" s="177"/>
      <c r="AC227" s="111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</row>
    <row r="228" spans="1:64">
      <c r="A228" s="80"/>
      <c r="B228" s="80"/>
      <c r="C228" s="80"/>
      <c r="D228" s="80"/>
      <c r="E228" s="80"/>
      <c r="F228" s="80"/>
      <c r="G228" s="80"/>
      <c r="H228" s="80"/>
      <c r="I228" s="177"/>
      <c r="J228" s="80"/>
      <c r="K228" s="80"/>
      <c r="L228" s="177"/>
      <c r="M228" s="111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177"/>
      <c r="Y228" s="80"/>
      <c r="Z228" s="80"/>
      <c r="AA228" s="177"/>
      <c r="AB228" s="177"/>
      <c r="AC228" s="111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</row>
    <row r="229" spans="1:64">
      <c r="A229" s="80"/>
      <c r="B229" s="80"/>
      <c r="C229" s="80"/>
      <c r="D229" s="80"/>
      <c r="E229" s="80"/>
      <c r="F229" s="80"/>
      <c r="G229" s="80"/>
      <c r="H229" s="80"/>
      <c r="I229" s="177"/>
      <c r="J229" s="80"/>
      <c r="K229" s="80"/>
      <c r="L229" s="177"/>
      <c r="M229" s="111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177"/>
      <c r="Y229" s="80"/>
      <c r="Z229" s="80"/>
      <c r="AA229" s="177"/>
      <c r="AB229" s="177"/>
      <c r="AC229" s="111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</row>
    <row r="230" spans="1:64">
      <c r="A230" s="80"/>
      <c r="B230" s="80"/>
      <c r="C230" s="80"/>
      <c r="D230" s="80"/>
      <c r="E230" s="80"/>
      <c r="F230" s="80"/>
      <c r="G230" s="80"/>
      <c r="H230" s="80"/>
      <c r="I230" s="177"/>
      <c r="J230" s="80"/>
      <c r="K230" s="80"/>
      <c r="L230" s="177"/>
      <c r="M230" s="111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177"/>
      <c r="Y230" s="80"/>
      <c r="Z230" s="80"/>
      <c r="AA230" s="177"/>
      <c r="AB230" s="177"/>
      <c r="AC230" s="111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</row>
    <row r="231" spans="1:64">
      <c r="A231" s="80"/>
      <c r="B231" s="80"/>
      <c r="C231" s="80"/>
      <c r="D231" s="80"/>
      <c r="E231" s="80"/>
      <c r="F231" s="80"/>
      <c r="G231" s="80"/>
      <c r="H231" s="80"/>
      <c r="I231" s="177"/>
      <c r="J231" s="80"/>
      <c r="K231" s="80"/>
      <c r="L231" s="177"/>
      <c r="M231" s="111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177"/>
      <c r="Y231" s="80"/>
      <c r="Z231" s="80"/>
      <c r="AA231" s="177"/>
      <c r="AB231" s="177"/>
      <c r="AC231" s="111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</row>
    <row r="232" spans="1:64">
      <c r="A232" s="80"/>
      <c r="B232" s="80"/>
      <c r="C232" s="80"/>
      <c r="D232" s="80"/>
      <c r="E232" s="80"/>
      <c r="F232" s="80"/>
      <c r="G232" s="80"/>
      <c r="H232" s="80"/>
      <c r="I232" s="177"/>
      <c r="J232" s="80"/>
      <c r="K232" s="80"/>
      <c r="L232" s="177"/>
      <c r="M232" s="111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177"/>
      <c r="Y232" s="80"/>
      <c r="Z232" s="80"/>
      <c r="AA232" s="177"/>
      <c r="AB232" s="177"/>
      <c r="AC232" s="111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</row>
    <row r="233" spans="1:64">
      <c r="A233" s="80"/>
      <c r="B233" s="80"/>
      <c r="C233" s="80"/>
      <c r="D233" s="80"/>
      <c r="E233" s="80"/>
      <c r="F233" s="80"/>
      <c r="G233" s="80"/>
      <c r="H233" s="80"/>
      <c r="I233" s="177"/>
      <c r="J233" s="80"/>
      <c r="K233" s="80"/>
      <c r="L233" s="177"/>
      <c r="M233" s="111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177"/>
      <c r="Y233" s="80"/>
      <c r="Z233" s="80"/>
      <c r="AA233" s="177"/>
      <c r="AB233" s="177"/>
      <c r="AC233" s="111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</row>
    <row r="234" spans="1:64">
      <c r="A234" s="80"/>
      <c r="B234" s="80"/>
      <c r="C234" s="80"/>
      <c r="D234" s="80"/>
      <c r="E234" s="80"/>
      <c r="F234" s="80"/>
      <c r="G234" s="80"/>
      <c r="H234" s="80"/>
      <c r="I234" s="177"/>
      <c r="J234" s="80"/>
      <c r="K234" s="80"/>
      <c r="L234" s="177"/>
      <c r="M234" s="111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177"/>
      <c r="Y234" s="80"/>
      <c r="Z234" s="80"/>
      <c r="AA234" s="177"/>
      <c r="AB234" s="177"/>
      <c r="AC234" s="111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</row>
    <row r="235" spans="1:64">
      <c r="A235" s="80"/>
      <c r="B235" s="80"/>
      <c r="C235" s="80"/>
      <c r="D235" s="80"/>
      <c r="E235" s="80"/>
      <c r="F235" s="80"/>
      <c r="G235" s="80"/>
      <c r="H235" s="80"/>
      <c r="I235" s="177"/>
      <c r="J235" s="80"/>
      <c r="K235" s="80"/>
      <c r="L235" s="177"/>
      <c r="M235" s="111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177"/>
      <c r="Y235" s="80"/>
      <c r="Z235" s="80"/>
      <c r="AA235" s="177"/>
      <c r="AB235" s="177"/>
      <c r="AC235" s="111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</row>
    <row r="236" spans="1:64">
      <c r="A236" s="80"/>
      <c r="B236" s="80"/>
      <c r="C236" s="80"/>
      <c r="D236" s="80"/>
      <c r="E236" s="80"/>
      <c r="F236" s="80"/>
      <c r="G236" s="80"/>
      <c r="H236" s="80"/>
      <c r="I236" s="177"/>
      <c r="J236" s="80"/>
      <c r="K236" s="80"/>
      <c r="L236" s="177"/>
      <c r="M236" s="111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177"/>
      <c r="Y236" s="80"/>
      <c r="Z236" s="80"/>
      <c r="AA236" s="177"/>
      <c r="AB236" s="177"/>
      <c r="AC236" s="111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</row>
    <row r="237" spans="1:64">
      <c r="A237" s="80"/>
      <c r="B237" s="80"/>
      <c r="C237" s="80"/>
      <c r="D237" s="80"/>
      <c r="E237" s="80"/>
      <c r="F237" s="80"/>
      <c r="G237" s="80"/>
      <c r="H237" s="80"/>
      <c r="I237" s="177"/>
      <c r="J237" s="80"/>
      <c r="K237" s="80"/>
      <c r="L237" s="177"/>
      <c r="M237" s="111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177"/>
      <c r="Y237" s="80"/>
      <c r="Z237" s="80"/>
      <c r="AA237" s="177"/>
      <c r="AB237" s="177"/>
      <c r="AC237" s="111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</row>
    <row r="238" spans="1:64">
      <c r="A238" s="80"/>
      <c r="B238" s="80"/>
      <c r="C238" s="80"/>
      <c r="D238" s="80"/>
      <c r="E238" s="80"/>
      <c r="F238" s="80"/>
      <c r="G238" s="80"/>
      <c r="H238" s="80"/>
      <c r="I238" s="177"/>
      <c r="J238" s="80"/>
      <c r="K238" s="80"/>
      <c r="L238" s="177"/>
      <c r="M238" s="111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177"/>
      <c r="Y238" s="80"/>
      <c r="Z238" s="80"/>
      <c r="AA238" s="177"/>
      <c r="AB238" s="177"/>
      <c r="AC238" s="111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</row>
    <row r="239" spans="1:64">
      <c r="A239" s="80"/>
      <c r="B239" s="80"/>
      <c r="C239" s="80"/>
      <c r="D239" s="80"/>
      <c r="E239" s="80"/>
      <c r="F239" s="80"/>
      <c r="G239" s="80"/>
      <c r="H239" s="80"/>
      <c r="I239" s="177"/>
      <c r="J239" s="80"/>
      <c r="K239" s="80"/>
      <c r="L239" s="177"/>
      <c r="M239" s="111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177"/>
      <c r="Y239" s="80"/>
      <c r="Z239" s="80"/>
      <c r="AA239" s="177"/>
      <c r="AB239" s="177"/>
      <c r="AC239" s="111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</row>
    <row r="240" spans="1:64">
      <c r="A240" s="80"/>
      <c r="B240" s="80"/>
      <c r="C240" s="80"/>
      <c r="D240" s="80"/>
      <c r="E240" s="80"/>
      <c r="F240" s="80"/>
      <c r="G240" s="80"/>
      <c r="H240" s="80"/>
      <c r="I240" s="177"/>
      <c r="J240" s="80"/>
      <c r="K240" s="80"/>
      <c r="L240" s="177"/>
      <c r="M240" s="111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177"/>
      <c r="Y240" s="80"/>
      <c r="Z240" s="80"/>
      <c r="AA240" s="177"/>
      <c r="AB240" s="177"/>
      <c r="AC240" s="111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</row>
    <row r="241" spans="1:64">
      <c r="A241" s="80"/>
      <c r="B241" s="80"/>
      <c r="C241" s="80"/>
      <c r="D241" s="80"/>
      <c r="E241" s="80"/>
      <c r="F241" s="80"/>
      <c r="G241" s="80"/>
      <c r="H241" s="80"/>
      <c r="I241" s="177"/>
      <c r="J241" s="80"/>
      <c r="K241" s="80"/>
      <c r="L241" s="177"/>
      <c r="M241" s="111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177"/>
      <c r="Y241" s="80"/>
      <c r="Z241" s="80"/>
      <c r="AA241" s="177"/>
      <c r="AB241" s="177"/>
      <c r="AC241" s="111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</row>
    <row r="242" spans="1:64">
      <c r="A242" s="80"/>
      <c r="B242" s="80"/>
      <c r="C242" s="80"/>
      <c r="D242" s="80"/>
      <c r="E242" s="80"/>
      <c r="F242" s="80"/>
      <c r="G242" s="80"/>
      <c r="H242" s="80"/>
      <c r="I242" s="177"/>
      <c r="J242" s="80"/>
      <c r="K242" s="80"/>
      <c r="L242" s="177"/>
      <c r="M242" s="111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177"/>
      <c r="Y242" s="80"/>
      <c r="Z242" s="80"/>
      <c r="AA242" s="177"/>
      <c r="AB242" s="177"/>
      <c r="AC242" s="111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</row>
    <row r="243" spans="1:64">
      <c r="A243" s="80"/>
      <c r="B243" s="80"/>
      <c r="C243" s="80"/>
      <c r="D243" s="80"/>
      <c r="E243" s="80"/>
      <c r="F243" s="80"/>
      <c r="G243" s="80"/>
      <c r="H243" s="80"/>
      <c r="I243" s="177"/>
      <c r="J243" s="80"/>
      <c r="K243" s="80"/>
      <c r="L243" s="177"/>
      <c r="M243" s="111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177"/>
      <c r="Y243" s="80"/>
      <c r="Z243" s="80"/>
      <c r="AA243" s="177"/>
      <c r="AB243" s="177"/>
      <c r="AC243" s="111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</row>
    <row r="244" spans="1:64">
      <c r="A244" s="80"/>
      <c r="B244" s="80"/>
      <c r="C244" s="80"/>
      <c r="D244" s="80"/>
      <c r="E244" s="80"/>
      <c r="F244" s="80"/>
      <c r="G244" s="80"/>
      <c r="H244" s="80"/>
      <c r="I244" s="177"/>
      <c r="J244" s="80"/>
      <c r="K244" s="80"/>
      <c r="L244" s="177"/>
      <c r="M244" s="111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177"/>
      <c r="Y244" s="80"/>
      <c r="Z244" s="80"/>
      <c r="AA244" s="177"/>
      <c r="AB244" s="177"/>
      <c r="AC244" s="111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</row>
    <row r="245" spans="1:64">
      <c r="A245" s="80"/>
      <c r="B245" s="80"/>
      <c r="C245" s="80"/>
      <c r="D245" s="80"/>
      <c r="E245" s="80"/>
      <c r="F245" s="80"/>
      <c r="G245" s="80"/>
      <c r="H245" s="80"/>
      <c r="I245" s="177"/>
      <c r="J245" s="80"/>
      <c r="K245" s="80"/>
      <c r="L245" s="177"/>
      <c r="M245" s="111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177"/>
      <c r="Y245" s="80"/>
      <c r="Z245" s="80"/>
      <c r="AA245" s="177"/>
      <c r="AB245" s="177"/>
      <c r="AC245" s="111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</row>
    <row r="246" spans="1:64">
      <c r="A246" s="80"/>
      <c r="B246" s="80"/>
      <c r="C246" s="80"/>
      <c r="D246" s="80"/>
      <c r="E246" s="80"/>
      <c r="F246" s="80"/>
      <c r="G246" s="80"/>
      <c r="H246" s="80"/>
      <c r="I246" s="177"/>
      <c r="J246" s="80"/>
      <c r="K246" s="80"/>
      <c r="L246" s="177"/>
      <c r="M246" s="111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177"/>
      <c r="Y246" s="80"/>
      <c r="Z246" s="80"/>
      <c r="AA246" s="177"/>
      <c r="AB246" s="177"/>
      <c r="AC246" s="111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</row>
    <row r="247" spans="1:64">
      <c r="A247" s="80"/>
      <c r="B247" s="80"/>
      <c r="C247" s="80"/>
      <c r="D247" s="80"/>
      <c r="E247" s="80"/>
      <c r="F247" s="80"/>
      <c r="G247" s="80"/>
      <c r="H247" s="80"/>
      <c r="I247" s="177"/>
      <c r="J247" s="80"/>
      <c r="K247" s="80"/>
      <c r="L247" s="177"/>
      <c r="M247" s="111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177"/>
      <c r="Y247" s="80"/>
      <c r="Z247" s="80"/>
      <c r="AA247" s="177"/>
      <c r="AB247" s="177"/>
      <c r="AC247" s="111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</row>
    <row r="248" spans="1:64">
      <c r="A248" s="80"/>
      <c r="B248" s="80"/>
      <c r="C248" s="80"/>
      <c r="D248" s="80"/>
      <c r="E248" s="80"/>
      <c r="F248" s="80"/>
      <c r="G248" s="80"/>
      <c r="H248" s="80"/>
      <c r="I248" s="177"/>
      <c r="J248" s="80"/>
      <c r="K248" s="80"/>
      <c r="L248" s="177"/>
      <c r="M248" s="111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177"/>
      <c r="Y248" s="80"/>
      <c r="Z248" s="80"/>
      <c r="AA248" s="177"/>
      <c r="AB248" s="177"/>
      <c r="AC248" s="111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</row>
    <row r="249" spans="1:64">
      <c r="A249" s="80"/>
      <c r="B249" s="80"/>
      <c r="C249" s="80"/>
      <c r="D249" s="80"/>
      <c r="E249" s="80"/>
      <c r="F249" s="80"/>
      <c r="G249" s="80"/>
      <c r="H249" s="80"/>
      <c r="I249" s="177"/>
      <c r="J249" s="80"/>
      <c r="K249" s="80"/>
      <c r="L249" s="177"/>
      <c r="M249" s="111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177"/>
      <c r="Y249" s="80"/>
      <c r="Z249" s="80"/>
      <c r="AA249" s="177"/>
      <c r="AB249" s="177"/>
      <c r="AC249" s="111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</row>
    <row r="250" spans="1:64">
      <c r="A250" s="80"/>
      <c r="B250" s="80"/>
      <c r="C250" s="80"/>
      <c r="D250" s="80"/>
      <c r="E250" s="80"/>
      <c r="F250" s="80"/>
      <c r="G250" s="80"/>
      <c r="H250" s="80"/>
      <c r="I250" s="177"/>
      <c r="J250" s="80"/>
      <c r="K250" s="80"/>
      <c r="L250" s="177"/>
      <c r="M250" s="111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177"/>
      <c r="Y250" s="80"/>
      <c r="Z250" s="80"/>
      <c r="AA250" s="177"/>
      <c r="AB250" s="177"/>
      <c r="AC250" s="111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</row>
    <row r="251" spans="1:64">
      <c r="A251" s="80"/>
      <c r="B251" s="80"/>
      <c r="C251" s="80"/>
      <c r="D251" s="80"/>
      <c r="E251" s="80"/>
      <c r="F251" s="80"/>
      <c r="G251" s="80"/>
      <c r="H251" s="80"/>
      <c r="I251" s="177"/>
      <c r="J251" s="80"/>
      <c r="K251" s="80"/>
      <c r="L251" s="177"/>
      <c r="M251" s="111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177"/>
      <c r="Y251" s="80"/>
      <c r="Z251" s="80"/>
      <c r="AA251" s="177"/>
      <c r="AB251" s="177"/>
      <c r="AC251" s="111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</row>
    <row r="252" spans="1:64">
      <c r="A252" s="80"/>
      <c r="B252" s="80"/>
      <c r="C252" s="80"/>
      <c r="D252" s="80"/>
      <c r="E252" s="80"/>
      <c r="F252" s="80"/>
      <c r="G252" s="80"/>
      <c r="H252" s="80"/>
      <c r="I252" s="177"/>
      <c r="J252" s="80"/>
      <c r="K252" s="80"/>
      <c r="L252" s="177"/>
      <c r="M252" s="111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177"/>
      <c r="Y252" s="80"/>
      <c r="Z252" s="80"/>
      <c r="AA252" s="177"/>
      <c r="AB252" s="177"/>
      <c r="AC252" s="111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</row>
    <row r="253" spans="1:64">
      <c r="A253" s="80"/>
      <c r="B253" s="80"/>
      <c r="C253" s="80"/>
      <c r="D253" s="80"/>
      <c r="E253" s="80"/>
      <c r="F253" s="80"/>
      <c r="G253" s="80"/>
      <c r="H253" s="80"/>
      <c r="I253" s="177"/>
      <c r="J253" s="80"/>
      <c r="K253" s="80"/>
      <c r="L253" s="177"/>
      <c r="M253" s="111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177"/>
      <c r="Y253" s="80"/>
      <c r="Z253" s="80"/>
      <c r="AA253" s="177"/>
      <c r="AB253" s="177"/>
      <c r="AC253" s="111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0"/>
    </row>
    <row r="254" spans="1:64">
      <c r="A254" s="80"/>
      <c r="B254" s="80"/>
      <c r="C254" s="80"/>
      <c r="D254" s="80"/>
      <c r="E254" s="80"/>
      <c r="F254" s="80"/>
      <c r="G254" s="80"/>
      <c r="H254" s="80"/>
      <c r="I254" s="177"/>
      <c r="J254" s="80"/>
      <c r="K254" s="80"/>
      <c r="L254" s="177"/>
      <c r="M254" s="111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177"/>
      <c r="Y254" s="80"/>
      <c r="Z254" s="80"/>
      <c r="AA254" s="177"/>
      <c r="AB254" s="177"/>
      <c r="AC254" s="111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</row>
    <row r="255" spans="1:64">
      <c r="A255" s="80"/>
      <c r="B255" s="80"/>
      <c r="C255" s="80"/>
      <c r="D255" s="80"/>
      <c r="E255" s="80"/>
      <c r="F255" s="80"/>
      <c r="G255" s="80"/>
      <c r="H255" s="80"/>
      <c r="I255" s="177"/>
      <c r="J255" s="80"/>
      <c r="K255" s="80"/>
      <c r="L255" s="177"/>
      <c r="M255" s="111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177"/>
      <c r="Y255" s="80"/>
      <c r="Z255" s="80"/>
      <c r="AA255" s="177"/>
      <c r="AB255" s="177"/>
      <c r="AC255" s="111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</row>
    <row r="256" spans="1:64">
      <c r="A256" s="80"/>
      <c r="B256" s="80"/>
      <c r="C256" s="80"/>
      <c r="D256" s="80"/>
      <c r="E256" s="80"/>
      <c r="F256" s="80"/>
      <c r="G256" s="80"/>
      <c r="H256" s="80"/>
      <c r="I256" s="177"/>
      <c r="J256" s="80"/>
      <c r="K256" s="80"/>
      <c r="L256" s="177"/>
      <c r="M256" s="111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177"/>
      <c r="Y256" s="80"/>
      <c r="Z256" s="80"/>
      <c r="AA256" s="177"/>
      <c r="AB256" s="177"/>
      <c r="AC256" s="111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</row>
    <row r="257" spans="1:64">
      <c r="A257" s="80"/>
      <c r="B257" s="80"/>
      <c r="C257" s="80"/>
      <c r="D257" s="80"/>
      <c r="E257" s="80"/>
      <c r="F257" s="80"/>
      <c r="G257" s="80"/>
      <c r="H257" s="80"/>
      <c r="I257" s="177"/>
      <c r="J257" s="80"/>
      <c r="K257" s="80"/>
      <c r="L257" s="177"/>
      <c r="M257" s="111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177"/>
      <c r="Y257" s="80"/>
      <c r="Z257" s="80"/>
      <c r="AA257" s="177"/>
      <c r="AB257" s="177"/>
      <c r="AC257" s="111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</row>
    <row r="258" spans="1:64">
      <c r="A258" s="80"/>
      <c r="B258" s="80"/>
      <c r="C258" s="80"/>
      <c r="D258" s="80"/>
      <c r="E258" s="80"/>
      <c r="F258" s="80"/>
      <c r="G258" s="80"/>
      <c r="H258" s="80"/>
      <c r="I258" s="177"/>
      <c r="J258" s="80"/>
      <c r="K258" s="80"/>
      <c r="L258" s="177"/>
      <c r="M258" s="111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177"/>
      <c r="Y258" s="80"/>
      <c r="Z258" s="80"/>
      <c r="AA258" s="177"/>
      <c r="AB258" s="177"/>
      <c r="AC258" s="111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  <c r="BL258" s="80"/>
    </row>
    <row r="259" spans="1:64">
      <c r="A259" s="80"/>
      <c r="B259" s="80"/>
      <c r="C259" s="80"/>
      <c r="D259" s="80"/>
      <c r="E259" s="80"/>
      <c r="F259" s="80"/>
      <c r="G259" s="80"/>
      <c r="H259" s="80"/>
      <c r="I259" s="177"/>
      <c r="J259" s="80"/>
      <c r="K259" s="80"/>
      <c r="L259" s="177"/>
      <c r="M259" s="111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177"/>
      <c r="Y259" s="80"/>
      <c r="Z259" s="80"/>
      <c r="AA259" s="177"/>
      <c r="AB259" s="177"/>
      <c r="AC259" s="111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</row>
    <row r="260" spans="1:64">
      <c r="A260" s="80"/>
      <c r="B260" s="80"/>
      <c r="C260" s="80"/>
      <c r="D260" s="80"/>
      <c r="E260" s="80"/>
      <c r="F260" s="80"/>
      <c r="G260" s="80"/>
      <c r="H260" s="80"/>
      <c r="I260" s="177"/>
      <c r="J260" s="80"/>
      <c r="K260" s="80"/>
      <c r="L260" s="177"/>
      <c r="M260" s="111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177"/>
      <c r="Y260" s="80"/>
      <c r="Z260" s="80"/>
      <c r="AA260" s="177"/>
      <c r="AB260" s="177"/>
      <c r="AC260" s="111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</row>
    <row r="261" spans="1:64">
      <c r="A261" s="80"/>
      <c r="B261" s="80"/>
      <c r="C261" s="80"/>
      <c r="D261" s="80"/>
      <c r="E261" s="80"/>
      <c r="F261" s="80"/>
      <c r="G261" s="80"/>
      <c r="H261" s="80"/>
      <c r="I261" s="177"/>
      <c r="J261" s="80"/>
      <c r="K261" s="80"/>
      <c r="L261" s="177"/>
      <c r="M261" s="111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177"/>
      <c r="Y261" s="80"/>
      <c r="Z261" s="80"/>
      <c r="AA261" s="177"/>
      <c r="AB261" s="177"/>
      <c r="AC261" s="111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</row>
    <row r="262" spans="1:64">
      <c r="A262" s="80"/>
      <c r="B262" s="80"/>
      <c r="C262" s="80"/>
      <c r="D262" s="80"/>
      <c r="E262" s="80"/>
      <c r="F262" s="80"/>
      <c r="G262" s="80"/>
      <c r="H262" s="80"/>
      <c r="I262" s="177"/>
      <c r="J262" s="80"/>
      <c r="K262" s="80"/>
      <c r="L262" s="177"/>
      <c r="M262" s="111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177"/>
      <c r="Y262" s="80"/>
      <c r="Z262" s="80"/>
      <c r="AA262" s="177"/>
      <c r="AB262" s="177"/>
      <c r="AC262" s="111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</row>
    <row r="263" spans="1:64">
      <c r="A263" s="80"/>
      <c r="B263" s="80"/>
      <c r="C263" s="80"/>
      <c r="D263" s="80"/>
      <c r="E263" s="80"/>
      <c r="F263" s="80"/>
      <c r="G263" s="80"/>
      <c r="H263" s="80"/>
      <c r="I263" s="177"/>
      <c r="J263" s="80"/>
      <c r="K263" s="80"/>
      <c r="L263" s="177"/>
      <c r="M263" s="111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177"/>
      <c r="Y263" s="80"/>
      <c r="Z263" s="80"/>
      <c r="AA263" s="177"/>
      <c r="AB263" s="177"/>
      <c r="AC263" s="111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</row>
    <row r="264" spans="1:64">
      <c r="A264" s="80"/>
      <c r="B264" s="80"/>
      <c r="C264" s="80"/>
      <c r="D264" s="80"/>
      <c r="E264" s="80"/>
      <c r="F264" s="80"/>
      <c r="G264" s="80"/>
      <c r="H264" s="80"/>
      <c r="I264" s="177"/>
      <c r="J264" s="80"/>
      <c r="K264" s="80"/>
      <c r="L264" s="177"/>
      <c r="M264" s="111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177"/>
      <c r="Y264" s="80"/>
      <c r="Z264" s="80"/>
      <c r="AA264" s="177"/>
      <c r="AB264" s="177"/>
      <c r="AC264" s="111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</row>
    <row r="265" spans="1:64">
      <c r="A265" s="80"/>
      <c r="B265" s="80"/>
      <c r="C265" s="80"/>
      <c r="D265" s="80"/>
      <c r="E265" s="80"/>
      <c r="F265" s="80"/>
      <c r="G265" s="80"/>
      <c r="H265" s="80"/>
      <c r="I265" s="177"/>
      <c r="J265" s="80"/>
      <c r="K265" s="80"/>
      <c r="L265" s="177"/>
      <c r="M265" s="111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177"/>
      <c r="Y265" s="80"/>
      <c r="Z265" s="80"/>
      <c r="AA265" s="177"/>
      <c r="AB265" s="177"/>
      <c r="AC265" s="111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</row>
    <row r="266" spans="1:64">
      <c r="A266" s="80"/>
      <c r="B266" s="80"/>
      <c r="C266" s="80"/>
      <c r="D266" s="80"/>
      <c r="E266" s="80"/>
      <c r="F266" s="80"/>
      <c r="G266" s="80"/>
      <c r="H266" s="80"/>
      <c r="I266" s="177"/>
      <c r="J266" s="80"/>
      <c r="K266" s="80"/>
      <c r="L266" s="177"/>
      <c r="M266" s="111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177"/>
      <c r="Y266" s="80"/>
      <c r="Z266" s="80"/>
      <c r="AA266" s="177"/>
      <c r="AB266" s="177"/>
      <c r="AC266" s="111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</row>
    <row r="267" spans="1:64">
      <c r="A267" s="80"/>
      <c r="B267" s="80"/>
      <c r="C267" s="80"/>
      <c r="D267" s="80"/>
      <c r="E267" s="80"/>
      <c r="F267" s="80"/>
      <c r="G267" s="80"/>
      <c r="H267" s="80"/>
      <c r="I267" s="177"/>
      <c r="J267" s="80"/>
      <c r="K267" s="80"/>
      <c r="L267" s="177"/>
      <c r="M267" s="111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177"/>
      <c r="Y267" s="80"/>
      <c r="Z267" s="80"/>
      <c r="AA267" s="177"/>
      <c r="AB267" s="177"/>
      <c r="AC267" s="111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</row>
    <row r="268" spans="1:64">
      <c r="A268" s="80"/>
      <c r="B268" s="80"/>
      <c r="C268" s="80"/>
      <c r="D268" s="80"/>
      <c r="E268" s="80"/>
      <c r="F268" s="80"/>
      <c r="G268" s="80"/>
      <c r="H268" s="80"/>
      <c r="I268" s="177"/>
      <c r="J268" s="80"/>
      <c r="K268" s="80"/>
      <c r="L268" s="177"/>
      <c r="M268" s="111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177"/>
      <c r="Y268" s="80"/>
      <c r="Z268" s="80"/>
      <c r="AA268" s="177"/>
      <c r="AB268" s="177"/>
      <c r="AC268" s="111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</row>
    <row r="269" spans="1:64">
      <c r="A269" s="80"/>
      <c r="B269" s="80"/>
      <c r="C269" s="80"/>
      <c r="D269" s="80"/>
      <c r="E269" s="80"/>
      <c r="F269" s="80"/>
      <c r="G269" s="80"/>
      <c r="H269" s="80"/>
      <c r="I269" s="177"/>
      <c r="J269" s="80"/>
      <c r="K269" s="80"/>
      <c r="L269" s="177"/>
      <c r="M269" s="111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177"/>
      <c r="Y269" s="80"/>
      <c r="Z269" s="80"/>
      <c r="AA269" s="177"/>
      <c r="AB269" s="177"/>
      <c r="AC269" s="111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</row>
    <row r="270" spans="1:64">
      <c r="A270" s="80"/>
      <c r="B270" s="80"/>
      <c r="C270" s="80"/>
      <c r="D270" s="80"/>
      <c r="E270" s="80"/>
      <c r="F270" s="80"/>
      <c r="G270" s="80"/>
      <c r="H270" s="80"/>
      <c r="I270" s="177"/>
      <c r="J270" s="80"/>
      <c r="K270" s="80"/>
      <c r="L270" s="177"/>
      <c r="M270" s="111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177"/>
      <c r="Y270" s="80"/>
      <c r="Z270" s="80"/>
      <c r="AA270" s="177"/>
      <c r="AB270" s="177"/>
      <c r="AC270" s="111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</row>
    <row r="271" spans="1:64">
      <c r="A271" s="80"/>
      <c r="B271" s="80"/>
      <c r="C271" s="80"/>
      <c r="D271" s="80"/>
      <c r="E271" s="80"/>
      <c r="F271" s="80"/>
      <c r="G271" s="80"/>
      <c r="H271" s="80"/>
      <c r="I271" s="177"/>
      <c r="J271" s="80"/>
      <c r="K271" s="80"/>
      <c r="L271" s="177"/>
      <c r="M271" s="111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177"/>
      <c r="Y271" s="80"/>
      <c r="Z271" s="80"/>
      <c r="AA271" s="177"/>
      <c r="AB271" s="177"/>
      <c r="AC271" s="111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</row>
    <row r="272" spans="1:64">
      <c r="A272" s="80"/>
      <c r="B272" s="80"/>
      <c r="C272" s="80"/>
      <c r="D272" s="80"/>
      <c r="E272" s="80"/>
      <c r="F272" s="80"/>
      <c r="G272" s="80"/>
      <c r="H272" s="80"/>
      <c r="I272" s="177"/>
      <c r="J272" s="80"/>
      <c r="K272" s="80"/>
      <c r="L272" s="177"/>
      <c r="M272" s="111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177"/>
      <c r="Y272" s="80"/>
      <c r="Z272" s="80"/>
      <c r="AA272" s="177"/>
      <c r="AB272" s="177"/>
      <c r="AC272" s="111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</row>
    <row r="273" spans="1:64">
      <c r="A273" s="80"/>
      <c r="B273" s="80"/>
      <c r="C273" s="80"/>
      <c r="D273" s="80"/>
      <c r="E273" s="80"/>
      <c r="F273" s="80"/>
      <c r="G273" s="80"/>
      <c r="H273" s="80"/>
      <c r="I273" s="177"/>
      <c r="J273" s="80"/>
      <c r="K273" s="80"/>
      <c r="L273" s="177"/>
      <c r="M273" s="111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177"/>
      <c r="Y273" s="80"/>
      <c r="Z273" s="80"/>
      <c r="AA273" s="177"/>
      <c r="AB273" s="177"/>
      <c r="AC273" s="111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</row>
    <row r="274" spans="1:64">
      <c r="A274" s="80"/>
      <c r="B274" s="80"/>
      <c r="C274" s="80"/>
      <c r="D274" s="80"/>
      <c r="E274" s="80"/>
      <c r="F274" s="80"/>
      <c r="G274" s="80"/>
      <c r="H274" s="80"/>
      <c r="I274" s="177"/>
      <c r="J274" s="80"/>
      <c r="K274" s="80"/>
      <c r="L274" s="177"/>
      <c r="M274" s="111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177"/>
      <c r="Y274" s="80"/>
      <c r="Z274" s="80"/>
      <c r="AA274" s="177"/>
      <c r="AB274" s="177"/>
      <c r="AC274" s="111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</row>
    <row r="275" spans="1:64">
      <c r="A275" s="80"/>
      <c r="B275" s="80"/>
      <c r="C275" s="80"/>
      <c r="D275" s="80"/>
      <c r="E275" s="80"/>
      <c r="F275" s="80"/>
      <c r="G275" s="80"/>
      <c r="H275" s="80"/>
      <c r="I275" s="177"/>
      <c r="J275" s="80"/>
      <c r="K275" s="80"/>
      <c r="L275" s="177"/>
      <c r="M275" s="111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177"/>
      <c r="Y275" s="80"/>
      <c r="Z275" s="80"/>
      <c r="AA275" s="177"/>
      <c r="AB275" s="177"/>
      <c r="AC275" s="111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</row>
    <row r="276" spans="1:64">
      <c r="A276" s="80"/>
      <c r="B276" s="80"/>
      <c r="C276" s="80"/>
      <c r="D276" s="80"/>
      <c r="E276" s="80"/>
      <c r="F276" s="80"/>
      <c r="G276" s="80"/>
      <c r="H276" s="80"/>
      <c r="I276" s="177"/>
      <c r="J276" s="80"/>
      <c r="K276" s="80"/>
      <c r="L276" s="177"/>
      <c r="M276" s="111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177"/>
      <c r="Y276" s="80"/>
      <c r="Z276" s="80"/>
      <c r="AA276" s="177"/>
      <c r="AB276" s="177"/>
      <c r="AC276" s="111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</row>
    <row r="277" spans="1:64">
      <c r="A277" s="80"/>
      <c r="B277" s="80"/>
      <c r="C277" s="80"/>
      <c r="D277" s="80"/>
      <c r="E277" s="80"/>
      <c r="F277" s="80"/>
      <c r="G277" s="80"/>
      <c r="H277" s="80"/>
      <c r="I277" s="177"/>
      <c r="J277" s="80"/>
      <c r="K277" s="80"/>
      <c r="L277" s="177"/>
      <c r="M277" s="111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177"/>
      <c r="Y277" s="80"/>
      <c r="Z277" s="80"/>
      <c r="AA277" s="177"/>
      <c r="AB277" s="177"/>
      <c r="AC277" s="111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</row>
    <row r="278" spans="1:64">
      <c r="A278" s="80"/>
      <c r="B278" s="80"/>
      <c r="C278" s="80"/>
      <c r="D278" s="80"/>
      <c r="E278" s="80"/>
      <c r="F278" s="80"/>
      <c r="G278" s="80"/>
      <c r="H278" s="80"/>
      <c r="I278" s="177"/>
      <c r="J278" s="80"/>
      <c r="K278" s="80"/>
      <c r="L278" s="177"/>
      <c r="M278" s="111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177"/>
      <c r="Y278" s="80"/>
      <c r="Z278" s="80"/>
      <c r="AA278" s="177"/>
      <c r="AB278" s="177"/>
      <c r="AC278" s="111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</row>
    <row r="279" spans="1:64">
      <c r="A279" s="80"/>
      <c r="B279" s="80"/>
      <c r="C279" s="80"/>
      <c r="D279" s="80"/>
      <c r="E279" s="80"/>
      <c r="F279" s="80"/>
      <c r="G279" s="80"/>
      <c r="H279" s="80"/>
      <c r="I279" s="177"/>
      <c r="J279" s="80"/>
      <c r="K279" s="80"/>
      <c r="L279" s="177"/>
      <c r="M279" s="111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177"/>
      <c r="Y279" s="80"/>
      <c r="Z279" s="80"/>
      <c r="AA279" s="177"/>
      <c r="AB279" s="177"/>
      <c r="AC279" s="111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</row>
    <row r="280" spans="1:64">
      <c r="A280" s="80"/>
      <c r="B280" s="80"/>
      <c r="C280" s="80"/>
      <c r="D280" s="80"/>
      <c r="E280" s="80"/>
      <c r="F280" s="80"/>
      <c r="G280" s="80"/>
      <c r="H280" s="80"/>
      <c r="I280" s="177"/>
      <c r="J280" s="80"/>
      <c r="K280" s="80"/>
      <c r="L280" s="177"/>
      <c r="M280" s="111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177"/>
      <c r="Y280" s="80"/>
      <c r="Z280" s="80"/>
      <c r="AA280" s="177"/>
      <c r="AB280" s="177"/>
      <c r="AC280" s="111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</row>
    <row r="281" spans="1:64">
      <c r="A281" s="80"/>
      <c r="B281" s="80"/>
      <c r="C281" s="80"/>
      <c r="D281" s="80"/>
      <c r="E281" s="80"/>
      <c r="F281" s="80"/>
      <c r="G281" s="80"/>
      <c r="H281" s="80"/>
      <c r="I281" s="177"/>
      <c r="J281" s="80"/>
      <c r="K281" s="80"/>
      <c r="L281" s="177"/>
      <c r="M281" s="111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177"/>
      <c r="Y281" s="80"/>
      <c r="Z281" s="80"/>
      <c r="AA281" s="177"/>
      <c r="AB281" s="177"/>
      <c r="AC281" s="111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</row>
    <row r="282" spans="1:64">
      <c r="A282" s="80"/>
      <c r="B282" s="80"/>
      <c r="C282" s="80"/>
      <c r="D282" s="80"/>
      <c r="E282" s="80"/>
      <c r="F282" s="80"/>
      <c r="G282" s="80"/>
      <c r="H282" s="80"/>
      <c r="I282" s="177"/>
      <c r="J282" s="80"/>
      <c r="K282" s="80"/>
      <c r="L282" s="177"/>
      <c r="M282" s="111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177"/>
      <c r="Y282" s="80"/>
      <c r="Z282" s="80"/>
      <c r="AA282" s="177"/>
      <c r="AB282" s="177"/>
      <c r="AC282" s="111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</row>
    <row r="283" spans="1:64">
      <c r="A283" s="80"/>
      <c r="B283" s="80"/>
      <c r="C283" s="80"/>
      <c r="D283" s="80"/>
      <c r="E283" s="80"/>
      <c r="F283" s="80"/>
      <c r="G283" s="80"/>
      <c r="H283" s="80"/>
      <c r="I283" s="177"/>
      <c r="J283" s="80"/>
      <c r="K283" s="80"/>
      <c r="L283" s="177"/>
      <c r="M283" s="111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177"/>
      <c r="Y283" s="80"/>
      <c r="Z283" s="80"/>
      <c r="AA283" s="177"/>
      <c r="AB283" s="177"/>
      <c r="AC283" s="111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</row>
    <row r="284" spans="1:64">
      <c r="A284" s="80"/>
      <c r="B284" s="80"/>
      <c r="C284" s="80"/>
      <c r="D284" s="80"/>
      <c r="E284" s="80"/>
      <c r="F284" s="80"/>
      <c r="G284" s="80"/>
      <c r="H284" s="80"/>
      <c r="I284" s="177"/>
      <c r="J284" s="80"/>
      <c r="K284" s="80"/>
      <c r="L284" s="177"/>
      <c r="M284" s="111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177"/>
      <c r="Y284" s="80"/>
      <c r="Z284" s="80"/>
      <c r="AA284" s="177"/>
      <c r="AB284" s="177"/>
      <c r="AC284" s="111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</row>
    <row r="285" spans="1:64">
      <c r="A285" s="80"/>
      <c r="B285" s="80"/>
      <c r="C285" s="80"/>
      <c r="D285" s="80"/>
      <c r="E285" s="80"/>
      <c r="F285" s="80"/>
      <c r="G285" s="80"/>
      <c r="H285" s="80"/>
      <c r="I285" s="177"/>
      <c r="J285" s="80"/>
      <c r="K285" s="80"/>
      <c r="L285" s="177"/>
      <c r="M285" s="111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177"/>
      <c r="Y285" s="80"/>
      <c r="Z285" s="80"/>
      <c r="AA285" s="177"/>
      <c r="AB285" s="177"/>
      <c r="AC285" s="111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</row>
    <row r="286" spans="1:64">
      <c r="A286" s="80"/>
      <c r="B286" s="80"/>
      <c r="C286" s="80"/>
      <c r="D286" s="80"/>
      <c r="E286" s="80"/>
      <c r="F286" s="80"/>
      <c r="G286" s="80"/>
      <c r="H286" s="80"/>
      <c r="I286" s="177"/>
      <c r="J286" s="80"/>
      <c r="K286" s="80"/>
      <c r="L286" s="177"/>
      <c r="M286" s="111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177"/>
      <c r="Y286" s="80"/>
      <c r="Z286" s="80"/>
      <c r="AA286" s="177"/>
      <c r="AB286" s="177"/>
      <c r="AC286" s="111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</row>
    <row r="287" spans="1:64">
      <c r="A287" s="80"/>
      <c r="B287" s="80"/>
      <c r="C287" s="80"/>
      <c r="D287" s="80"/>
      <c r="E287" s="80"/>
      <c r="F287" s="80"/>
      <c r="G287" s="80"/>
      <c r="H287" s="80"/>
      <c r="I287" s="177"/>
      <c r="J287" s="80"/>
      <c r="K287" s="80"/>
      <c r="L287" s="177"/>
      <c r="M287" s="111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177"/>
      <c r="Y287" s="80"/>
      <c r="Z287" s="80"/>
      <c r="AA287" s="177"/>
      <c r="AB287" s="177"/>
      <c r="AC287" s="111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</row>
    <row r="288" spans="1:64">
      <c r="A288" s="80"/>
      <c r="B288" s="80"/>
      <c r="C288" s="80"/>
      <c r="D288" s="80"/>
      <c r="E288" s="80"/>
      <c r="F288" s="80"/>
      <c r="G288" s="80"/>
      <c r="H288" s="80"/>
      <c r="I288" s="177"/>
      <c r="J288" s="80"/>
      <c r="K288" s="80"/>
      <c r="L288" s="177"/>
      <c r="M288" s="111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177"/>
      <c r="Y288" s="80"/>
      <c r="Z288" s="80"/>
      <c r="AA288" s="177"/>
      <c r="AB288" s="177"/>
      <c r="AC288" s="111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</row>
    <row r="289" spans="1:64">
      <c r="A289" s="80"/>
      <c r="B289" s="80"/>
      <c r="C289" s="80"/>
      <c r="D289" s="80"/>
      <c r="E289" s="80"/>
      <c r="F289" s="80"/>
      <c r="G289" s="80"/>
      <c r="H289" s="80"/>
      <c r="I289" s="177"/>
      <c r="J289" s="80"/>
      <c r="K289" s="80"/>
      <c r="L289" s="177"/>
      <c r="M289" s="111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177"/>
      <c r="Y289" s="80"/>
      <c r="Z289" s="80"/>
      <c r="AA289" s="177"/>
      <c r="AB289" s="177"/>
      <c r="AC289" s="111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</row>
    <row r="290" spans="1:64">
      <c r="A290" s="80"/>
      <c r="B290" s="80"/>
      <c r="C290" s="80"/>
      <c r="D290" s="80"/>
      <c r="E290" s="80"/>
      <c r="F290" s="80"/>
      <c r="G290" s="80"/>
      <c r="H290" s="80"/>
      <c r="I290" s="177"/>
      <c r="J290" s="80"/>
      <c r="K290" s="80"/>
      <c r="L290" s="177"/>
      <c r="M290" s="111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177"/>
      <c r="Y290" s="80"/>
      <c r="Z290" s="80"/>
      <c r="AA290" s="177"/>
      <c r="AB290" s="177"/>
      <c r="AC290" s="111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</row>
    <row r="291" spans="1:64">
      <c r="A291" s="80"/>
      <c r="B291" s="80"/>
      <c r="C291" s="80"/>
      <c r="D291" s="80"/>
      <c r="E291" s="80"/>
      <c r="F291" s="80"/>
      <c r="G291" s="80"/>
      <c r="H291" s="80"/>
      <c r="I291" s="177"/>
      <c r="J291" s="80"/>
      <c r="K291" s="80"/>
      <c r="L291" s="177"/>
      <c r="M291" s="111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177"/>
      <c r="Y291" s="80"/>
      <c r="Z291" s="80"/>
      <c r="AA291" s="177"/>
      <c r="AB291" s="177"/>
      <c r="AC291" s="111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</row>
    <row r="292" spans="1:64">
      <c r="A292" s="80"/>
      <c r="B292" s="80"/>
      <c r="C292" s="80"/>
      <c r="D292" s="80"/>
      <c r="E292" s="80"/>
      <c r="F292" s="80"/>
      <c r="G292" s="80"/>
      <c r="H292" s="80"/>
      <c r="I292" s="177"/>
      <c r="J292" s="80"/>
      <c r="K292" s="80"/>
      <c r="L292" s="177"/>
      <c r="M292" s="111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177"/>
      <c r="Y292" s="80"/>
      <c r="Z292" s="80"/>
      <c r="AA292" s="177"/>
      <c r="AB292" s="177"/>
      <c r="AC292" s="111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</row>
    <row r="293" spans="1:64">
      <c r="A293" s="80"/>
      <c r="B293" s="80"/>
      <c r="C293" s="80"/>
      <c r="D293" s="80"/>
      <c r="E293" s="80"/>
      <c r="F293" s="80"/>
      <c r="G293" s="80"/>
      <c r="H293" s="80"/>
      <c r="I293" s="177"/>
      <c r="J293" s="80"/>
      <c r="K293" s="80"/>
      <c r="L293" s="177"/>
      <c r="M293" s="111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177"/>
      <c r="Y293" s="80"/>
      <c r="Z293" s="80"/>
      <c r="AA293" s="177"/>
      <c r="AB293" s="177"/>
      <c r="AC293" s="111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</row>
    <row r="294" spans="1:64">
      <c r="A294" s="80"/>
      <c r="B294" s="80"/>
      <c r="C294" s="80"/>
      <c r="D294" s="80"/>
      <c r="E294" s="80"/>
      <c r="F294" s="80"/>
      <c r="G294" s="80"/>
      <c r="H294" s="80"/>
      <c r="I294" s="177"/>
      <c r="J294" s="80"/>
      <c r="K294" s="80"/>
      <c r="L294" s="177"/>
      <c r="M294" s="111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177"/>
      <c r="Y294" s="80"/>
      <c r="Z294" s="80"/>
      <c r="AA294" s="177"/>
      <c r="AB294" s="177"/>
      <c r="AC294" s="111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</row>
    <row r="295" spans="1:64">
      <c r="A295" s="80"/>
      <c r="B295" s="80"/>
      <c r="C295" s="80"/>
      <c r="D295" s="80"/>
      <c r="E295" s="80"/>
      <c r="F295" s="80"/>
      <c r="G295" s="80"/>
      <c r="H295" s="80"/>
      <c r="I295" s="177"/>
      <c r="J295" s="80"/>
      <c r="K295" s="80"/>
      <c r="L295" s="177"/>
      <c r="M295" s="111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177"/>
      <c r="Y295" s="80"/>
      <c r="Z295" s="80"/>
      <c r="AA295" s="177"/>
      <c r="AB295" s="177"/>
      <c r="AC295" s="111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</row>
    <row r="296" spans="1:64">
      <c r="A296" s="80"/>
      <c r="B296" s="80"/>
      <c r="C296" s="80"/>
      <c r="D296" s="80"/>
      <c r="E296" s="80"/>
      <c r="F296" s="80"/>
      <c r="G296" s="80"/>
      <c r="H296" s="80"/>
      <c r="I296" s="177"/>
      <c r="J296" s="80"/>
      <c r="K296" s="80"/>
      <c r="L296" s="177"/>
      <c r="M296" s="111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177"/>
      <c r="Y296" s="80"/>
      <c r="Z296" s="80"/>
      <c r="AA296" s="177"/>
      <c r="AB296" s="177"/>
      <c r="AC296" s="111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</row>
    <row r="297" spans="1:64">
      <c r="A297" s="80"/>
      <c r="B297" s="80"/>
      <c r="C297" s="80"/>
      <c r="D297" s="80"/>
      <c r="E297" s="80"/>
      <c r="F297" s="80"/>
      <c r="G297" s="80"/>
      <c r="H297" s="80"/>
      <c r="I297" s="177"/>
      <c r="J297" s="80"/>
      <c r="K297" s="80"/>
      <c r="L297" s="177"/>
      <c r="M297" s="111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177"/>
      <c r="Y297" s="80"/>
      <c r="Z297" s="80"/>
      <c r="AA297" s="177"/>
      <c r="AB297" s="177"/>
      <c r="AC297" s="111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</row>
    <row r="298" spans="1:64">
      <c r="A298" s="80"/>
      <c r="B298" s="80"/>
      <c r="C298" s="80"/>
      <c r="D298" s="80"/>
      <c r="E298" s="80"/>
      <c r="F298" s="80"/>
      <c r="G298" s="80"/>
      <c r="H298" s="80"/>
      <c r="I298" s="177"/>
      <c r="J298" s="80"/>
      <c r="K298" s="80"/>
      <c r="L298" s="177"/>
      <c r="M298" s="111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177"/>
      <c r="Y298" s="80"/>
      <c r="Z298" s="80"/>
      <c r="AA298" s="177"/>
      <c r="AB298" s="177"/>
      <c r="AC298" s="111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</row>
    <row r="299" spans="1:64">
      <c r="A299" s="80"/>
      <c r="B299" s="80"/>
      <c r="C299" s="80"/>
      <c r="D299" s="80"/>
      <c r="E299" s="80"/>
      <c r="F299" s="80"/>
      <c r="G299" s="80"/>
      <c r="H299" s="80"/>
      <c r="I299" s="177"/>
      <c r="J299" s="80"/>
      <c r="K299" s="80"/>
      <c r="L299" s="177"/>
      <c r="M299" s="111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177"/>
      <c r="Y299" s="80"/>
      <c r="Z299" s="80"/>
      <c r="AA299" s="177"/>
      <c r="AB299" s="177"/>
      <c r="AC299" s="111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</row>
    <row r="300" spans="1:64">
      <c r="A300" s="80"/>
      <c r="B300" s="80"/>
      <c r="C300" s="80"/>
      <c r="D300" s="80"/>
      <c r="E300" s="80"/>
      <c r="F300" s="80"/>
      <c r="G300" s="80"/>
      <c r="H300" s="80"/>
      <c r="I300" s="177"/>
      <c r="J300" s="80"/>
      <c r="K300" s="80"/>
      <c r="L300" s="177"/>
      <c r="M300" s="111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177"/>
      <c r="Y300" s="80"/>
      <c r="Z300" s="80"/>
      <c r="AA300" s="177"/>
      <c r="AB300" s="177"/>
      <c r="AC300" s="111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</row>
    <row r="301" spans="1:64">
      <c r="A301" s="80"/>
      <c r="B301" s="80"/>
      <c r="C301" s="80"/>
      <c r="D301" s="80"/>
      <c r="E301" s="80"/>
      <c r="F301" s="80"/>
      <c r="G301" s="80"/>
      <c r="H301" s="80"/>
      <c r="I301" s="177"/>
      <c r="J301" s="80"/>
      <c r="K301" s="80"/>
      <c r="L301" s="177"/>
      <c r="M301" s="111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177"/>
      <c r="Y301" s="80"/>
      <c r="Z301" s="80"/>
      <c r="AA301" s="177"/>
      <c r="AB301" s="177"/>
      <c r="AC301" s="111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</row>
    <row r="302" spans="1:64">
      <c r="A302" s="80"/>
      <c r="B302" s="80"/>
      <c r="C302" s="80"/>
      <c r="D302" s="80"/>
      <c r="E302" s="80"/>
      <c r="F302" s="80"/>
      <c r="G302" s="80"/>
      <c r="H302" s="80"/>
      <c r="I302" s="177"/>
      <c r="J302" s="80"/>
      <c r="K302" s="80"/>
      <c r="L302" s="177"/>
      <c r="M302" s="111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177"/>
      <c r="Y302" s="80"/>
      <c r="Z302" s="80"/>
      <c r="AA302" s="177"/>
      <c r="AB302" s="177"/>
      <c r="AC302" s="111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</row>
    <row r="303" spans="1:64">
      <c r="A303" s="80"/>
      <c r="B303" s="80"/>
      <c r="C303" s="80"/>
      <c r="D303" s="80"/>
      <c r="E303" s="80"/>
      <c r="F303" s="80"/>
      <c r="G303" s="80"/>
      <c r="H303" s="80"/>
      <c r="I303" s="177"/>
      <c r="J303" s="80"/>
      <c r="K303" s="80"/>
      <c r="L303" s="177"/>
      <c r="M303" s="111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177"/>
      <c r="Y303" s="80"/>
      <c r="Z303" s="80"/>
      <c r="AA303" s="177"/>
      <c r="AB303" s="177"/>
      <c r="AC303" s="111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</row>
    <row r="304" spans="1:64">
      <c r="A304" s="80"/>
      <c r="B304" s="80"/>
      <c r="C304" s="80"/>
      <c r="D304" s="80"/>
      <c r="E304" s="80"/>
      <c r="F304" s="80"/>
      <c r="G304" s="80"/>
      <c r="H304" s="80"/>
      <c r="I304" s="177"/>
      <c r="J304" s="80"/>
      <c r="K304" s="80"/>
      <c r="L304" s="177"/>
      <c r="M304" s="111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177"/>
      <c r="Y304" s="80"/>
      <c r="Z304" s="80"/>
      <c r="AA304" s="177"/>
      <c r="AB304" s="177"/>
      <c r="AC304" s="111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</row>
    <row r="305" spans="1:64">
      <c r="A305" s="80"/>
      <c r="B305" s="80"/>
      <c r="C305" s="80"/>
      <c r="D305" s="80"/>
      <c r="E305" s="80"/>
      <c r="F305" s="80"/>
      <c r="G305" s="80"/>
      <c r="H305" s="80"/>
      <c r="I305" s="177"/>
      <c r="J305" s="80"/>
      <c r="K305" s="80"/>
      <c r="L305" s="177"/>
      <c r="M305" s="111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177"/>
      <c r="Y305" s="80"/>
      <c r="Z305" s="80"/>
      <c r="AA305" s="177"/>
      <c r="AB305" s="177"/>
      <c r="AC305" s="111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</row>
    <row r="306" spans="1:64">
      <c r="A306" s="80"/>
      <c r="B306" s="80"/>
      <c r="C306" s="80"/>
      <c r="D306" s="80"/>
      <c r="E306" s="80"/>
      <c r="F306" s="80"/>
      <c r="G306" s="80"/>
      <c r="H306" s="80"/>
      <c r="I306" s="177"/>
      <c r="J306" s="80"/>
      <c r="K306" s="80"/>
      <c r="L306" s="177"/>
      <c r="M306" s="111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177"/>
      <c r="Y306" s="80"/>
      <c r="Z306" s="80"/>
      <c r="AA306" s="177"/>
      <c r="AB306" s="177"/>
      <c r="AC306" s="111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</row>
    <row r="307" spans="1:64">
      <c r="A307" s="80"/>
      <c r="B307" s="80"/>
      <c r="C307" s="80"/>
      <c r="D307" s="80"/>
      <c r="E307" s="80"/>
      <c r="F307" s="80"/>
      <c r="G307" s="80"/>
      <c r="H307" s="80"/>
      <c r="I307" s="177"/>
      <c r="J307" s="80"/>
      <c r="K307" s="80"/>
      <c r="L307" s="177"/>
      <c r="M307" s="111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177"/>
      <c r="Y307" s="80"/>
      <c r="Z307" s="80"/>
      <c r="AA307" s="177"/>
      <c r="AB307" s="177"/>
      <c r="AC307" s="111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</row>
    <row r="308" spans="1:64">
      <c r="A308" s="80"/>
      <c r="B308" s="80"/>
      <c r="C308" s="80"/>
      <c r="D308" s="80"/>
      <c r="E308" s="80"/>
      <c r="F308" s="80"/>
      <c r="G308" s="80"/>
      <c r="H308" s="80"/>
      <c r="I308" s="177"/>
      <c r="J308" s="80"/>
      <c r="K308" s="80"/>
      <c r="L308" s="177"/>
      <c r="M308" s="111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177"/>
      <c r="Y308" s="80"/>
      <c r="Z308" s="80"/>
      <c r="AA308" s="177"/>
      <c r="AB308" s="177"/>
      <c r="AC308" s="111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</row>
    <row r="309" spans="1:64">
      <c r="A309" s="80"/>
      <c r="B309" s="80"/>
      <c r="C309" s="80"/>
      <c r="D309" s="80"/>
      <c r="E309" s="80"/>
      <c r="F309" s="80"/>
      <c r="G309" s="80"/>
      <c r="H309" s="80"/>
      <c r="I309" s="177"/>
      <c r="J309" s="80"/>
      <c r="K309" s="80"/>
      <c r="L309" s="177"/>
      <c r="M309" s="111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177"/>
      <c r="Y309" s="80"/>
      <c r="Z309" s="80"/>
      <c r="AA309" s="177"/>
      <c r="AB309" s="177"/>
      <c r="AC309" s="111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</row>
    <row r="310" spans="1:64">
      <c r="A310" s="80"/>
      <c r="B310" s="80"/>
      <c r="C310" s="80"/>
      <c r="D310" s="80"/>
      <c r="E310" s="80"/>
      <c r="F310" s="80"/>
      <c r="G310" s="80"/>
      <c r="H310" s="80"/>
      <c r="I310" s="177"/>
      <c r="J310" s="80"/>
      <c r="K310" s="80"/>
      <c r="L310" s="177"/>
      <c r="M310" s="111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177"/>
      <c r="Y310" s="80"/>
      <c r="Z310" s="80"/>
      <c r="AA310" s="177"/>
      <c r="AB310" s="177"/>
      <c r="AC310" s="111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</row>
    <row r="311" spans="1:64">
      <c r="A311" s="80"/>
      <c r="B311" s="80"/>
      <c r="C311" s="80"/>
      <c r="D311" s="80"/>
      <c r="E311" s="80"/>
      <c r="F311" s="80"/>
      <c r="G311" s="80"/>
      <c r="H311" s="80"/>
      <c r="I311" s="177"/>
      <c r="J311" s="80"/>
      <c r="K311" s="80"/>
      <c r="L311" s="177"/>
      <c r="M311" s="111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177"/>
      <c r="Y311" s="80"/>
      <c r="Z311" s="80"/>
      <c r="AA311" s="177"/>
      <c r="AB311" s="177"/>
      <c r="AC311" s="111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</row>
    <row r="312" spans="1:64">
      <c r="A312" s="80"/>
      <c r="B312" s="80"/>
      <c r="C312" s="80"/>
      <c r="D312" s="80"/>
      <c r="E312" s="80"/>
      <c r="F312" s="80"/>
      <c r="G312" s="80"/>
      <c r="H312" s="80"/>
      <c r="I312" s="177"/>
      <c r="J312" s="80"/>
      <c r="K312" s="80"/>
      <c r="L312" s="177"/>
      <c r="M312" s="111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177"/>
      <c r="Y312" s="80"/>
      <c r="Z312" s="80"/>
      <c r="AA312" s="177"/>
      <c r="AB312" s="177"/>
      <c r="AC312" s="111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</row>
    <row r="313" spans="1:64">
      <c r="A313" s="80"/>
      <c r="B313" s="80"/>
      <c r="C313" s="80"/>
      <c r="D313" s="80"/>
      <c r="E313" s="80"/>
      <c r="F313" s="80"/>
      <c r="G313" s="80"/>
      <c r="H313" s="80"/>
      <c r="I313" s="177"/>
      <c r="J313" s="80"/>
      <c r="K313" s="80"/>
      <c r="L313" s="177"/>
      <c r="M313" s="111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177"/>
      <c r="Y313" s="80"/>
      <c r="Z313" s="80"/>
      <c r="AA313" s="177"/>
      <c r="AB313" s="177"/>
      <c r="AC313" s="111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</row>
    <row r="314" spans="1:64">
      <c r="A314" s="80"/>
      <c r="B314" s="80"/>
      <c r="C314" s="80"/>
      <c r="D314" s="80"/>
      <c r="E314" s="80"/>
      <c r="F314" s="80"/>
      <c r="G314" s="80"/>
      <c r="H314" s="80"/>
      <c r="I314" s="177"/>
      <c r="J314" s="80"/>
      <c r="K314" s="80"/>
      <c r="L314" s="177"/>
      <c r="M314" s="111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177"/>
      <c r="Y314" s="80"/>
      <c r="Z314" s="80"/>
      <c r="AA314" s="177"/>
      <c r="AB314" s="177"/>
      <c r="AC314" s="111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</row>
    <row r="315" spans="1:64">
      <c r="A315" s="80"/>
      <c r="B315" s="80"/>
      <c r="C315" s="80"/>
      <c r="D315" s="80"/>
      <c r="E315" s="80"/>
      <c r="F315" s="80"/>
      <c r="G315" s="80"/>
      <c r="H315" s="80"/>
      <c r="I315" s="177"/>
      <c r="J315" s="80"/>
      <c r="K315" s="80"/>
      <c r="L315" s="177"/>
      <c r="M315" s="111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177"/>
      <c r="Y315" s="80"/>
      <c r="Z315" s="80"/>
      <c r="AA315" s="177"/>
      <c r="AB315" s="177"/>
      <c r="AC315" s="111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</row>
    <row r="316" spans="1:64">
      <c r="A316" s="80"/>
      <c r="B316" s="80"/>
      <c r="C316" s="80"/>
      <c r="D316" s="80"/>
      <c r="E316" s="80"/>
      <c r="F316" s="80"/>
      <c r="G316" s="80"/>
      <c r="H316" s="80"/>
      <c r="I316" s="177"/>
      <c r="J316" s="80"/>
      <c r="K316" s="80"/>
      <c r="L316" s="177"/>
      <c r="M316" s="111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177"/>
      <c r="Y316" s="80"/>
      <c r="Z316" s="80"/>
      <c r="AA316" s="177"/>
      <c r="AB316" s="177"/>
      <c r="AC316" s="111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</row>
    <row r="317" spans="1:64">
      <c r="A317" s="80"/>
      <c r="B317" s="80"/>
      <c r="C317" s="80"/>
      <c r="D317" s="80"/>
      <c r="E317" s="80"/>
      <c r="F317" s="80"/>
      <c r="G317" s="80"/>
      <c r="H317" s="80"/>
      <c r="I317" s="177"/>
      <c r="J317" s="80"/>
      <c r="K317" s="80"/>
      <c r="L317" s="177"/>
      <c r="M317" s="111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177"/>
      <c r="Y317" s="80"/>
      <c r="Z317" s="80"/>
      <c r="AA317" s="177"/>
      <c r="AB317" s="177"/>
      <c r="AC317" s="111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</row>
    <row r="318" spans="1:64">
      <c r="A318" s="80"/>
      <c r="B318" s="80"/>
      <c r="C318" s="80"/>
      <c r="D318" s="80"/>
      <c r="E318" s="80"/>
      <c r="F318" s="80"/>
      <c r="G318" s="80"/>
      <c r="H318" s="80"/>
      <c r="I318" s="177"/>
      <c r="J318" s="80"/>
      <c r="K318" s="80"/>
      <c r="L318" s="177"/>
      <c r="M318" s="111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177"/>
      <c r="Y318" s="80"/>
      <c r="Z318" s="80"/>
      <c r="AA318" s="177"/>
      <c r="AB318" s="177"/>
      <c r="AC318" s="111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</row>
    <row r="319" spans="1:64">
      <c r="A319" s="80"/>
      <c r="B319" s="80"/>
      <c r="C319" s="80"/>
      <c r="D319" s="80"/>
      <c r="E319" s="80"/>
      <c r="F319" s="80"/>
      <c r="G319" s="80"/>
      <c r="H319" s="80"/>
      <c r="I319" s="177"/>
      <c r="J319" s="80"/>
      <c r="K319" s="80"/>
      <c r="L319" s="177"/>
      <c r="M319" s="111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177"/>
      <c r="Y319" s="80"/>
      <c r="Z319" s="80"/>
      <c r="AA319" s="177"/>
      <c r="AB319" s="177"/>
      <c r="AC319" s="111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</row>
    <row r="320" spans="1:64">
      <c r="A320" s="80"/>
      <c r="B320" s="80"/>
      <c r="C320" s="80"/>
      <c r="D320" s="80"/>
      <c r="E320" s="80"/>
      <c r="F320" s="80"/>
      <c r="G320" s="80"/>
      <c r="H320" s="80"/>
      <c r="I320" s="177"/>
      <c r="J320" s="80"/>
      <c r="K320" s="80"/>
      <c r="L320" s="177"/>
      <c r="M320" s="111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177"/>
      <c r="Y320" s="80"/>
      <c r="Z320" s="80"/>
      <c r="AA320" s="177"/>
      <c r="AB320" s="177"/>
      <c r="AC320" s="111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</row>
    <row r="321" spans="1:64">
      <c r="A321" s="80"/>
      <c r="B321" s="80"/>
      <c r="C321" s="80"/>
      <c r="D321" s="80"/>
      <c r="E321" s="80"/>
      <c r="F321" s="80"/>
      <c r="G321" s="80"/>
      <c r="H321" s="80"/>
      <c r="I321" s="177"/>
      <c r="J321" s="80"/>
      <c r="K321" s="80"/>
      <c r="L321" s="177"/>
      <c r="M321" s="111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177"/>
      <c r="Y321" s="80"/>
      <c r="Z321" s="80"/>
      <c r="AA321" s="177"/>
      <c r="AB321" s="177"/>
      <c r="AC321" s="111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/>
    </row>
    <row r="322" spans="1:64">
      <c r="A322" s="80"/>
      <c r="B322" s="80"/>
      <c r="C322" s="80"/>
      <c r="D322" s="80"/>
      <c r="E322" s="80"/>
      <c r="F322" s="80"/>
      <c r="G322" s="80"/>
      <c r="H322" s="80"/>
      <c r="I322" s="177"/>
      <c r="J322" s="80"/>
      <c r="K322" s="80"/>
      <c r="L322" s="177"/>
      <c r="M322" s="111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177"/>
      <c r="Y322" s="80"/>
      <c r="Z322" s="80"/>
      <c r="AA322" s="177"/>
      <c r="AB322" s="177"/>
      <c r="AC322" s="111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</row>
    <row r="323" spans="1:64">
      <c r="A323" s="80"/>
      <c r="B323" s="80"/>
      <c r="C323" s="80"/>
      <c r="D323" s="80"/>
      <c r="E323" s="80"/>
      <c r="F323" s="80"/>
      <c r="G323" s="80"/>
      <c r="H323" s="80"/>
      <c r="I323" s="177"/>
      <c r="J323" s="80"/>
      <c r="K323" s="80"/>
      <c r="L323" s="177"/>
      <c r="M323" s="111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177"/>
      <c r="Y323" s="80"/>
      <c r="Z323" s="80"/>
      <c r="AA323" s="177"/>
      <c r="AB323" s="177"/>
      <c r="AC323" s="111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</row>
    <row r="324" spans="1:64">
      <c r="A324" s="80"/>
      <c r="B324" s="80"/>
      <c r="C324" s="80"/>
      <c r="D324" s="80"/>
      <c r="E324" s="80"/>
      <c r="F324" s="80"/>
      <c r="G324" s="80"/>
      <c r="H324" s="80"/>
      <c r="I324" s="177"/>
      <c r="J324" s="80"/>
      <c r="K324" s="80"/>
      <c r="L324" s="177"/>
      <c r="M324" s="111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177"/>
      <c r="Y324" s="80"/>
      <c r="Z324" s="80"/>
      <c r="AA324" s="177"/>
      <c r="AB324" s="177"/>
      <c r="AC324" s="111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</row>
    <row r="325" spans="1:64">
      <c r="A325" s="80"/>
      <c r="B325" s="80"/>
      <c r="C325" s="80"/>
      <c r="D325" s="80"/>
      <c r="E325" s="80"/>
      <c r="F325" s="80"/>
      <c r="G325" s="80"/>
      <c r="H325" s="80"/>
      <c r="I325" s="177"/>
      <c r="J325" s="80"/>
      <c r="K325" s="80"/>
      <c r="L325" s="177"/>
      <c r="M325" s="111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177"/>
      <c r="Y325" s="80"/>
      <c r="Z325" s="80"/>
      <c r="AA325" s="177"/>
      <c r="AB325" s="177"/>
      <c r="AC325" s="111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</row>
    <row r="326" spans="1:64">
      <c r="A326" s="80"/>
      <c r="B326" s="80"/>
      <c r="C326" s="80"/>
      <c r="D326" s="80"/>
      <c r="E326" s="80"/>
      <c r="F326" s="80"/>
      <c r="G326" s="80"/>
      <c r="H326" s="80"/>
      <c r="I326" s="177"/>
      <c r="J326" s="80"/>
      <c r="K326" s="80"/>
      <c r="L326" s="177"/>
      <c r="M326" s="111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177"/>
      <c r="Y326" s="80"/>
      <c r="Z326" s="80"/>
      <c r="AA326" s="177"/>
      <c r="AB326" s="177"/>
      <c r="AC326" s="111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0"/>
    </row>
    <row r="327" spans="1:64">
      <c r="A327" s="80"/>
      <c r="B327" s="80"/>
      <c r="C327" s="80"/>
      <c r="D327" s="80"/>
      <c r="E327" s="80"/>
      <c r="F327" s="80"/>
      <c r="G327" s="80"/>
      <c r="H327" s="80"/>
      <c r="I327" s="177"/>
      <c r="J327" s="80"/>
      <c r="K327" s="80"/>
      <c r="L327" s="177"/>
      <c r="M327" s="111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177"/>
      <c r="Y327" s="80"/>
      <c r="Z327" s="80"/>
      <c r="AA327" s="177"/>
      <c r="AB327" s="177"/>
      <c r="AC327" s="111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</row>
    <row r="328" spans="1:64">
      <c r="A328" s="80"/>
      <c r="B328" s="80"/>
      <c r="C328" s="80"/>
      <c r="D328" s="80"/>
      <c r="E328" s="80"/>
      <c r="F328" s="80"/>
      <c r="G328" s="80"/>
      <c r="H328" s="80"/>
      <c r="I328" s="177"/>
      <c r="J328" s="80"/>
      <c r="K328" s="80"/>
      <c r="L328" s="177"/>
      <c r="M328" s="111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177"/>
      <c r="Y328" s="80"/>
      <c r="Z328" s="80"/>
      <c r="AA328" s="177"/>
      <c r="AB328" s="177"/>
      <c r="AC328" s="111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</row>
    <row r="329" spans="1:64">
      <c r="A329" s="80"/>
      <c r="B329" s="80"/>
      <c r="C329" s="80"/>
      <c r="D329" s="80"/>
      <c r="E329" s="80"/>
      <c r="F329" s="80"/>
      <c r="G329" s="80"/>
      <c r="H329" s="80"/>
      <c r="I329" s="177"/>
      <c r="J329" s="80"/>
      <c r="K329" s="80"/>
      <c r="L329" s="177"/>
      <c r="M329" s="111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177"/>
      <c r="Y329" s="80"/>
      <c r="Z329" s="80"/>
      <c r="AA329" s="177"/>
      <c r="AB329" s="177"/>
      <c r="AC329" s="111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</row>
    <row r="330" spans="1:64">
      <c r="A330" s="80"/>
      <c r="B330" s="80"/>
      <c r="C330" s="80"/>
      <c r="D330" s="80"/>
      <c r="E330" s="80"/>
      <c r="F330" s="80"/>
      <c r="G330" s="80"/>
      <c r="H330" s="80"/>
      <c r="I330" s="177"/>
      <c r="J330" s="80"/>
      <c r="K330" s="80"/>
      <c r="L330" s="177"/>
      <c r="M330" s="111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177"/>
      <c r="Y330" s="80"/>
      <c r="Z330" s="80"/>
      <c r="AA330" s="177"/>
      <c r="AB330" s="177"/>
      <c r="AC330" s="111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</row>
    <row r="331" spans="1:64">
      <c r="A331" s="80"/>
      <c r="B331" s="80"/>
      <c r="C331" s="80"/>
      <c r="D331" s="80"/>
      <c r="E331" s="80"/>
      <c r="F331" s="80"/>
      <c r="G331" s="80"/>
      <c r="H331" s="80"/>
      <c r="I331" s="177"/>
      <c r="J331" s="80"/>
      <c r="K331" s="80"/>
      <c r="L331" s="177"/>
      <c r="M331" s="111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177"/>
      <c r="Y331" s="80"/>
      <c r="Z331" s="80"/>
      <c r="AA331" s="177"/>
      <c r="AB331" s="177"/>
      <c r="AC331" s="111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</row>
    <row r="332" spans="1:64">
      <c r="A332" s="80"/>
      <c r="B332" s="80"/>
      <c r="C332" s="80"/>
      <c r="D332" s="80"/>
      <c r="E332" s="80"/>
      <c r="F332" s="80"/>
      <c r="G332" s="80"/>
      <c r="H332" s="80"/>
      <c r="I332" s="177"/>
      <c r="J332" s="80"/>
      <c r="K332" s="80"/>
      <c r="L332" s="177"/>
      <c r="M332" s="111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177"/>
      <c r="Y332" s="80"/>
      <c r="Z332" s="80"/>
      <c r="AA332" s="177"/>
      <c r="AB332" s="177"/>
      <c r="AC332" s="111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</row>
    <row r="333" spans="1:64">
      <c r="A333" s="80"/>
      <c r="B333" s="80"/>
      <c r="C333" s="80"/>
      <c r="D333" s="80"/>
      <c r="E333" s="80"/>
      <c r="F333" s="80"/>
      <c r="G333" s="80"/>
      <c r="H333" s="80"/>
      <c r="I333" s="177"/>
      <c r="J333" s="80"/>
      <c r="K333" s="80"/>
      <c r="L333" s="177"/>
      <c r="M333" s="111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177"/>
      <c r="Y333" s="80"/>
      <c r="Z333" s="80"/>
      <c r="AA333" s="177"/>
      <c r="AB333" s="177"/>
      <c r="AC333" s="111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</row>
    <row r="334" spans="1:64">
      <c r="A334" s="80"/>
      <c r="B334" s="80"/>
      <c r="C334" s="80"/>
      <c r="D334" s="80"/>
      <c r="E334" s="80"/>
      <c r="F334" s="80"/>
      <c r="G334" s="80"/>
      <c r="H334" s="80"/>
      <c r="I334" s="177"/>
      <c r="J334" s="80"/>
      <c r="K334" s="80"/>
      <c r="L334" s="177"/>
      <c r="M334" s="111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177"/>
      <c r="Y334" s="80"/>
      <c r="Z334" s="80"/>
      <c r="AA334" s="177"/>
      <c r="AB334" s="177"/>
      <c r="AC334" s="111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</row>
    <row r="335" spans="1:64">
      <c r="A335" s="80"/>
      <c r="B335" s="80"/>
      <c r="C335" s="80"/>
      <c r="D335" s="80"/>
      <c r="E335" s="80"/>
      <c r="F335" s="80"/>
      <c r="G335" s="80"/>
      <c r="H335" s="80"/>
      <c r="I335" s="177"/>
      <c r="J335" s="80"/>
      <c r="K335" s="80"/>
      <c r="L335" s="177"/>
      <c r="M335" s="111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177"/>
      <c r="Y335" s="80"/>
      <c r="Z335" s="80"/>
      <c r="AA335" s="177"/>
      <c r="AB335" s="177"/>
      <c r="AC335" s="111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</row>
    <row r="336" spans="1:64">
      <c r="A336" s="80"/>
      <c r="B336" s="80"/>
      <c r="C336" s="80"/>
      <c r="D336" s="80"/>
      <c r="E336" s="80"/>
      <c r="F336" s="80"/>
      <c r="G336" s="80"/>
      <c r="H336" s="80"/>
      <c r="I336" s="177"/>
      <c r="J336" s="80"/>
      <c r="K336" s="80"/>
      <c r="L336" s="177"/>
      <c r="M336" s="111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177"/>
      <c r="Y336" s="80"/>
      <c r="Z336" s="80"/>
      <c r="AA336" s="177"/>
      <c r="AB336" s="177"/>
      <c r="AC336" s="111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</row>
    <row r="337" spans="1:64">
      <c r="A337" s="80"/>
      <c r="B337" s="80"/>
      <c r="C337" s="80"/>
      <c r="D337" s="80"/>
      <c r="E337" s="80"/>
      <c r="F337" s="80"/>
      <c r="G337" s="80"/>
      <c r="H337" s="80"/>
      <c r="I337" s="177"/>
      <c r="J337" s="80"/>
      <c r="K337" s="80"/>
      <c r="L337" s="177"/>
      <c r="M337" s="111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177"/>
      <c r="Y337" s="80"/>
      <c r="Z337" s="80"/>
      <c r="AA337" s="177"/>
      <c r="AB337" s="177"/>
      <c r="AC337" s="111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</row>
    <row r="338" spans="1:64">
      <c r="A338" s="80"/>
      <c r="B338" s="80"/>
      <c r="C338" s="80"/>
      <c r="D338" s="80"/>
      <c r="E338" s="80"/>
      <c r="F338" s="80"/>
      <c r="G338" s="80"/>
      <c r="H338" s="80"/>
      <c r="I338" s="177"/>
      <c r="J338" s="80"/>
      <c r="K338" s="80"/>
      <c r="L338" s="177"/>
      <c r="M338" s="111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177"/>
      <c r="Y338" s="80"/>
      <c r="Z338" s="80"/>
      <c r="AA338" s="177"/>
      <c r="AB338" s="177"/>
      <c r="AC338" s="111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</row>
    <row r="339" spans="1:64">
      <c r="A339" s="80"/>
      <c r="B339" s="80"/>
      <c r="C339" s="80"/>
      <c r="D339" s="80"/>
      <c r="E339" s="80"/>
      <c r="F339" s="80"/>
      <c r="G339" s="80"/>
      <c r="H339" s="80"/>
      <c r="I339" s="177"/>
      <c r="J339" s="80"/>
      <c r="K339" s="80"/>
      <c r="L339" s="177"/>
      <c r="M339" s="111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177"/>
      <c r="Y339" s="80"/>
      <c r="Z339" s="80"/>
      <c r="AA339" s="177"/>
      <c r="AB339" s="177"/>
      <c r="AC339" s="111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</row>
    <row r="340" spans="1:64">
      <c r="A340" s="80"/>
      <c r="B340" s="80"/>
      <c r="C340" s="80"/>
      <c r="D340" s="80"/>
      <c r="E340" s="80"/>
      <c r="F340" s="80"/>
      <c r="G340" s="80"/>
      <c r="H340" s="80"/>
      <c r="I340" s="177"/>
      <c r="J340" s="80"/>
      <c r="K340" s="80"/>
      <c r="L340" s="177"/>
      <c r="M340" s="111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177"/>
      <c r="Y340" s="80"/>
      <c r="Z340" s="80"/>
      <c r="AA340" s="177"/>
      <c r="AB340" s="177"/>
      <c r="AC340" s="111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</row>
    <row r="341" spans="1:64">
      <c r="A341" s="80"/>
      <c r="B341" s="80"/>
      <c r="C341" s="80"/>
      <c r="D341" s="80"/>
      <c r="E341" s="80"/>
      <c r="F341" s="80"/>
      <c r="G341" s="80"/>
      <c r="H341" s="80"/>
      <c r="I341" s="177"/>
      <c r="J341" s="80"/>
      <c r="K341" s="80"/>
      <c r="L341" s="177"/>
      <c r="M341" s="111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177"/>
      <c r="Y341" s="80"/>
      <c r="Z341" s="80"/>
      <c r="AA341" s="177"/>
      <c r="AB341" s="177"/>
      <c r="AC341" s="111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  <c r="BL341" s="80"/>
    </row>
    <row r="342" spans="1:64">
      <c r="A342" s="80"/>
      <c r="B342" s="80"/>
      <c r="C342" s="80"/>
      <c r="D342" s="80"/>
      <c r="E342" s="80"/>
      <c r="F342" s="80"/>
      <c r="G342" s="80"/>
      <c r="H342" s="80"/>
      <c r="I342" s="177"/>
      <c r="J342" s="80"/>
      <c r="K342" s="80"/>
      <c r="L342" s="177"/>
      <c r="M342" s="111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177"/>
      <c r="Y342" s="80"/>
      <c r="Z342" s="80"/>
      <c r="AA342" s="177"/>
      <c r="AB342" s="177"/>
      <c r="AC342" s="111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  <c r="BL342" s="80"/>
    </row>
    <row r="343" spans="1:64">
      <c r="A343" s="80"/>
      <c r="B343" s="80"/>
      <c r="C343" s="80"/>
      <c r="D343" s="80"/>
      <c r="E343" s="80"/>
      <c r="F343" s="80"/>
      <c r="G343" s="80"/>
      <c r="H343" s="80"/>
      <c r="I343" s="177"/>
      <c r="J343" s="80"/>
      <c r="K343" s="80"/>
      <c r="L343" s="177"/>
      <c r="M343" s="111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177"/>
      <c r="Y343" s="80"/>
      <c r="Z343" s="80"/>
      <c r="AA343" s="177"/>
      <c r="AB343" s="177"/>
      <c r="AC343" s="111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</row>
    <row r="344" spans="1:64">
      <c r="A344" s="80"/>
      <c r="B344" s="80"/>
      <c r="C344" s="80"/>
      <c r="D344" s="80"/>
      <c r="E344" s="80"/>
      <c r="F344" s="80"/>
      <c r="G344" s="80"/>
      <c r="H344" s="80"/>
      <c r="I344" s="177"/>
      <c r="J344" s="80"/>
      <c r="K344" s="80"/>
      <c r="L344" s="177"/>
      <c r="M344" s="111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177"/>
      <c r="Y344" s="80"/>
      <c r="Z344" s="80"/>
      <c r="AA344" s="177"/>
      <c r="AB344" s="177"/>
      <c r="AC344" s="111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</row>
    <row r="345" spans="1:64">
      <c r="A345" s="80"/>
      <c r="B345" s="80"/>
      <c r="C345" s="80"/>
      <c r="D345" s="80"/>
      <c r="E345" s="80"/>
      <c r="F345" s="80"/>
      <c r="G345" s="80"/>
      <c r="H345" s="80"/>
      <c r="I345" s="177"/>
      <c r="J345" s="80"/>
      <c r="K345" s="80"/>
      <c r="L345" s="177"/>
      <c r="M345" s="111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177"/>
      <c r="Y345" s="80"/>
      <c r="Z345" s="80"/>
      <c r="AA345" s="177"/>
      <c r="AB345" s="177"/>
      <c r="AC345" s="111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</row>
    <row r="346" spans="1:64">
      <c r="A346" s="80"/>
      <c r="B346" s="80"/>
      <c r="C346" s="80"/>
      <c r="D346" s="80"/>
      <c r="E346" s="80"/>
      <c r="F346" s="80"/>
      <c r="G346" s="80"/>
      <c r="H346" s="80"/>
      <c r="I346" s="177"/>
      <c r="J346" s="80"/>
      <c r="K346" s="80"/>
      <c r="L346" s="177"/>
      <c r="M346" s="111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177"/>
      <c r="Y346" s="80"/>
      <c r="Z346" s="80"/>
      <c r="AA346" s="177"/>
      <c r="AB346" s="177"/>
      <c r="AC346" s="111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</row>
    <row r="347" spans="1:64">
      <c r="A347" s="80"/>
      <c r="B347" s="80"/>
      <c r="C347" s="80"/>
      <c r="D347" s="80"/>
      <c r="E347" s="80"/>
      <c r="F347" s="80"/>
      <c r="G347" s="80"/>
      <c r="H347" s="80"/>
      <c r="I347" s="177"/>
      <c r="J347" s="80"/>
      <c r="K347" s="80"/>
      <c r="L347" s="177"/>
      <c r="M347" s="111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177"/>
      <c r="Y347" s="80"/>
      <c r="Z347" s="80"/>
      <c r="AA347" s="177"/>
      <c r="AB347" s="177"/>
      <c r="AC347" s="111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</row>
    <row r="348" spans="1:64">
      <c r="A348" s="80"/>
      <c r="B348" s="80"/>
      <c r="C348" s="80"/>
      <c r="D348" s="80"/>
      <c r="E348" s="80"/>
      <c r="F348" s="80"/>
      <c r="G348" s="80"/>
      <c r="H348" s="80"/>
      <c r="I348" s="177"/>
      <c r="J348" s="80"/>
      <c r="K348" s="80"/>
      <c r="L348" s="177"/>
      <c r="M348" s="111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177"/>
      <c r="Y348" s="80"/>
      <c r="Z348" s="80"/>
      <c r="AA348" s="177"/>
      <c r="AB348" s="177"/>
      <c r="AC348" s="111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</row>
    <row r="349" spans="1:64">
      <c r="A349" s="80"/>
      <c r="B349" s="80"/>
      <c r="C349" s="80"/>
      <c r="D349" s="80"/>
      <c r="E349" s="80"/>
      <c r="F349" s="80"/>
      <c r="G349" s="80"/>
      <c r="H349" s="80"/>
      <c r="I349" s="177"/>
      <c r="J349" s="80"/>
      <c r="K349" s="80"/>
      <c r="L349" s="177"/>
      <c r="M349" s="111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177"/>
      <c r="Y349" s="80"/>
      <c r="Z349" s="80"/>
      <c r="AA349" s="177"/>
      <c r="AB349" s="177"/>
      <c r="AC349" s="111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  <c r="BL349" s="80"/>
    </row>
    <row r="350" spans="1:64">
      <c r="A350" s="80"/>
      <c r="B350" s="80"/>
      <c r="C350" s="80"/>
      <c r="D350" s="80"/>
      <c r="E350" s="80"/>
      <c r="F350" s="80"/>
      <c r="G350" s="80"/>
      <c r="H350" s="80"/>
      <c r="I350" s="177"/>
      <c r="J350" s="80"/>
      <c r="K350" s="80"/>
      <c r="L350" s="177"/>
      <c r="M350" s="111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177"/>
      <c r="Y350" s="80"/>
      <c r="Z350" s="80"/>
      <c r="AA350" s="177"/>
      <c r="AB350" s="177"/>
      <c r="AC350" s="111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</row>
    <row r="351" spans="1:64">
      <c r="A351" s="80"/>
      <c r="B351" s="80"/>
      <c r="C351" s="80"/>
      <c r="D351" s="80"/>
      <c r="E351" s="80"/>
      <c r="F351" s="80"/>
      <c r="G351" s="80"/>
      <c r="H351" s="80"/>
      <c r="I351" s="177"/>
      <c r="J351" s="80"/>
      <c r="K351" s="80"/>
      <c r="L351" s="177"/>
      <c r="M351" s="111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177"/>
      <c r="Y351" s="80"/>
      <c r="Z351" s="80"/>
      <c r="AA351" s="177"/>
      <c r="AB351" s="177"/>
      <c r="AC351" s="111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</row>
    <row r="352" spans="1:64">
      <c r="A352" s="80"/>
      <c r="B352" s="80"/>
      <c r="C352" s="80"/>
      <c r="D352" s="80"/>
      <c r="E352" s="80"/>
      <c r="F352" s="80"/>
      <c r="G352" s="80"/>
      <c r="H352" s="80"/>
      <c r="I352" s="177"/>
      <c r="J352" s="80"/>
      <c r="K352" s="80"/>
      <c r="L352" s="177"/>
      <c r="M352" s="111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177"/>
      <c r="Y352" s="80"/>
      <c r="Z352" s="80"/>
      <c r="AA352" s="177"/>
      <c r="AB352" s="177"/>
      <c r="AC352" s="111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</row>
    <row r="353" spans="1:64">
      <c r="A353" s="80"/>
      <c r="B353" s="80"/>
      <c r="C353" s="80"/>
      <c r="D353" s="80"/>
      <c r="E353" s="80"/>
      <c r="F353" s="80"/>
      <c r="G353" s="80"/>
      <c r="H353" s="80"/>
      <c r="I353" s="177"/>
      <c r="J353" s="80"/>
      <c r="K353" s="80"/>
      <c r="L353" s="177"/>
      <c r="M353" s="111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177"/>
      <c r="Y353" s="80"/>
      <c r="Z353" s="80"/>
      <c r="AA353" s="177"/>
      <c r="AB353" s="177"/>
      <c r="AC353" s="111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</row>
    <row r="354" spans="1:64">
      <c r="A354" s="80"/>
      <c r="B354" s="80"/>
      <c r="C354" s="80"/>
      <c r="D354" s="80"/>
      <c r="E354" s="80"/>
      <c r="F354" s="80"/>
      <c r="G354" s="80"/>
      <c r="H354" s="80"/>
      <c r="I354" s="177"/>
      <c r="J354" s="80"/>
      <c r="K354" s="80"/>
      <c r="L354" s="177"/>
      <c r="M354" s="111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177"/>
      <c r="Y354" s="80"/>
      <c r="Z354" s="80"/>
      <c r="AA354" s="177"/>
      <c r="AB354" s="177"/>
      <c r="AC354" s="111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</row>
    <row r="355" spans="1:64">
      <c r="A355" s="80"/>
      <c r="B355" s="80"/>
      <c r="C355" s="80"/>
      <c r="D355" s="80"/>
      <c r="E355" s="80"/>
      <c r="F355" s="80"/>
      <c r="G355" s="80"/>
      <c r="H355" s="80"/>
      <c r="I355" s="177"/>
      <c r="J355" s="80"/>
      <c r="K355" s="80"/>
      <c r="L355" s="177"/>
      <c r="M355" s="111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177"/>
      <c r="Y355" s="80"/>
      <c r="Z355" s="80"/>
      <c r="AA355" s="177"/>
      <c r="AB355" s="177"/>
      <c r="AC355" s="111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/>
    </row>
    <row r="356" spans="1:64">
      <c r="A356" s="80"/>
      <c r="B356" s="80"/>
      <c r="C356" s="80"/>
      <c r="D356" s="80"/>
      <c r="E356" s="80"/>
      <c r="F356" s="80"/>
      <c r="G356" s="80"/>
      <c r="H356" s="80"/>
      <c r="I356" s="177"/>
      <c r="J356" s="80"/>
      <c r="K356" s="80"/>
      <c r="L356" s="177"/>
      <c r="M356" s="111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177"/>
      <c r="Y356" s="80"/>
      <c r="Z356" s="80"/>
      <c r="AA356" s="177"/>
      <c r="AB356" s="177"/>
      <c r="AC356" s="111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</row>
    <row r="357" spans="1:64">
      <c r="A357" s="80"/>
      <c r="B357" s="80"/>
      <c r="C357" s="80"/>
      <c r="D357" s="80"/>
      <c r="E357" s="80"/>
      <c r="F357" s="80"/>
      <c r="G357" s="80"/>
      <c r="H357" s="80"/>
      <c r="I357" s="177"/>
      <c r="J357" s="80"/>
      <c r="K357" s="80"/>
      <c r="L357" s="177"/>
      <c r="M357" s="111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177"/>
      <c r="Y357" s="80"/>
      <c r="Z357" s="80"/>
      <c r="AA357" s="177"/>
      <c r="AB357" s="177"/>
      <c r="AC357" s="111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</row>
    <row r="358" spans="1:64">
      <c r="A358" s="80"/>
      <c r="B358" s="80"/>
      <c r="C358" s="80"/>
      <c r="D358" s="80"/>
      <c r="E358" s="80"/>
      <c r="F358" s="80"/>
      <c r="G358" s="80"/>
      <c r="H358" s="80"/>
      <c r="I358" s="177"/>
      <c r="J358" s="80"/>
      <c r="K358" s="80"/>
      <c r="L358" s="177"/>
      <c r="M358" s="111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177"/>
      <c r="Y358" s="80"/>
      <c r="Z358" s="80"/>
      <c r="AA358" s="177"/>
      <c r="AB358" s="177"/>
      <c r="AC358" s="111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</row>
    <row r="359" spans="1:64">
      <c r="A359" s="80"/>
      <c r="B359" s="80"/>
      <c r="C359" s="80"/>
      <c r="D359" s="80"/>
      <c r="E359" s="80"/>
      <c r="F359" s="80"/>
      <c r="G359" s="80"/>
      <c r="H359" s="80"/>
      <c r="I359" s="177"/>
      <c r="J359" s="80"/>
      <c r="K359" s="80"/>
      <c r="L359" s="177"/>
      <c r="M359" s="111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177"/>
      <c r="Y359" s="80"/>
      <c r="Z359" s="80"/>
      <c r="AA359" s="177"/>
      <c r="AB359" s="177"/>
      <c r="AC359" s="111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</row>
    <row r="360" spans="1:64">
      <c r="A360" s="80"/>
      <c r="B360" s="80"/>
      <c r="C360" s="80"/>
      <c r="D360" s="80"/>
      <c r="E360" s="80"/>
      <c r="F360" s="80"/>
      <c r="G360" s="80"/>
      <c r="H360" s="80"/>
      <c r="I360" s="177"/>
      <c r="J360" s="80"/>
      <c r="K360" s="80"/>
      <c r="L360" s="177"/>
      <c r="M360" s="111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177"/>
      <c r="Y360" s="80"/>
      <c r="Z360" s="80"/>
      <c r="AA360" s="177"/>
      <c r="AB360" s="177"/>
      <c r="AC360" s="111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</row>
    <row r="361" spans="1:64">
      <c r="A361" s="80"/>
      <c r="B361" s="80"/>
      <c r="C361" s="80"/>
      <c r="D361" s="80"/>
      <c r="E361" s="80"/>
      <c r="F361" s="80"/>
      <c r="G361" s="80"/>
      <c r="H361" s="80"/>
      <c r="I361" s="177"/>
      <c r="J361" s="80"/>
      <c r="K361" s="80"/>
      <c r="L361" s="177"/>
      <c r="M361" s="111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177"/>
      <c r="Y361" s="80"/>
      <c r="Z361" s="80"/>
      <c r="AA361" s="177"/>
      <c r="AB361" s="177"/>
      <c r="AC361" s="111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</row>
    <row r="362" spans="1:64">
      <c r="A362" s="80"/>
      <c r="B362" s="80"/>
      <c r="C362" s="80"/>
      <c r="D362" s="80"/>
      <c r="E362" s="80"/>
      <c r="F362" s="80"/>
      <c r="G362" s="80"/>
      <c r="H362" s="80"/>
      <c r="I362" s="177"/>
      <c r="J362" s="80"/>
      <c r="K362" s="80"/>
      <c r="L362" s="177"/>
      <c r="M362" s="111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177"/>
      <c r="Y362" s="80"/>
      <c r="Z362" s="80"/>
      <c r="AA362" s="177"/>
      <c r="AB362" s="177"/>
      <c r="AC362" s="111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</row>
    <row r="363" spans="1:64">
      <c r="A363" s="80"/>
      <c r="B363" s="80"/>
      <c r="C363" s="80"/>
      <c r="D363" s="80"/>
      <c r="E363" s="80"/>
      <c r="F363" s="80"/>
      <c r="G363" s="80"/>
      <c r="H363" s="80"/>
      <c r="I363" s="177"/>
      <c r="J363" s="80"/>
      <c r="K363" s="80"/>
      <c r="L363" s="177"/>
      <c r="M363" s="111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177"/>
      <c r="Y363" s="80"/>
      <c r="Z363" s="80"/>
      <c r="AA363" s="177"/>
      <c r="AB363" s="177"/>
      <c r="AC363" s="111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</row>
    <row r="364" spans="1:64">
      <c r="A364" s="80"/>
      <c r="B364" s="80"/>
      <c r="C364" s="80"/>
      <c r="D364" s="80"/>
      <c r="E364" s="80"/>
      <c r="F364" s="80"/>
      <c r="G364" s="80"/>
      <c r="H364" s="80"/>
      <c r="I364" s="177"/>
      <c r="J364" s="80"/>
      <c r="K364" s="80"/>
      <c r="L364" s="177"/>
      <c r="M364" s="111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177"/>
      <c r="Y364" s="80"/>
      <c r="Z364" s="80"/>
      <c r="AA364" s="177"/>
      <c r="AB364" s="177"/>
      <c r="AC364" s="111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</row>
    <row r="365" spans="1:64">
      <c r="A365" s="80"/>
      <c r="B365" s="80"/>
      <c r="C365" s="80"/>
      <c r="D365" s="80"/>
      <c r="E365" s="80"/>
      <c r="F365" s="80"/>
      <c r="G365" s="80"/>
      <c r="H365" s="80"/>
      <c r="I365" s="177"/>
      <c r="J365" s="80"/>
      <c r="K365" s="80"/>
      <c r="L365" s="177"/>
      <c r="M365" s="111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177"/>
      <c r="Y365" s="80"/>
      <c r="Z365" s="80"/>
      <c r="AA365" s="177"/>
      <c r="AB365" s="177"/>
      <c r="AC365" s="111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</row>
    <row r="366" spans="1:64">
      <c r="A366" s="80"/>
      <c r="B366" s="80"/>
      <c r="C366" s="80"/>
      <c r="D366" s="80"/>
      <c r="E366" s="80"/>
      <c r="F366" s="80"/>
      <c r="G366" s="80"/>
      <c r="H366" s="80"/>
      <c r="I366" s="177"/>
      <c r="J366" s="80"/>
      <c r="K366" s="80"/>
      <c r="L366" s="177"/>
      <c r="M366" s="111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177"/>
      <c r="Y366" s="80"/>
      <c r="Z366" s="80"/>
      <c r="AA366" s="177"/>
      <c r="AB366" s="177"/>
      <c r="AC366" s="111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</row>
    <row r="367" spans="1:64">
      <c r="A367" s="80"/>
      <c r="B367" s="80"/>
      <c r="C367" s="80"/>
      <c r="D367" s="80"/>
      <c r="E367" s="80"/>
      <c r="F367" s="80"/>
      <c r="G367" s="80"/>
      <c r="H367" s="80"/>
      <c r="I367" s="177"/>
      <c r="J367" s="80"/>
      <c r="K367" s="80"/>
      <c r="L367" s="177"/>
      <c r="M367" s="111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177"/>
      <c r="Y367" s="80"/>
      <c r="Z367" s="80"/>
      <c r="AA367" s="177"/>
      <c r="AB367" s="177"/>
      <c r="AC367" s="111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</row>
    <row r="368" spans="1:64">
      <c r="A368" s="80"/>
      <c r="B368" s="80"/>
      <c r="C368" s="80"/>
      <c r="D368" s="80"/>
      <c r="E368" s="80"/>
      <c r="F368" s="80"/>
      <c r="G368" s="80"/>
      <c r="H368" s="80"/>
      <c r="I368" s="177"/>
      <c r="J368" s="80"/>
      <c r="K368" s="80"/>
      <c r="L368" s="177"/>
      <c r="M368" s="111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177"/>
      <c r="Y368" s="80"/>
      <c r="Z368" s="80"/>
      <c r="AA368" s="177"/>
      <c r="AB368" s="177"/>
      <c r="AC368" s="111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</row>
    <row r="369" spans="1:64">
      <c r="A369" s="80"/>
      <c r="B369" s="80"/>
      <c r="C369" s="80"/>
      <c r="D369" s="80"/>
      <c r="E369" s="80"/>
      <c r="F369" s="80"/>
      <c r="G369" s="80"/>
      <c r="H369" s="80"/>
      <c r="I369" s="177"/>
      <c r="J369" s="80"/>
      <c r="K369" s="80"/>
      <c r="L369" s="177"/>
      <c r="M369" s="111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177"/>
      <c r="Y369" s="80"/>
      <c r="Z369" s="80"/>
      <c r="AA369" s="177"/>
      <c r="AB369" s="177"/>
      <c r="AC369" s="111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</row>
    <row r="370" spans="1:64">
      <c r="A370" s="80"/>
      <c r="B370" s="80"/>
      <c r="C370" s="80"/>
      <c r="D370" s="80"/>
      <c r="E370" s="80"/>
      <c r="F370" s="80"/>
      <c r="G370" s="80"/>
      <c r="H370" s="80"/>
      <c r="I370" s="177"/>
      <c r="J370" s="80"/>
      <c r="K370" s="80"/>
      <c r="L370" s="177"/>
      <c r="M370" s="111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177"/>
      <c r="Y370" s="80"/>
      <c r="Z370" s="80"/>
      <c r="AA370" s="177"/>
      <c r="AB370" s="177"/>
      <c r="AC370" s="111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  <c r="BG370" s="80"/>
      <c r="BH370" s="80"/>
      <c r="BI370" s="80"/>
      <c r="BJ370" s="80"/>
      <c r="BK370" s="80"/>
      <c r="BL370" s="80"/>
    </row>
    <row r="371" spans="1:64">
      <c r="A371" s="80"/>
      <c r="B371" s="80"/>
      <c r="C371" s="80"/>
      <c r="D371" s="80"/>
      <c r="E371" s="80"/>
      <c r="F371" s="80"/>
      <c r="G371" s="80"/>
      <c r="H371" s="80"/>
      <c r="I371" s="177"/>
      <c r="J371" s="80"/>
      <c r="K371" s="80"/>
      <c r="L371" s="177"/>
      <c r="M371" s="111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177"/>
      <c r="Y371" s="80"/>
      <c r="Z371" s="80"/>
      <c r="AA371" s="177"/>
      <c r="AB371" s="177"/>
      <c r="AC371" s="111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</row>
    <row r="372" spans="1:64">
      <c r="A372" s="80"/>
      <c r="B372" s="80"/>
      <c r="C372" s="80"/>
      <c r="D372" s="80"/>
      <c r="E372" s="80"/>
      <c r="F372" s="80"/>
      <c r="G372" s="80"/>
      <c r="H372" s="80"/>
      <c r="I372" s="177"/>
      <c r="J372" s="80"/>
      <c r="K372" s="80"/>
      <c r="L372" s="177"/>
      <c r="M372" s="111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177"/>
      <c r="Y372" s="80"/>
      <c r="Z372" s="80"/>
      <c r="AA372" s="177"/>
      <c r="AB372" s="177"/>
      <c r="AC372" s="111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</row>
    <row r="373" spans="1:64">
      <c r="A373" s="80"/>
      <c r="B373" s="80"/>
      <c r="C373" s="80"/>
      <c r="D373" s="80"/>
      <c r="E373" s="80"/>
      <c r="F373" s="80"/>
      <c r="G373" s="80"/>
      <c r="H373" s="80"/>
      <c r="I373" s="177"/>
      <c r="J373" s="80"/>
      <c r="K373" s="80"/>
      <c r="L373" s="177"/>
      <c r="M373" s="111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177"/>
      <c r="Y373" s="80"/>
      <c r="Z373" s="80"/>
      <c r="AA373" s="177"/>
      <c r="AB373" s="177"/>
      <c r="AC373" s="111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</row>
    <row r="374" spans="1:64">
      <c r="A374" s="80"/>
      <c r="B374" s="80"/>
      <c r="C374" s="80"/>
      <c r="D374" s="80"/>
      <c r="E374" s="80"/>
      <c r="F374" s="80"/>
      <c r="G374" s="80"/>
      <c r="H374" s="80"/>
      <c r="I374" s="177"/>
      <c r="J374" s="80"/>
      <c r="K374" s="80"/>
      <c r="L374" s="177"/>
      <c r="M374" s="111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177"/>
      <c r="Y374" s="80"/>
      <c r="Z374" s="80"/>
      <c r="AA374" s="177"/>
      <c r="AB374" s="177"/>
      <c r="AC374" s="111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</row>
    <row r="375" spans="1:64">
      <c r="A375" s="80"/>
      <c r="B375" s="80"/>
      <c r="C375" s="80"/>
      <c r="D375" s="80"/>
      <c r="E375" s="80"/>
      <c r="F375" s="80"/>
      <c r="G375" s="80"/>
      <c r="H375" s="80"/>
      <c r="I375" s="177"/>
      <c r="J375" s="80"/>
      <c r="K375" s="80"/>
      <c r="L375" s="177"/>
      <c r="M375" s="111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177"/>
      <c r="Y375" s="80"/>
      <c r="Z375" s="80"/>
      <c r="AA375" s="177"/>
      <c r="AB375" s="177"/>
      <c r="AC375" s="111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</row>
    <row r="376" spans="1:64">
      <c r="A376" s="80"/>
      <c r="B376" s="80"/>
      <c r="C376" s="80"/>
      <c r="D376" s="80"/>
      <c r="E376" s="80"/>
      <c r="F376" s="80"/>
      <c r="G376" s="80"/>
      <c r="H376" s="80"/>
      <c r="I376" s="177"/>
      <c r="J376" s="80"/>
      <c r="K376" s="80"/>
      <c r="L376" s="177"/>
      <c r="M376" s="111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177"/>
      <c r="Y376" s="80"/>
      <c r="Z376" s="80"/>
      <c r="AA376" s="177"/>
      <c r="AB376" s="177"/>
      <c r="AC376" s="111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</row>
    <row r="377" spans="1:64">
      <c r="A377" s="80"/>
      <c r="B377" s="80"/>
      <c r="C377" s="80"/>
      <c r="D377" s="80"/>
      <c r="E377" s="80"/>
      <c r="F377" s="80"/>
      <c r="G377" s="80"/>
      <c r="H377" s="80"/>
      <c r="I377" s="177"/>
      <c r="J377" s="80"/>
      <c r="K377" s="80"/>
      <c r="L377" s="177"/>
      <c r="M377" s="111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177"/>
      <c r="Y377" s="80"/>
      <c r="Z377" s="80"/>
      <c r="AA377" s="177"/>
      <c r="AB377" s="177"/>
      <c r="AC377" s="111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</row>
    <row r="378" spans="1:64">
      <c r="A378" s="80"/>
      <c r="B378" s="80"/>
      <c r="C378" s="80"/>
      <c r="D378" s="80"/>
      <c r="E378" s="80"/>
      <c r="F378" s="80"/>
      <c r="G378" s="80"/>
      <c r="H378" s="80"/>
      <c r="I378" s="177"/>
      <c r="J378" s="80"/>
      <c r="K378" s="80"/>
      <c r="L378" s="177"/>
      <c r="M378" s="111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177"/>
      <c r="Y378" s="80"/>
      <c r="Z378" s="80"/>
      <c r="AA378" s="177"/>
      <c r="AB378" s="177"/>
      <c r="AC378" s="111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</row>
    <row r="379" spans="1:64">
      <c r="A379" s="80"/>
      <c r="B379" s="80"/>
      <c r="C379" s="80"/>
      <c r="D379" s="80"/>
      <c r="E379" s="80"/>
      <c r="F379" s="80"/>
      <c r="G379" s="80"/>
      <c r="H379" s="80"/>
      <c r="I379" s="177"/>
      <c r="J379" s="80"/>
      <c r="K379" s="80"/>
      <c r="L379" s="177"/>
      <c r="M379" s="111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177"/>
      <c r="Y379" s="80"/>
      <c r="Z379" s="80"/>
      <c r="AA379" s="177"/>
      <c r="AB379" s="177"/>
      <c r="AC379" s="111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</row>
    <row r="380" spans="1:64">
      <c r="A380" s="80"/>
      <c r="B380" s="80"/>
      <c r="C380" s="80"/>
      <c r="D380" s="80"/>
      <c r="E380" s="80"/>
      <c r="F380" s="80"/>
      <c r="G380" s="80"/>
      <c r="H380" s="80"/>
      <c r="I380" s="177"/>
      <c r="J380" s="80"/>
      <c r="K380" s="80"/>
      <c r="L380" s="177"/>
      <c r="M380" s="111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177"/>
      <c r="Y380" s="80"/>
      <c r="Z380" s="80"/>
      <c r="AA380" s="177"/>
      <c r="AB380" s="177"/>
      <c r="AC380" s="111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</row>
    <row r="381" spans="1:64">
      <c r="A381" s="80"/>
      <c r="B381" s="80"/>
      <c r="C381" s="80"/>
      <c r="D381" s="80"/>
      <c r="E381" s="80"/>
      <c r="F381" s="80"/>
      <c r="G381" s="80"/>
      <c r="H381" s="80"/>
      <c r="I381" s="177"/>
      <c r="J381" s="80"/>
      <c r="K381" s="80"/>
      <c r="L381" s="177"/>
      <c r="M381" s="111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177"/>
      <c r="Y381" s="80"/>
      <c r="Z381" s="80"/>
      <c r="AA381" s="177"/>
      <c r="AB381" s="177"/>
      <c r="AC381" s="111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  <c r="BK381" s="80"/>
      <c r="BL381" s="80"/>
    </row>
    <row r="382" spans="1:64">
      <c r="A382" s="80"/>
      <c r="B382" s="80"/>
      <c r="C382" s="80"/>
      <c r="D382" s="80"/>
      <c r="E382" s="80"/>
      <c r="F382" s="80"/>
      <c r="G382" s="80"/>
      <c r="H382" s="80"/>
      <c r="I382" s="177"/>
      <c r="J382" s="80"/>
      <c r="K382" s="80"/>
      <c r="L382" s="177"/>
      <c r="M382" s="111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177"/>
      <c r="Y382" s="80"/>
      <c r="Z382" s="80"/>
      <c r="AA382" s="177"/>
      <c r="AB382" s="177"/>
      <c r="AC382" s="111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</row>
    <row r="383" spans="1:64">
      <c r="A383" s="80"/>
      <c r="B383" s="80"/>
      <c r="C383" s="80"/>
      <c r="D383" s="80"/>
      <c r="E383" s="80"/>
      <c r="F383" s="80"/>
      <c r="G383" s="80"/>
      <c r="H383" s="80"/>
      <c r="I383" s="177"/>
      <c r="J383" s="80"/>
      <c r="K383" s="80"/>
      <c r="L383" s="177"/>
      <c r="M383" s="111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177"/>
      <c r="Y383" s="80"/>
      <c r="Z383" s="80"/>
      <c r="AA383" s="177"/>
      <c r="AB383" s="177"/>
      <c r="AC383" s="111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</row>
    <row r="384" spans="1:64">
      <c r="A384" s="80"/>
      <c r="B384" s="80"/>
      <c r="C384" s="80"/>
      <c r="D384" s="80"/>
      <c r="E384" s="80"/>
      <c r="F384" s="80"/>
      <c r="G384" s="80"/>
      <c r="H384" s="80"/>
      <c r="I384" s="177"/>
      <c r="J384" s="80"/>
      <c r="K384" s="80"/>
      <c r="L384" s="177"/>
      <c r="M384" s="111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177"/>
      <c r="Y384" s="80"/>
      <c r="Z384" s="80"/>
      <c r="AA384" s="177"/>
      <c r="AB384" s="177"/>
      <c r="AC384" s="111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</row>
    <row r="385" spans="1:64">
      <c r="A385" s="80"/>
      <c r="B385" s="80"/>
      <c r="C385" s="80"/>
      <c r="D385" s="80"/>
      <c r="E385" s="80"/>
      <c r="F385" s="80"/>
      <c r="G385" s="80"/>
      <c r="H385" s="80"/>
      <c r="I385" s="177"/>
      <c r="J385" s="80"/>
      <c r="K385" s="80"/>
      <c r="L385" s="177"/>
      <c r="M385" s="111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177"/>
      <c r="Y385" s="80"/>
      <c r="Z385" s="80"/>
      <c r="AA385" s="177"/>
      <c r="AB385" s="177"/>
      <c r="AC385" s="111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</row>
    <row r="386" spans="1:64">
      <c r="A386" s="80"/>
      <c r="B386" s="80"/>
      <c r="C386" s="80"/>
      <c r="D386" s="80"/>
      <c r="E386" s="80"/>
      <c r="F386" s="80"/>
      <c r="G386" s="80"/>
      <c r="H386" s="80"/>
      <c r="I386" s="177"/>
      <c r="J386" s="80"/>
      <c r="K386" s="80"/>
      <c r="L386" s="177"/>
      <c r="M386" s="111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177"/>
      <c r="Y386" s="80"/>
      <c r="Z386" s="80"/>
      <c r="AA386" s="177"/>
      <c r="AB386" s="177"/>
      <c r="AC386" s="111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</row>
    <row r="387" spans="1:64">
      <c r="A387" s="80"/>
      <c r="B387" s="80"/>
      <c r="C387" s="80"/>
      <c r="D387" s="80"/>
      <c r="E387" s="80"/>
      <c r="F387" s="80"/>
      <c r="G387" s="80"/>
      <c r="H387" s="80"/>
      <c r="I387" s="177"/>
      <c r="J387" s="80"/>
      <c r="K387" s="80"/>
      <c r="L387" s="177"/>
      <c r="M387" s="111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177"/>
      <c r="Y387" s="80"/>
      <c r="Z387" s="80"/>
      <c r="AA387" s="177"/>
      <c r="AB387" s="177"/>
      <c r="AC387" s="111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</row>
    <row r="388" spans="1:64">
      <c r="A388" s="80"/>
      <c r="B388" s="80"/>
      <c r="C388" s="80"/>
      <c r="D388" s="80"/>
      <c r="E388" s="80"/>
      <c r="F388" s="80"/>
      <c r="G388" s="80"/>
      <c r="H388" s="80"/>
      <c r="I388" s="177"/>
      <c r="J388" s="80"/>
      <c r="K388" s="80"/>
      <c r="L388" s="177"/>
      <c r="M388" s="111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177"/>
      <c r="Y388" s="80"/>
      <c r="Z388" s="80"/>
      <c r="AA388" s="177"/>
      <c r="AB388" s="177"/>
      <c r="AC388" s="111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</row>
    <row r="389" spans="1:64">
      <c r="A389" s="80"/>
      <c r="B389" s="80"/>
      <c r="C389" s="80"/>
      <c r="D389" s="80"/>
      <c r="E389" s="80"/>
      <c r="F389" s="80"/>
      <c r="G389" s="80"/>
      <c r="H389" s="80"/>
      <c r="I389" s="177"/>
      <c r="J389" s="80"/>
      <c r="K389" s="80"/>
      <c r="L389" s="177"/>
      <c r="M389" s="111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177"/>
      <c r="Y389" s="80"/>
      <c r="Z389" s="80"/>
      <c r="AA389" s="177"/>
      <c r="AB389" s="177"/>
      <c r="AC389" s="111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</row>
    <row r="390" spans="1:64">
      <c r="A390" s="80"/>
      <c r="B390" s="80"/>
      <c r="C390" s="80"/>
      <c r="D390" s="80"/>
      <c r="E390" s="80"/>
      <c r="F390" s="80"/>
      <c r="G390" s="80"/>
      <c r="H390" s="80"/>
      <c r="I390" s="177"/>
      <c r="J390" s="80"/>
      <c r="K390" s="80"/>
      <c r="L390" s="177"/>
      <c r="M390" s="111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177"/>
      <c r="Y390" s="80"/>
      <c r="Z390" s="80"/>
      <c r="AA390" s="177"/>
      <c r="AB390" s="177"/>
      <c r="AC390" s="111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</row>
    <row r="391" spans="1:64">
      <c r="A391" s="80"/>
      <c r="B391" s="80"/>
      <c r="C391" s="80"/>
      <c r="D391" s="80"/>
      <c r="E391" s="80"/>
      <c r="F391" s="80"/>
      <c r="G391" s="80"/>
      <c r="H391" s="80"/>
      <c r="I391" s="177"/>
      <c r="J391" s="80"/>
      <c r="K391" s="80"/>
      <c r="L391" s="177"/>
      <c r="M391" s="111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177"/>
      <c r="Y391" s="80"/>
      <c r="Z391" s="80"/>
      <c r="AA391" s="177"/>
      <c r="AB391" s="177"/>
      <c r="AC391" s="111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  <c r="BK391" s="80"/>
      <c r="BL391" s="80"/>
    </row>
    <row r="392" spans="1:64">
      <c r="A392" s="80"/>
      <c r="B392" s="80"/>
      <c r="C392" s="80"/>
      <c r="D392" s="80"/>
      <c r="E392" s="80"/>
      <c r="F392" s="80"/>
      <c r="G392" s="80"/>
      <c r="H392" s="80"/>
      <c r="I392" s="177"/>
      <c r="J392" s="80"/>
      <c r="K392" s="80"/>
      <c r="L392" s="177"/>
      <c r="M392" s="111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177"/>
      <c r="Y392" s="80"/>
      <c r="Z392" s="80"/>
      <c r="AA392" s="177"/>
      <c r="AB392" s="177"/>
      <c r="AC392" s="111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</row>
    <row r="393" spans="1:64">
      <c r="A393" s="80"/>
      <c r="B393" s="80"/>
      <c r="C393" s="80"/>
      <c r="D393" s="80"/>
      <c r="E393" s="80"/>
      <c r="F393" s="80"/>
      <c r="G393" s="80"/>
      <c r="H393" s="80"/>
      <c r="I393" s="177"/>
      <c r="J393" s="80"/>
      <c r="K393" s="80"/>
      <c r="L393" s="177"/>
      <c r="M393" s="111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177"/>
      <c r="Y393" s="80"/>
      <c r="Z393" s="80"/>
      <c r="AA393" s="177"/>
      <c r="AB393" s="177"/>
      <c r="AC393" s="111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</row>
    <row r="394" spans="1:64">
      <c r="A394" s="80"/>
      <c r="B394" s="80"/>
      <c r="C394" s="80"/>
      <c r="D394" s="80"/>
      <c r="E394" s="80"/>
      <c r="F394" s="80"/>
      <c r="G394" s="80"/>
      <c r="H394" s="80"/>
      <c r="I394" s="177"/>
      <c r="J394" s="80"/>
      <c r="K394" s="80"/>
      <c r="L394" s="177"/>
      <c r="M394" s="111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177"/>
      <c r="Y394" s="80"/>
      <c r="Z394" s="80"/>
      <c r="AA394" s="177"/>
      <c r="AB394" s="177"/>
      <c r="AC394" s="111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</row>
    <row r="395" spans="1:64">
      <c r="A395" s="80"/>
      <c r="B395" s="80"/>
      <c r="C395" s="80"/>
      <c r="D395" s="80"/>
      <c r="E395" s="80"/>
      <c r="F395" s="80"/>
      <c r="G395" s="80"/>
      <c r="H395" s="80"/>
      <c r="I395" s="177"/>
      <c r="J395" s="80"/>
      <c r="K395" s="80"/>
      <c r="L395" s="177"/>
      <c r="M395" s="111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177"/>
      <c r="Y395" s="80"/>
      <c r="Z395" s="80"/>
      <c r="AA395" s="177"/>
      <c r="AB395" s="177"/>
      <c r="AC395" s="111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</row>
    <row r="396" spans="1:64">
      <c r="A396" s="80"/>
      <c r="B396" s="80"/>
      <c r="C396" s="80"/>
      <c r="D396" s="80"/>
      <c r="E396" s="80"/>
      <c r="F396" s="80"/>
      <c r="G396" s="80"/>
      <c r="H396" s="80"/>
      <c r="I396" s="177"/>
      <c r="J396" s="80"/>
      <c r="K396" s="80"/>
      <c r="L396" s="177"/>
      <c r="M396" s="111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177"/>
      <c r="Y396" s="80"/>
      <c r="Z396" s="80"/>
      <c r="AA396" s="177"/>
      <c r="AB396" s="177"/>
      <c r="AC396" s="111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</row>
    <row r="397" spans="1:64">
      <c r="A397" s="80"/>
      <c r="B397" s="80"/>
      <c r="C397" s="80"/>
      <c r="D397" s="80"/>
      <c r="E397" s="80"/>
      <c r="F397" s="80"/>
      <c r="G397" s="80"/>
      <c r="H397" s="80"/>
      <c r="I397" s="177"/>
      <c r="J397" s="80"/>
      <c r="K397" s="80"/>
      <c r="L397" s="177"/>
      <c r="M397" s="111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177"/>
      <c r="Y397" s="80"/>
      <c r="Z397" s="80"/>
      <c r="AA397" s="177"/>
      <c r="AB397" s="177"/>
      <c r="AC397" s="111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</row>
    <row r="398" spans="1:64">
      <c r="A398" s="80"/>
      <c r="B398" s="80"/>
      <c r="C398" s="80"/>
      <c r="D398" s="80"/>
      <c r="E398" s="80"/>
      <c r="F398" s="80"/>
      <c r="G398" s="80"/>
      <c r="H398" s="80"/>
      <c r="I398" s="177"/>
      <c r="J398" s="80"/>
      <c r="K398" s="80"/>
      <c r="L398" s="177"/>
      <c r="M398" s="111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177"/>
      <c r="Y398" s="80"/>
      <c r="Z398" s="80"/>
      <c r="AA398" s="177"/>
      <c r="AB398" s="177"/>
      <c r="AC398" s="111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</row>
    <row r="399" spans="1:64">
      <c r="A399" s="80"/>
      <c r="B399" s="80"/>
      <c r="C399" s="80"/>
      <c r="D399" s="80"/>
      <c r="E399" s="80"/>
      <c r="F399" s="80"/>
      <c r="G399" s="80"/>
      <c r="H399" s="80"/>
      <c r="I399" s="177"/>
      <c r="J399" s="80"/>
      <c r="K399" s="80"/>
      <c r="L399" s="177"/>
      <c r="M399" s="111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177"/>
      <c r="Y399" s="80"/>
      <c r="Z399" s="80"/>
      <c r="AA399" s="177"/>
      <c r="AB399" s="177"/>
      <c r="AC399" s="111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</row>
    <row r="400" spans="1:64">
      <c r="A400" s="80"/>
      <c r="B400" s="80"/>
      <c r="C400" s="80"/>
      <c r="D400" s="80"/>
      <c r="E400" s="80"/>
      <c r="F400" s="80"/>
      <c r="G400" s="80"/>
      <c r="H400" s="80"/>
      <c r="I400" s="177"/>
      <c r="J400" s="80"/>
      <c r="K400" s="80"/>
      <c r="L400" s="177"/>
      <c r="M400" s="111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177"/>
      <c r="Y400" s="80"/>
      <c r="Z400" s="80"/>
      <c r="AA400" s="177"/>
      <c r="AB400" s="177"/>
      <c r="AC400" s="111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</row>
    <row r="401" spans="1:64">
      <c r="A401" s="80"/>
      <c r="B401" s="80"/>
      <c r="C401" s="80"/>
      <c r="D401" s="80"/>
      <c r="E401" s="80"/>
      <c r="F401" s="80"/>
      <c r="G401" s="80"/>
      <c r="H401" s="80"/>
      <c r="I401" s="177"/>
      <c r="J401" s="80"/>
      <c r="K401" s="80"/>
      <c r="L401" s="177"/>
      <c r="M401" s="111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177"/>
      <c r="Y401" s="80"/>
      <c r="Z401" s="80"/>
      <c r="AA401" s="177"/>
      <c r="AB401" s="177"/>
      <c r="AC401" s="111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  <c r="BG401" s="80"/>
      <c r="BH401" s="80"/>
      <c r="BI401" s="80"/>
      <c r="BJ401" s="80"/>
      <c r="BK401" s="80"/>
      <c r="BL401" s="80"/>
    </row>
    <row r="402" spans="1:64">
      <c r="A402" s="80"/>
      <c r="B402" s="80"/>
      <c r="C402" s="80"/>
      <c r="D402" s="80"/>
      <c r="E402" s="80"/>
      <c r="F402" s="80"/>
      <c r="G402" s="80"/>
      <c r="H402" s="80"/>
      <c r="I402" s="177"/>
      <c r="J402" s="80"/>
      <c r="K402" s="80"/>
      <c r="L402" s="177"/>
      <c r="M402" s="111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177"/>
      <c r="Y402" s="80"/>
      <c r="Z402" s="80"/>
      <c r="AA402" s="177"/>
      <c r="AB402" s="177"/>
      <c r="AC402" s="111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</row>
    <row r="403" spans="1:64">
      <c r="A403" s="80"/>
      <c r="B403" s="80"/>
      <c r="C403" s="80"/>
      <c r="D403" s="80"/>
      <c r="E403" s="80"/>
      <c r="F403" s="80"/>
      <c r="G403" s="80"/>
      <c r="H403" s="80"/>
      <c r="I403" s="177"/>
      <c r="J403" s="80"/>
      <c r="K403" s="80"/>
      <c r="L403" s="177"/>
      <c r="M403" s="111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177"/>
      <c r="Y403" s="80"/>
      <c r="Z403" s="80"/>
      <c r="AA403" s="177"/>
      <c r="AB403" s="177"/>
      <c r="AC403" s="111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</row>
    <row r="404" spans="1:64">
      <c r="A404" s="80"/>
      <c r="B404" s="80"/>
      <c r="C404" s="80"/>
      <c r="D404" s="80"/>
      <c r="E404" s="80"/>
      <c r="F404" s="80"/>
      <c r="G404" s="80"/>
      <c r="H404" s="80"/>
      <c r="I404" s="177"/>
      <c r="J404" s="80"/>
      <c r="K404" s="80"/>
      <c r="L404" s="177"/>
      <c r="M404" s="111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177"/>
      <c r="Y404" s="80"/>
      <c r="Z404" s="80"/>
      <c r="AA404" s="177"/>
      <c r="AB404" s="177"/>
      <c r="AC404" s="111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</row>
    <row r="405" spans="1:64">
      <c r="A405" s="80"/>
      <c r="B405" s="80"/>
      <c r="C405" s="80"/>
      <c r="D405" s="80"/>
      <c r="E405" s="80"/>
      <c r="F405" s="80"/>
      <c r="G405" s="80"/>
      <c r="H405" s="80"/>
      <c r="I405" s="177"/>
      <c r="J405" s="80"/>
      <c r="K405" s="80"/>
      <c r="L405" s="177"/>
      <c r="M405" s="111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177"/>
      <c r="Y405" s="80"/>
      <c r="Z405" s="80"/>
      <c r="AA405" s="177"/>
      <c r="AB405" s="177"/>
      <c r="AC405" s="111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</row>
    <row r="406" spans="1:64">
      <c r="A406" s="80"/>
      <c r="B406" s="80"/>
      <c r="C406" s="80"/>
      <c r="D406" s="80"/>
      <c r="E406" s="80"/>
      <c r="F406" s="80"/>
      <c r="G406" s="80"/>
      <c r="H406" s="80"/>
      <c r="I406" s="177"/>
      <c r="J406" s="80"/>
      <c r="K406" s="80"/>
      <c r="L406" s="177"/>
      <c r="M406" s="111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177"/>
      <c r="Y406" s="80"/>
      <c r="Z406" s="80"/>
      <c r="AA406" s="177"/>
      <c r="AB406" s="177"/>
      <c r="AC406" s="111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</row>
    <row r="407" spans="1:64">
      <c r="A407" s="80"/>
      <c r="B407" s="80"/>
      <c r="C407" s="80"/>
      <c r="D407" s="80"/>
      <c r="E407" s="80"/>
      <c r="F407" s="80"/>
      <c r="G407" s="80"/>
      <c r="H407" s="80"/>
      <c r="I407" s="177"/>
      <c r="J407" s="80"/>
      <c r="K407" s="80"/>
      <c r="L407" s="177"/>
      <c r="M407" s="111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177"/>
      <c r="Y407" s="80"/>
      <c r="Z407" s="80"/>
      <c r="AA407" s="177"/>
      <c r="AB407" s="177"/>
      <c r="AC407" s="111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</row>
    <row r="408" spans="1:64">
      <c r="A408" s="80"/>
      <c r="B408" s="80"/>
      <c r="C408" s="80"/>
      <c r="D408" s="80"/>
      <c r="E408" s="80"/>
      <c r="F408" s="80"/>
      <c r="G408" s="80"/>
      <c r="H408" s="80"/>
      <c r="I408" s="177"/>
      <c r="J408" s="80"/>
      <c r="K408" s="80"/>
      <c r="L408" s="177"/>
      <c r="M408" s="111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177"/>
      <c r="Y408" s="80"/>
      <c r="Z408" s="80"/>
      <c r="AA408" s="177"/>
      <c r="AB408" s="177"/>
      <c r="AC408" s="111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</row>
    <row r="409" spans="1:64">
      <c r="A409" s="80"/>
      <c r="B409" s="80"/>
      <c r="C409" s="80"/>
      <c r="D409" s="80"/>
      <c r="E409" s="80"/>
      <c r="F409" s="80"/>
      <c r="G409" s="80"/>
      <c r="H409" s="80"/>
      <c r="I409" s="177"/>
      <c r="J409" s="80"/>
      <c r="K409" s="80"/>
      <c r="L409" s="177"/>
      <c r="M409" s="111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177"/>
      <c r="Y409" s="80"/>
      <c r="Z409" s="80"/>
      <c r="AA409" s="177"/>
      <c r="AB409" s="177"/>
      <c r="AC409" s="111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</row>
    <row r="410" spans="1:64">
      <c r="A410" s="80"/>
      <c r="B410" s="80"/>
      <c r="C410" s="80"/>
      <c r="D410" s="80"/>
      <c r="E410" s="80"/>
      <c r="F410" s="80"/>
      <c r="G410" s="80"/>
      <c r="H410" s="80"/>
      <c r="I410" s="177"/>
      <c r="J410" s="80"/>
      <c r="K410" s="80"/>
      <c r="L410" s="177"/>
      <c r="M410" s="111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177"/>
      <c r="Y410" s="80"/>
      <c r="Z410" s="80"/>
      <c r="AA410" s="177"/>
      <c r="AB410" s="177"/>
      <c r="AC410" s="111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</row>
    <row r="411" spans="1:64">
      <c r="A411" s="80"/>
      <c r="B411" s="80"/>
      <c r="C411" s="80"/>
      <c r="D411" s="80"/>
      <c r="E411" s="80"/>
      <c r="F411" s="80"/>
      <c r="G411" s="80"/>
      <c r="H411" s="80"/>
      <c r="I411" s="177"/>
      <c r="J411" s="80"/>
      <c r="K411" s="80"/>
      <c r="L411" s="177"/>
      <c r="M411" s="111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177"/>
      <c r="Y411" s="80"/>
      <c r="Z411" s="80"/>
      <c r="AA411" s="177"/>
      <c r="AB411" s="177"/>
      <c r="AC411" s="111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0"/>
      <c r="BI411" s="80"/>
      <c r="BJ411" s="80"/>
      <c r="BK411" s="80"/>
      <c r="BL411" s="80"/>
    </row>
    <row r="412" spans="1:64">
      <c r="A412" s="80"/>
      <c r="B412" s="80"/>
      <c r="C412" s="80"/>
      <c r="D412" s="80"/>
      <c r="E412" s="80"/>
      <c r="F412" s="80"/>
      <c r="G412" s="80"/>
      <c r="H412" s="80"/>
      <c r="I412" s="177"/>
      <c r="J412" s="80"/>
      <c r="K412" s="80"/>
      <c r="L412" s="177"/>
      <c r="M412" s="111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177"/>
      <c r="Y412" s="80"/>
      <c r="Z412" s="80"/>
      <c r="AA412" s="177"/>
      <c r="AB412" s="177"/>
      <c r="AC412" s="111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</row>
    <row r="413" spans="1:64">
      <c r="A413" s="80"/>
      <c r="B413" s="80"/>
      <c r="C413" s="80"/>
      <c r="D413" s="80"/>
      <c r="E413" s="80"/>
      <c r="F413" s="80"/>
      <c r="G413" s="80"/>
      <c r="H413" s="80"/>
      <c r="I413" s="177"/>
      <c r="J413" s="80"/>
      <c r="K413" s="80"/>
      <c r="L413" s="177"/>
      <c r="M413" s="111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177"/>
      <c r="Y413" s="80"/>
      <c r="Z413" s="80"/>
      <c r="AA413" s="177"/>
      <c r="AB413" s="177"/>
      <c r="AC413" s="111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</row>
    <row r="414" spans="1:64">
      <c r="A414" s="80"/>
      <c r="B414" s="80"/>
      <c r="C414" s="80"/>
      <c r="D414" s="80"/>
      <c r="E414" s="80"/>
      <c r="F414" s="80"/>
      <c r="G414" s="80"/>
      <c r="H414" s="80"/>
      <c r="I414" s="177"/>
      <c r="J414" s="80"/>
      <c r="K414" s="80"/>
      <c r="L414" s="177"/>
      <c r="M414" s="111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177"/>
      <c r="Y414" s="80"/>
      <c r="Z414" s="80"/>
      <c r="AA414" s="177"/>
      <c r="AB414" s="177"/>
      <c r="AC414" s="111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</row>
    <row r="415" spans="1:64">
      <c r="A415" s="80"/>
      <c r="B415" s="80"/>
      <c r="C415" s="80"/>
      <c r="D415" s="80"/>
      <c r="E415" s="80"/>
      <c r="F415" s="80"/>
      <c r="G415" s="80"/>
      <c r="H415" s="80"/>
      <c r="I415" s="177"/>
      <c r="J415" s="80"/>
      <c r="K415" s="80"/>
      <c r="L415" s="177"/>
      <c r="M415" s="111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177"/>
      <c r="Y415" s="80"/>
      <c r="Z415" s="80"/>
      <c r="AA415" s="177"/>
      <c r="AB415" s="177"/>
      <c r="AC415" s="111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</row>
    <row r="416" spans="1:64">
      <c r="A416" s="80"/>
      <c r="B416" s="80"/>
      <c r="C416" s="80"/>
      <c r="D416" s="80"/>
      <c r="E416" s="80"/>
      <c r="F416" s="80"/>
      <c r="G416" s="80"/>
      <c r="H416" s="80"/>
      <c r="I416" s="177"/>
      <c r="J416" s="80"/>
      <c r="K416" s="80"/>
      <c r="L416" s="177"/>
      <c r="M416" s="111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177"/>
      <c r="Y416" s="80"/>
      <c r="Z416" s="80"/>
      <c r="AA416" s="177"/>
      <c r="AB416" s="177"/>
      <c r="AC416" s="111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</row>
    <row r="417" spans="1:64">
      <c r="A417" s="80"/>
      <c r="B417" s="80"/>
      <c r="C417" s="80"/>
      <c r="D417" s="80"/>
      <c r="E417" s="80"/>
      <c r="F417" s="80"/>
      <c r="G417" s="80"/>
      <c r="H417" s="80"/>
      <c r="I417" s="177"/>
      <c r="J417" s="80"/>
      <c r="K417" s="80"/>
      <c r="L417" s="177"/>
      <c r="M417" s="111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177"/>
      <c r="Y417" s="80"/>
      <c r="Z417" s="80"/>
      <c r="AA417" s="177"/>
      <c r="AB417" s="177"/>
      <c r="AC417" s="111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</row>
    <row r="418" spans="1:64">
      <c r="A418" s="80"/>
      <c r="B418" s="80"/>
      <c r="C418" s="80"/>
      <c r="D418" s="80"/>
      <c r="E418" s="80"/>
      <c r="F418" s="80"/>
      <c r="G418" s="80"/>
      <c r="H418" s="80"/>
      <c r="I418" s="177"/>
      <c r="J418" s="80"/>
      <c r="K418" s="80"/>
      <c r="L418" s="177"/>
      <c r="M418" s="111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177"/>
      <c r="Y418" s="80"/>
      <c r="Z418" s="80"/>
      <c r="AA418" s="177"/>
      <c r="AB418" s="177"/>
      <c r="AC418" s="111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</row>
    <row r="419" spans="1:64">
      <c r="A419" s="80"/>
      <c r="B419" s="80"/>
      <c r="C419" s="80"/>
      <c r="D419" s="80"/>
      <c r="E419" s="80"/>
      <c r="F419" s="80"/>
      <c r="G419" s="80"/>
      <c r="H419" s="80"/>
      <c r="I419" s="177"/>
      <c r="J419" s="80"/>
      <c r="K419" s="80"/>
      <c r="L419" s="177"/>
      <c r="M419" s="111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177"/>
      <c r="Y419" s="80"/>
      <c r="Z419" s="80"/>
      <c r="AA419" s="177"/>
      <c r="AB419" s="177"/>
      <c r="AC419" s="111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</row>
    <row r="420" spans="1:64">
      <c r="A420" s="80"/>
      <c r="B420" s="80"/>
      <c r="C420" s="80"/>
      <c r="D420" s="80"/>
      <c r="E420" s="80"/>
      <c r="F420" s="80"/>
      <c r="G420" s="80"/>
      <c r="H420" s="80"/>
      <c r="I420" s="177"/>
      <c r="J420" s="80"/>
      <c r="K420" s="80"/>
      <c r="L420" s="177"/>
      <c r="M420" s="111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177"/>
      <c r="Y420" s="80"/>
      <c r="Z420" s="80"/>
      <c r="AA420" s="177"/>
      <c r="AB420" s="177"/>
      <c r="AC420" s="111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</row>
    <row r="421" spans="1:64">
      <c r="A421" s="80"/>
      <c r="B421" s="80"/>
      <c r="C421" s="80"/>
      <c r="D421" s="80"/>
      <c r="E421" s="80"/>
      <c r="F421" s="80"/>
      <c r="G421" s="80"/>
      <c r="H421" s="80"/>
      <c r="I421" s="177"/>
      <c r="J421" s="80"/>
      <c r="K421" s="80"/>
      <c r="L421" s="177"/>
      <c r="M421" s="111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177"/>
      <c r="Y421" s="80"/>
      <c r="Z421" s="80"/>
      <c r="AA421" s="177"/>
      <c r="AB421" s="177"/>
      <c r="AC421" s="111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</row>
    <row r="422" spans="1:64">
      <c r="A422" s="80"/>
      <c r="B422" s="80"/>
      <c r="C422" s="80"/>
      <c r="D422" s="80"/>
      <c r="E422" s="80"/>
      <c r="F422" s="80"/>
      <c r="G422" s="80"/>
      <c r="H422" s="80"/>
      <c r="I422" s="177"/>
      <c r="J422" s="80"/>
      <c r="K422" s="80"/>
      <c r="L422" s="177"/>
      <c r="M422" s="111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177"/>
      <c r="Y422" s="80"/>
      <c r="Z422" s="80"/>
      <c r="AA422" s="177"/>
      <c r="AB422" s="177"/>
      <c r="AC422" s="111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</row>
    <row r="423" spans="1:64">
      <c r="A423" s="80"/>
      <c r="B423" s="80"/>
      <c r="C423" s="80"/>
      <c r="D423" s="80"/>
      <c r="E423" s="80"/>
      <c r="F423" s="80"/>
      <c r="G423" s="80"/>
      <c r="H423" s="80"/>
      <c r="I423" s="177"/>
      <c r="J423" s="80"/>
      <c r="K423" s="80"/>
      <c r="L423" s="177"/>
      <c r="M423" s="111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177"/>
      <c r="Y423" s="80"/>
      <c r="Z423" s="80"/>
      <c r="AA423" s="177"/>
      <c r="AB423" s="177"/>
      <c r="AC423" s="111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</row>
    <row r="424" spans="1:64">
      <c r="A424" s="80"/>
      <c r="B424" s="80"/>
      <c r="C424" s="80"/>
      <c r="D424" s="80"/>
      <c r="E424" s="80"/>
      <c r="F424" s="80"/>
      <c r="G424" s="80"/>
      <c r="H424" s="80"/>
      <c r="I424" s="177"/>
      <c r="J424" s="80"/>
      <c r="K424" s="80"/>
      <c r="L424" s="177"/>
      <c r="M424" s="111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177"/>
      <c r="Y424" s="80"/>
      <c r="Z424" s="80"/>
      <c r="AA424" s="177"/>
      <c r="AB424" s="177"/>
      <c r="AC424" s="111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</row>
    <row r="425" spans="1:64">
      <c r="A425" s="80"/>
      <c r="B425" s="80"/>
      <c r="C425" s="80"/>
      <c r="D425" s="80"/>
      <c r="E425" s="80"/>
      <c r="F425" s="80"/>
      <c r="G425" s="80"/>
      <c r="H425" s="80"/>
      <c r="I425" s="177"/>
      <c r="J425" s="80"/>
      <c r="K425" s="80"/>
      <c r="L425" s="177"/>
      <c r="M425" s="111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177"/>
      <c r="Y425" s="80"/>
      <c r="Z425" s="80"/>
      <c r="AA425" s="177"/>
      <c r="AB425" s="177"/>
      <c r="AC425" s="111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</row>
    <row r="426" spans="1:64">
      <c r="A426" s="80"/>
      <c r="B426" s="80"/>
      <c r="C426" s="80"/>
      <c r="D426" s="80"/>
      <c r="E426" s="80"/>
      <c r="F426" s="80"/>
      <c r="G426" s="80"/>
      <c r="H426" s="80"/>
      <c r="I426" s="177"/>
      <c r="J426" s="80"/>
      <c r="K426" s="80"/>
      <c r="L426" s="177"/>
      <c r="M426" s="111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177"/>
      <c r="Y426" s="80"/>
      <c r="Z426" s="80"/>
      <c r="AA426" s="177"/>
      <c r="AB426" s="177"/>
      <c r="AC426" s="111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</row>
    <row r="427" spans="1:64">
      <c r="A427" s="80"/>
      <c r="B427" s="80"/>
      <c r="C427" s="80"/>
      <c r="D427" s="80"/>
      <c r="E427" s="80"/>
      <c r="F427" s="80"/>
      <c r="G427" s="80"/>
      <c r="H427" s="80"/>
      <c r="I427" s="177"/>
      <c r="J427" s="80"/>
      <c r="K427" s="80"/>
      <c r="L427" s="177"/>
      <c r="M427" s="111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177"/>
      <c r="Y427" s="80"/>
      <c r="Z427" s="80"/>
      <c r="AA427" s="177"/>
      <c r="AB427" s="177"/>
      <c r="AC427" s="111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</row>
    <row r="428" spans="1:64">
      <c r="A428" s="80"/>
      <c r="B428" s="80"/>
      <c r="C428" s="80"/>
      <c r="D428" s="80"/>
      <c r="E428" s="80"/>
      <c r="F428" s="80"/>
      <c r="G428" s="80"/>
      <c r="H428" s="80"/>
      <c r="I428" s="177"/>
      <c r="J428" s="80"/>
      <c r="K428" s="80"/>
      <c r="L428" s="177"/>
      <c r="M428" s="111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177"/>
      <c r="Y428" s="80"/>
      <c r="Z428" s="80"/>
      <c r="AA428" s="177"/>
      <c r="AB428" s="177"/>
      <c r="AC428" s="111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0"/>
      <c r="BI428" s="80"/>
      <c r="BJ428" s="80"/>
      <c r="BK428" s="80"/>
      <c r="BL428" s="80"/>
    </row>
    <row r="429" spans="1:64">
      <c r="A429" s="80"/>
      <c r="B429" s="80"/>
      <c r="C429" s="80"/>
      <c r="D429" s="80"/>
      <c r="E429" s="80"/>
      <c r="F429" s="80"/>
      <c r="G429" s="80"/>
      <c r="H429" s="80"/>
      <c r="I429" s="177"/>
      <c r="J429" s="80"/>
      <c r="K429" s="80"/>
      <c r="L429" s="177"/>
      <c r="M429" s="111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177"/>
      <c r="Y429" s="80"/>
      <c r="Z429" s="80"/>
      <c r="AA429" s="177"/>
      <c r="AB429" s="177"/>
      <c r="AC429" s="111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  <c r="BG429" s="80"/>
      <c r="BH429" s="80"/>
      <c r="BI429" s="80"/>
      <c r="BJ429" s="80"/>
      <c r="BK429" s="80"/>
      <c r="BL429" s="80"/>
    </row>
    <row r="430" spans="1:64">
      <c r="A430" s="80"/>
      <c r="B430" s="80"/>
      <c r="C430" s="80"/>
      <c r="D430" s="80"/>
      <c r="E430" s="80"/>
      <c r="F430" s="80"/>
      <c r="G430" s="80"/>
      <c r="H430" s="80"/>
      <c r="I430" s="177"/>
      <c r="J430" s="80"/>
      <c r="K430" s="80"/>
      <c r="L430" s="177"/>
      <c r="M430" s="111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177"/>
      <c r="Y430" s="80"/>
      <c r="Z430" s="80"/>
      <c r="AA430" s="177"/>
      <c r="AB430" s="177"/>
      <c r="AC430" s="111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0"/>
      <c r="BI430" s="80"/>
      <c r="BJ430" s="80"/>
      <c r="BK430" s="80"/>
      <c r="BL430" s="80"/>
    </row>
    <row r="431" spans="1:64">
      <c r="A431" s="80"/>
      <c r="B431" s="80"/>
      <c r="C431" s="80"/>
      <c r="D431" s="80"/>
      <c r="E431" s="80"/>
      <c r="F431" s="80"/>
      <c r="G431" s="80"/>
      <c r="H431" s="80"/>
      <c r="I431" s="177"/>
      <c r="J431" s="80"/>
      <c r="K431" s="80"/>
      <c r="L431" s="177"/>
      <c r="M431" s="111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177"/>
      <c r="Y431" s="80"/>
      <c r="Z431" s="80"/>
      <c r="AA431" s="177"/>
      <c r="AB431" s="177"/>
      <c r="AC431" s="111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  <c r="BG431" s="80"/>
      <c r="BH431" s="80"/>
      <c r="BI431" s="80"/>
      <c r="BJ431" s="80"/>
      <c r="BK431" s="80"/>
      <c r="BL431" s="80"/>
    </row>
    <row r="432" spans="1:64">
      <c r="A432" s="80"/>
      <c r="B432" s="80"/>
      <c r="C432" s="80"/>
      <c r="D432" s="80"/>
      <c r="E432" s="80"/>
      <c r="F432" s="80"/>
      <c r="G432" s="80"/>
      <c r="H432" s="80"/>
      <c r="I432" s="177"/>
      <c r="J432" s="80"/>
      <c r="K432" s="80"/>
      <c r="L432" s="177"/>
      <c r="M432" s="111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177"/>
      <c r="Y432" s="80"/>
      <c r="Z432" s="80"/>
      <c r="AA432" s="177"/>
      <c r="AB432" s="177"/>
      <c r="AC432" s="111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  <c r="BG432" s="80"/>
      <c r="BH432" s="80"/>
      <c r="BI432" s="80"/>
      <c r="BJ432" s="80"/>
      <c r="BK432" s="80"/>
      <c r="BL432" s="80"/>
    </row>
    <row r="433" spans="1:64">
      <c r="A433" s="80"/>
      <c r="B433" s="80"/>
      <c r="C433" s="80"/>
      <c r="D433" s="80"/>
      <c r="E433" s="80"/>
      <c r="F433" s="80"/>
      <c r="G433" s="80"/>
      <c r="H433" s="80"/>
      <c r="I433" s="177"/>
      <c r="J433" s="80"/>
      <c r="K433" s="80"/>
      <c r="L433" s="177"/>
      <c r="M433" s="111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177"/>
      <c r="Y433" s="80"/>
      <c r="Z433" s="80"/>
      <c r="AA433" s="177"/>
      <c r="AB433" s="177"/>
      <c r="AC433" s="111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  <c r="BG433" s="80"/>
      <c r="BH433" s="80"/>
      <c r="BI433" s="80"/>
      <c r="BJ433" s="80"/>
      <c r="BK433" s="80"/>
      <c r="BL433" s="80"/>
    </row>
    <row r="434" spans="1:64">
      <c r="A434" s="80"/>
      <c r="B434" s="80"/>
      <c r="C434" s="80"/>
      <c r="D434" s="80"/>
      <c r="E434" s="80"/>
      <c r="F434" s="80"/>
      <c r="G434" s="80"/>
      <c r="H434" s="80"/>
      <c r="I434" s="177"/>
      <c r="J434" s="80"/>
      <c r="K434" s="80"/>
      <c r="L434" s="177"/>
      <c r="M434" s="111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177"/>
      <c r="Y434" s="80"/>
      <c r="Z434" s="80"/>
      <c r="AA434" s="177"/>
      <c r="AB434" s="177"/>
      <c r="AC434" s="111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  <c r="BG434" s="80"/>
      <c r="BH434" s="80"/>
      <c r="BI434" s="80"/>
      <c r="BJ434" s="80"/>
      <c r="BK434" s="80"/>
      <c r="BL434" s="80"/>
    </row>
    <row r="435" spans="1:64">
      <c r="A435" s="80"/>
      <c r="B435" s="80"/>
      <c r="C435" s="80"/>
      <c r="D435" s="80"/>
      <c r="E435" s="80"/>
      <c r="F435" s="80"/>
      <c r="G435" s="80"/>
      <c r="H435" s="80"/>
      <c r="I435" s="177"/>
      <c r="J435" s="80"/>
      <c r="K435" s="80"/>
      <c r="L435" s="177"/>
      <c r="M435" s="111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177"/>
      <c r="Y435" s="80"/>
      <c r="Z435" s="80"/>
      <c r="AA435" s="177"/>
      <c r="AB435" s="177"/>
      <c r="AC435" s="111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  <c r="BG435" s="80"/>
      <c r="BH435" s="80"/>
      <c r="BI435" s="80"/>
      <c r="BJ435" s="80"/>
      <c r="BK435" s="80"/>
      <c r="BL435" s="80"/>
    </row>
    <row r="436" spans="1:64">
      <c r="A436" s="80"/>
      <c r="B436" s="80"/>
      <c r="C436" s="80"/>
      <c r="D436" s="80"/>
      <c r="E436" s="80"/>
      <c r="F436" s="80"/>
      <c r="G436" s="80"/>
      <c r="H436" s="80"/>
      <c r="I436" s="177"/>
      <c r="J436" s="80"/>
      <c r="K436" s="80"/>
      <c r="L436" s="177"/>
      <c r="M436" s="111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177"/>
      <c r="Y436" s="80"/>
      <c r="Z436" s="80"/>
      <c r="AA436" s="177"/>
      <c r="AB436" s="177"/>
      <c r="AC436" s="111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  <c r="BG436" s="80"/>
      <c r="BH436" s="80"/>
      <c r="BI436" s="80"/>
      <c r="BJ436" s="80"/>
      <c r="BK436" s="80"/>
      <c r="BL436" s="80"/>
    </row>
    <row r="437" spans="1:64">
      <c r="A437" s="80"/>
      <c r="B437" s="80"/>
      <c r="C437" s="80"/>
      <c r="D437" s="80"/>
      <c r="E437" s="80"/>
      <c r="F437" s="80"/>
      <c r="G437" s="80"/>
      <c r="H437" s="80"/>
      <c r="I437" s="177"/>
      <c r="J437" s="80"/>
      <c r="K437" s="80"/>
      <c r="L437" s="177"/>
      <c r="M437" s="111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177"/>
      <c r="Y437" s="80"/>
      <c r="Z437" s="80"/>
      <c r="AA437" s="177"/>
      <c r="AB437" s="177"/>
      <c r="AC437" s="111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  <c r="BG437" s="80"/>
      <c r="BH437" s="80"/>
      <c r="BI437" s="80"/>
      <c r="BJ437" s="80"/>
      <c r="BK437" s="80"/>
      <c r="BL437" s="80"/>
    </row>
    <row r="438" spans="1:64">
      <c r="A438" s="80"/>
      <c r="B438" s="80"/>
      <c r="C438" s="80"/>
      <c r="D438" s="80"/>
      <c r="E438" s="80"/>
      <c r="F438" s="80"/>
      <c r="G438" s="80"/>
      <c r="H438" s="80"/>
      <c r="I438" s="177"/>
      <c r="J438" s="80"/>
      <c r="K438" s="80"/>
      <c r="L438" s="177"/>
      <c r="M438" s="111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177"/>
      <c r="Y438" s="80"/>
      <c r="Z438" s="80"/>
      <c r="AA438" s="177"/>
      <c r="AB438" s="177"/>
      <c r="AC438" s="111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  <c r="BG438" s="80"/>
      <c r="BH438" s="80"/>
      <c r="BI438" s="80"/>
      <c r="BJ438" s="80"/>
      <c r="BK438" s="80"/>
      <c r="BL438" s="80"/>
    </row>
    <row r="439" spans="1:64">
      <c r="A439" s="80"/>
      <c r="B439" s="80"/>
      <c r="C439" s="80"/>
      <c r="D439" s="80"/>
      <c r="E439" s="80"/>
      <c r="F439" s="80"/>
      <c r="G439" s="80"/>
      <c r="H439" s="80"/>
      <c r="I439" s="177"/>
      <c r="J439" s="80"/>
      <c r="K439" s="80"/>
      <c r="L439" s="177"/>
      <c r="M439" s="111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177"/>
      <c r="Y439" s="80"/>
      <c r="Z439" s="80"/>
      <c r="AA439" s="177"/>
      <c r="AB439" s="177"/>
      <c r="AC439" s="111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  <c r="BG439" s="80"/>
      <c r="BH439" s="80"/>
      <c r="BI439" s="80"/>
      <c r="BJ439" s="80"/>
      <c r="BK439" s="80"/>
      <c r="BL439" s="80"/>
    </row>
    <row r="440" spans="1:64">
      <c r="A440" s="80"/>
      <c r="B440" s="80"/>
      <c r="C440" s="80"/>
      <c r="D440" s="80"/>
      <c r="E440" s="80"/>
      <c r="F440" s="80"/>
      <c r="G440" s="80"/>
      <c r="H440" s="80"/>
      <c r="I440" s="177"/>
      <c r="J440" s="80"/>
      <c r="K440" s="80"/>
      <c r="L440" s="177"/>
      <c r="M440" s="111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177"/>
      <c r="Y440" s="80"/>
      <c r="Z440" s="80"/>
      <c r="AA440" s="177"/>
      <c r="AB440" s="177"/>
      <c r="AC440" s="111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  <c r="BG440" s="80"/>
      <c r="BH440" s="80"/>
      <c r="BI440" s="80"/>
      <c r="BJ440" s="80"/>
      <c r="BK440" s="80"/>
      <c r="BL440" s="80"/>
    </row>
    <row r="441" spans="1:64">
      <c r="A441" s="80"/>
      <c r="B441" s="80"/>
      <c r="C441" s="80"/>
      <c r="D441" s="80"/>
      <c r="E441" s="80"/>
      <c r="F441" s="80"/>
      <c r="G441" s="80"/>
      <c r="H441" s="80"/>
      <c r="I441" s="177"/>
      <c r="J441" s="80"/>
      <c r="K441" s="80"/>
      <c r="L441" s="177"/>
      <c r="M441" s="111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177"/>
      <c r="Y441" s="80"/>
      <c r="Z441" s="80"/>
      <c r="AA441" s="177"/>
      <c r="AB441" s="177"/>
      <c r="AC441" s="111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  <c r="BG441" s="80"/>
      <c r="BH441" s="80"/>
      <c r="BI441" s="80"/>
      <c r="BJ441" s="80"/>
      <c r="BK441" s="80"/>
      <c r="BL441" s="80"/>
    </row>
    <row r="442" spans="1:64">
      <c r="A442" s="80"/>
      <c r="B442" s="80"/>
      <c r="C442" s="80"/>
      <c r="D442" s="80"/>
      <c r="E442" s="80"/>
      <c r="F442" s="80"/>
      <c r="G442" s="80"/>
      <c r="H442" s="80"/>
      <c r="I442" s="177"/>
      <c r="J442" s="80"/>
      <c r="K442" s="80"/>
      <c r="L442" s="177"/>
      <c r="M442" s="111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177"/>
      <c r="Y442" s="80"/>
      <c r="Z442" s="80"/>
      <c r="AA442" s="177"/>
      <c r="AB442" s="177"/>
      <c r="AC442" s="111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  <c r="BG442" s="80"/>
      <c r="BH442" s="80"/>
      <c r="BI442" s="80"/>
      <c r="BJ442" s="80"/>
      <c r="BK442" s="80"/>
      <c r="BL442" s="80"/>
    </row>
    <row r="443" spans="1:64">
      <c r="A443" s="80"/>
      <c r="B443" s="80"/>
      <c r="C443" s="80"/>
      <c r="D443" s="80"/>
      <c r="E443" s="80"/>
      <c r="F443" s="80"/>
      <c r="G443" s="80"/>
      <c r="H443" s="80"/>
      <c r="I443" s="177"/>
      <c r="J443" s="80"/>
      <c r="K443" s="80"/>
      <c r="L443" s="177"/>
      <c r="M443" s="111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177"/>
      <c r="Y443" s="80"/>
      <c r="Z443" s="80"/>
      <c r="AA443" s="177"/>
      <c r="AB443" s="177"/>
      <c r="AC443" s="111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  <c r="BG443" s="80"/>
      <c r="BH443" s="80"/>
      <c r="BI443" s="80"/>
      <c r="BJ443" s="80"/>
      <c r="BK443" s="80"/>
      <c r="BL443" s="80"/>
    </row>
    <row r="444" spans="1:64">
      <c r="A444" s="80"/>
      <c r="B444" s="80"/>
      <c r="C444" s="80"/>
      <c r="D444" s="80"/>
      <c r="E444" s="80"/>
      <c r="F444" s="80"/>
      <c r="G444" s="80"/>
      <c r="H444" s="80"/>
      <c r="I444" s="177"/>
      <c r="J444" s="80"/>
      <c r="K444" s="80"/>
      <c r="L444" s="177"/>
      <c r="M444" s="111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177"/>
      <c r="Y444" s="80"/>
      <c r="Z444" s="80"/>
      <c r="AA444" s="177"/>
      <c r="AB444" s="177"/>
      <c r="AC444" s="111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  <c r="BG444" s="80"/>
      <c r="BH444" s="80"/>
      <c r="BI444" s="80"/>
      <c r="BJ444" s="80"/>
      <c r="BK444" s="80"/>
      <c r="BL444" s="80"/>
    </row>
    <row r="445" spans="1:64">
      <c r="A445" s="80"/>
      <c r="B445" s="80"/>
      <c r="C445" s="80"/>
      <c r="D445" s="80"/>
      <c r="E445" s="80"/>
      <c r="F445" s="80"/>
      <c r="G445" s="80"/>
      <c r="H445" s="80"/>
      <c r="I445" s="177"/>
      <c r="J445" s="80"/>
      <c r="K445" s="80"/>
      <c r="L445" s="177"/>
      <c r="M445" s="111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177"/>
      <c r="Y445" s="80"/>
      <c r="Z445" s="80"/>
      <c r="AA445" s="177"/>
      <c r="AB445" s="177"/>
      <c r="AC445" s="111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  <c r="BG445" s="80"/>
      <c r="BH445" s="80"/>
      <c r="BI445" s="80"/>
      <c r="BJ445" s="80"/>
      <c r="BK445" s="80"/>
      <c r="BL445" s="80"/>
    </row>
    <row r="446" spans="1:64">
      <c r="A446" s="80"/>
      <c r="B446" s="80"/>
      <c r="C446" s="80"/>
      <c r="D446" s="80"/>
      <c r="E446" s="80"/>
      <c r="F446" s="80"/>
      <c r="G446" s="80"/>
      <c r="H446" s="80"/>
      <c r="I446" s="177"/>
      <c r="J446" s="80"/>
      <c r="K446" s="80"/>
      <c r="L446" s="177"/>
      <c r="M446" s="111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177"/>
      <c r="Y446" s="80"/>
      <c r="Z446" s="80"/>
      <c r="AA446" s="177"/>
      <c r="AB446" s="177"/>
      <c r="AC446" s="111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  <c r="BG446" s="80"/>
      <c r="BH446" s="80"/>
      <c r="BI446" s="80"/>
      <c r="BJ446" s="80"/>
      <c r="BK446" s="80"/>
      <c r="BL446" s="80"/>
    </row>
    <row r="447" spans="1:64">
      <c r="A447" s="80"/>
      <c r="B447" s="80"/>
      <c r="C447" s="80"/>
      <c r="D447" s="80"/>
      <c r="E447" s="80"/>
      <c r="F447" s="80"/>
      <c r="G447" s="80"/>
      <c r="H447" s="80"/>
      <c r="I447" s="177"/>
      <c r="J447" s="80"/>
      <c r="K447" s="80"/>
      <c r="L447" s="177"/>
      <c r="M447" s="111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177"/>
      <c r="Y447" s="80"/>
      <c r="Z447" s="80"/>
      <c r="AA447" s="177"/>
      <c r="AB447" s="177"/>
      <c r="AC447" s="111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0"/>
      <c r="BI447" s="80"/>
      <c r="BJ447" s="80"/>
      <c r="BK447" s="80"/>
      <c r="BL447" s="80"/>
    </row>
    <row r="448" spans="1:64">
      <c r="A448" s="80"/>
      <c r="B448" s="80"/>
      <c r="C448" s="80"/>
      <c r="D448" s="80"/>
      <c r="E448" s="80"/>
      <c r="F448" s="80"/>
      <c r="G448" s="80"/>
      <c r="H448" s="80"/>
      <c r="I448" s="177"/>
      <c r="J448" s="80"/>
      <c r="K448" s="80"/>
      <c r="L448" s="177"/>
      <c r="M448" s="111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177"/>
      <c r="Y448" s="80"/>
      <c r="Z448" s="80"/>
      <c r="AA448" s="177"/>
      <c r="AB448" s="177"/>
      <c r="AC448" s="111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0"/>
      <c r="BI448" s="80"/>
      <c r="BJ448" s="80"/>
      <c r="BK448" s="80"/>
      <c r="BL448" s="80"/>
    </row>
    <row r="449" spans="1:64">
      <c r="A449" s="80"/>
      <c r="B449" s="80"/>
      <c r="C449" s="80"/>
      <c r="D449" s="80"/>
      <c r="E449" s="80"/>
      <c r="F449" s="80"/>
      <c r="G449" s="80"/>
      <c r="H449" s="80"/>
      <c r="I449" s="177"/>
      <c r="J449" s="80"/>
      <c r="K449" s="80"/>
      <c r="L449" s="177"/>
      <c r="M449" s="111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177"/>
      <c r="Y449" s="80"/>
      <c r="Z449" s="80"/>
      <c r="AA449" s="177"/>
      <c r="AB449" s="177"/>
      <c r="AC449" s="111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  <c r="BG449" s="80"/>
      <c r="BH449" s="80"/>
      <c r="BI449" s="80"/>
      <c r="BJ449" s="80"/>
      <c r="BK449" s="80"/>
      <c r="BL449" s="80"/>
    </row>
    <row r="450" spans="1:64">
      <c r="A450" s="80"/>
      <c r="B450" s="80"/>
      <c r="C450" s="80"/>
      <c r="D450" s="80"/>
      <c r="E450" s="80"/>
      <c r="F450" s="80"/>
      <c r="G450" s="80"/>
      <c r="H450" s="80"/>
      <c r="I450" s="177"/>
      <c r="J450" s="80"/>
      <c r="K450" s="80"/>
      <c r="L450" s="177"/>
      <c r="M450" s="111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177"/>
      <c r="Y450" s="80"/>
      <c r="Z450" s="80"/>
      <c r="AA450" s="177"/>
      <c r="AB450" s="177"/>
      <c r="AC450" s="111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  <c r="BG450" s="80"/>
      <c r="BH450" s="80"/>
      <c r="BI450" s="80"/>
      <c r="BJ450" s="80"/>
      <c r="BK450" s="80"/>
      <c r="BL450" s="80"/>
    </row>
    <row r="451" spans="1:64">
      <c r="A451" s="80"/>
      <c r="B451" s="80"/>
      <c r="C451" s="80"/>
      <c r="D451" s="80"/>
      <c r="E451" s="80"/>
      <c r="F451" s="80"/>
      <c r="G451" s="80"/>
      <c r="H451" s="80"/>
      <c r="I451" s="177"/>
      <c r="J451" s="80"/>
      <c r="K451" s="80"/>
      <c r="L451" s="177"/>
      <c r="M451" s="111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177"/>
      <c r="Y451" s="80"/>
      <c r="Z451" s="80"/>
      <c r="AA451" s="177"/>
      <c r="AB451" s="177"/>
      <c r="AC451" s="111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  <c r="BG451" s="80"/>
      <c r="BH451" s="80"/>
      <c r="BI451" s="80"/>
      <c r="BJ451" s="80"/>
      <c r="BK451" s="80"/>
      <c r="BL451" s="80"/>
    </row>
    <row r="452" spans="1:64">
      <c r="A452" s="80"/>
      <c r="B452" s="80"/>
      <c r="C452" s="80"/>
      <c r="D452" s="80"/>
      <c r="E452" s="80"/>
      <c r="F452" s="80"/>
      <c r="G452" s="80"/>
      <c r="H452" s="80"/>
      <c r="I452" s="177"/>
      <c r="J452" s="80"/>
      <c r="K452" s="80"/>
      <c r="L452" s="177"/>
      <c r="M452" s="111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177"/>
      <c r="Y452" s="80"/>
      <c r="Z452" s="80"/>
      <c r="AA452" s="177"/>
      <c r="AB452" s="177"/>
      <c r="AC452" s="111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  <c r="BG452" s="80"/>
      <c r="BH452" s="80"/>
      <c r="BI452" s="80"/>
      <c r="BJ452" s="80"/>
      <c r="BK452" s="80"/>
      <c r="BL452" s="80"/>
    </row>
    <row r="453" spans="1:64">
      <c r="A453" s="80"/>
      <c r="B453" s="80"/>
      <c r="C453" s="80"/>
      <c r="D453" s="80"/>
      <c r="E453" s="80"/>
      <c r="F453" s="80"/>
      <c r="G453" s="80"/>
      <c r="H453" s="80"/>
      <c r="I453" s="177"/>
      <c r="J453" s="80"/>
      <c r="K453" s="80"/>
      <c r="L453" s="177"/>
      <c r="M453" s="111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177"/>
      <c r="Y453" s="80"/>
      <c r="Z453" s="80"/>
      <c r="AA453" s="177"/>
      <c r="AB453" s="177"/>
      <c r="AC453" s="111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  <c r="BG453" s="80"/>
      <c r="BH453" s="80"/>
      <c r="BI453" s="80"/>
      <c r="BJ453" s="80"/>
      <c r="BK453" s="80"/>
      <c r="BL453" s="80"/>
    </row>
    <row r="454" spans="1:64">
      <c r="A454" s="80"/>
      <c r="B454" s="80"/>
      <c r="C454" s="80"/>
      <c r="D454" s="80"/>
      <c r="E454" s="80"/>
      <c r="F454" s="80"/>
      <c r="G454" s="80"/>
      <c r="H454" s="80"/>
      <c r="I454" s="177"/>
      <c r="J454" s="80"/>
      <c r="K454" s="80"/>
      <c r="L454" s="177"/>
      <c r="M454" s="111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177"/>
      <c r="Y454" s="80"/>
      <c r="Z454" s="80"/>
      <c r="AA454" s="177"/>
      <c r="AB454" s="177"/>
      <c r="AC454" s="111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  <c r="BG454" s="80"/>
      <c r="BH454" s="80"/>
      <c r="BI454" s="80"/>
      <c r="BJ454" s="80"/>
      <c r="BK454" s="80"/>
      <c r="BL454" s="80"/>
    </row>
    <row r="455" spans="1:64">
      <c r="A455" s="80"/>
      <c r="B455" s="80"/>
      <c r="C455" s="80"/>
      <c r="D455" s="80"/>
      <c r="E455" s="80"/>
      <c r="F455" s="80"/>
      <c r="G455" s="80"/>
      <c r="H455" s="80"/>
      <c r="I455" s="177"/>
      <c r="J455" s="80"/>
      <c r="K455" s="80"/>
      <c r="L455" s="177"/>
      <c r="M455" s="111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177"/>
      <c r="Y455" s="80"/>
      <c r="Z455" s="80"/>
      <c r="AA455" s="177"/>
      <c r="AB455" s="177"/>
      <c r="AC455" s="111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  <c r="BG455" s="80"/>
      <c r="BH455" s="80"/>
      <c r="BI455" s="80"/>
      <c r="BJ455" s="80"/>
      <c r="BK455" s="80"/>
      <c r="BL455" s="80"/>
    </row>
    <row r="456" spans="1:64">
      <c r="A456" s="80"/>
      <c r="B456" s="80"/>
      <c r="C456" s="80"/>
      <c r="D456" s="80"/>
      <c r="E456" s="80"/>
      <c r="F456" s="80"/>
      <c r="G456" s="80"/>
      <c r="H456" s="80"/>
      <c r="I456" s="177"/>
      <c r="J456" s="80"/>
      <c r="K456" s="80"/>
      <c r="L456" s="177"/>
      <c r="M456" s="111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177"/>
      <c r="Y456" s="80"/>
      <c r="Z456" s="80"/>
      <c r="AA456" s="177"/>
      <c r="AB456" s="177"/>
      <c r="AC456" s="111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  <c r="BG456" s="80"/>
      <c r="BH456" s="80"/>
      <c r="BI456" s="80"/>
      <c r="BJ456" s="80"/>
      <c r="BK456" s="80"/>
      <c r="BL456" s="80"/>
    </row>
    <row r="457" spans="1:64">
      <c r="A457" s="80"/>
      <c r="B457" s="80"/>
      <c r="C457" s="80"/>
      <c r="D457" s="80"/>
      <c r="E457" s="80"/>
      <c r="F457" s="80"/>
      <c r="G457" s="80"/>
      <c r="H457" s="80"/>
      <c r="I457" s="177"/>
      <c r="J457" s="80"/>
      <c r="K457" s="80"/>
      <c r="L457" s="177"/>
      <c r="M457" s="111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177"/>
      <c r="Y457" s="80"/>
      <c r="Z457" s="80"/>
      <c r="AA457" s="177"/>
      <c r="AB457" s="177"/>
      <c r="AC457" s="111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  <c r="BG457" s="80"/>
      <c r="BH457" s="80"/>
      <c r="BI457" s="80"/>
      <c r="BJ457" s="80"/>
      <c r="BK457" s="80"/>
      <c r="BL457" s="80"/>
    </row>
    <row r="458" spans="1:64">
      <c r="A458" s="80"/>
      <c r="B458" s="80"/>
      <c r="C458" s="80"/>
      <c r="D458" s="80"/>
      <c r="E458" s="80"/>
      <c r="F458" s="80"/>
      <c r="G458" s="80"/>
      <c r="H458" s="80"/>
      <c r="I458" s="177"/>
      <c r="J458" s="80"/>
      <c r="K458" s="80"/>
      <c r="L458" s="177"/>
      <c r="M458" s="111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177"/>
      <c r="Y458" s="80"/>
      <c r="Z458" s="80"/>
      <c r="AA458" s="177"/>
      <c r="AB458" s="177"/>
      <c r="AC458" s="111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  <c r="BG458" s="80"/>
      <c r="BH458" s="80"/>
      <c r="BI458" s="80"/>
      <c r="BJ458" s="80"/>
      <c r="BK458" s="80"/>
      <c r="BL458" s="80"/>
    </row>
    <row r="459" spans="1:64">
      <c r="A459" s="80"/>
      <c r="B459" s="80"/>
      <c r="C459" s="80"/>
      <c r="D459" s="80"/>
      <c r="E459" s="80"/>
      <c r="F459" s="80"/>
      <c r="G459" s="80"/>
      <c r="H459" s="80"/>
      <c r="I459" s="177"/>
      <c r="J459" s="80"/>
      <c r="K459" s="80"/>
      <c r="L459" s="177"/>
      <c r="M459" s="111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177"/>
      <c r="Y459" s="80"/>
      <c r="Z459" s="80"/>
      <c r="AA459" s="177"/>
      <c r="AB459" s="177"/>
      <c r="AC459" s="111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  <c r="BG459" s="80"/>
      <c r="BH459" s="80"/>
      <c r="BI459" s="80"/>
      <c r="BJ459" s="80"/>
      <c r="BK459" s="80"/>
      <c r="BL459" s="80"/>
    </row>
    <row r="460" spans="1:64">
      <c r="A460" s="80"/>
      <c r="B460" s="80"/>
      <c r="C460" s="80"/>
      <c r="D460" s="80"/>
      <c r="E460" s="80"/>
      <c r="F460" s="80"/>
      <c r="G460" s="80"/>
      <c r="H460" s="80"/>
      <c r="I460" s="177"/>
      <c r="J460" s="80"/>
      <c r="K460" s="80"/>
      <c r="L460" s="177"/>
      <c r="M460" s="111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177"/>
      <c r="Y460" s="80"/>
      <c r="Z460" s="80"/>
      <c r="AA460" s="177"/>
      <c r="AB460" s="177"/>
      <c r="AC460" s="111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  <c r="BG460" s="80"/>
      <c r="BH460" s="80"/>
      <c r="BI460" s="80"/>
      <c r="BJ460" s="80"/>
      <c r="BK460" s="80"/>
      <c r="BL460" s="80"/>
    </row>
    <row r="461" spans="1:64">
      <c r="A461" s="80"/>
      <c r="B461" s="80"/>
      <c r="C461" s="80"/>
      <c r="D461" s="80"/>
      <c r="E461" s="80"/>
      <c r="F461" s="80"/>
      <c r="G461" s="80"/>
      <c r="H461" s="80"/>
      <c r="I461" s="177"/>
      <c r="J461" s="80"/>
      <c r="K461" s="80"/>
      <c r="L461" s="177"/>
      <c r="M461" s="111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177"/>
      <c r="Y461" s="80"/>
      <c r="Z461" s="80"/>
      <c r="AA461" s="177"/>
      <c r="AB461" s="177"/>
      <c r="AC461" s="111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  <c r="BG461" s="80"/>
      <c r="BH461" s="80"/>
      <c r="BI461" s="80"/>
      <c r="BJ461" s="80"/>
      <c r="BK461" s="80"/>
      <c r="BL461" s="80"/>
    </row>
    <row r="462" spans="1:64">
      <c r="A462" s="80"/>
      <c r="B462" s="80"/>
      <c r="C462" s="80"/>
      <c r="D462" s="80"/>
      <c r="E462" s="80"/>
      <c r="F462" s="80"/>
      <c r="G462" s="80"/>
      <c r="H462" s="80"/>
      <c r="I462" s="177"/>
      <c r="J462" s="80"/>
      <c r="K462" s="80"/>
      <c r="L462" s="177"/>
      <c r="M462" s="111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177"/>
      <c r="Y462" s="80"/>
      <c r="Z462" s="80"/>
      <c r="AA462" s="177"/>
      <c r="AB462" s="177"/>
      <c r="AC462" s="111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  <c r="BG462" s="80"/>
      <c r="BH462" s="80"/>
      <c r="BI462" s="80"/>
      <c r="BJ462" s="80"/>
      <c r="BK462" s="80"/>
      <c r="BL462" s="80"/>
    </row>
    <row r="463" spans="1:64">
      <c r="A463" s="80"/>
      <c r="B463" s="80"/>
      <c r="C463" s="80"/>
      <c r="D463" s="80"/>
      <c r="E463" s="80"/>
      <c r="F463" s="80"/>
      <c r="G463" s="80"/>
      <c r="H463" s="80"/>
      <c r="I463" s="177"/>
      <c r="J463" s="80"/>
      <c r="K463" s="80"/>
      <c r="L463" s="177"/>
      <c r="M463" s="111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177"/>
      <c r="Y463" s="80"/>
      <c r="Z463" s="80"/>
      <c r="AA463" s="177"/>
      <c r="AB463" s="177"/>
      <c r="AC463" s="111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0"/>
      <c r="BI463" s="80"/>
      <c r="BJ463" s="80"/>
      <c r="BK463" s="80"/>
      <c r="BL463" s="80"/>
    </row>
    <row r="464" spans="1:64">
      <c r="A464" s="80"/>
      <c r="B464" s="80"/>
      <c r="C464" s="80"/>
      <c r="D464" s="80"/>
      <c r="E464" s="80"/>
      <c r="F464" s="80"/>
      <c r="G464" s="80"/>
      <c r="H464" s="80"/>
      <c r="I464" s="177"/>
      <c r="J464" s="80"/>
      <c r="K464" s="80"/>
      <c r="L464" s="177"/>
      <c r="M464" s="111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177"/>
      <c r="Y464" s="80"/>
      <c r="Z464" s="80"/>
      <c r="AA464" s="177"/>
      <c r="AB464" s="177"/>
      <c r="AC464" s="111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  <c r="BG464" s="80"/>
      <c r="BH464" s="80"/>
      <c r="BI464" s="80"/>
      <c r="BJ464" s="80"/>
      <c r="BK464" s="80"/>
      <c r="BL464" s="80"/>
    </row>
    <row r="465" spans="1:64">
      <c r="A465" s="80"/>
      <c r="B465" s="80"/>
      <c r="C465" s="80"/>
      <c r="D465" s="80"/>
      <c r="E465" s="80"/>
      <c r="F465" s="80"/>
      <c r="G465" s="80"/>
      <c r="H465" s="80"/>
      <c r="I465" s="177"/>
      <c r="J465" s="80"/>
      <c r="K465" s="80"/>
      <c r="L465" s="177"/>
      <c r="M465" s="111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177"/>
      <c r="Y465" s="80"/>
      <c r="Z465" s="80"/>
      <c r="AA465" s="177"/>
      <c r="AB465" s="177"/>
      <c r="AC465" s="111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  <c r="BG465" s="80"/>
      <c r="BH465" s="80"/>
      <c r="BI465" s="80"/>
      <c r="BJ465" s="80"/>
      <c r="BK465" s="80"/>
      <c r="BL465" s="80"/>
    </row>
    <row r="466" spans="1:64">
      <c r="A466" s="80"/>
      <c r="B466" s="80"/>
      <c r="C466" s="80"/>
      <c r="D466" s="80"/>
      <c r="E466" s="80"/>
      <c r="F466" s="80"/>
      <c r="G466" s="80"/>
      <c r="H466" s="80"/>
      <c r="I466" s="177"/>
      <c r="J466" s="80"/>
      <c r="K466" s="80"/>
      <c r="L466" s="177"/>
      <c r="M466" s="111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177"/>
      <c r="Y466" s="80"/>
      <c r="Z466" s="80"/>
      <c r="AA466" s="177"/>
      <c r="AB466" s="177"/>
      <c r="AC466" s="111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  <c r="BG466" s="80"/>
      <c r="BH466" s="80"/>
      <c r="BI466" s="80"/>
      <c r="BJ466" s="80"/>
      <c r="BK466" s="80"/>
      <c r="BL466" s="80"/>
    </row>
    <row r="467" spans="1:64">
      <c r="A467" s="80"/>
      <c r="B467" s="80"/>
      <c r="C467" s="80"/>
      <c r="D467" s="80"/>
      <c r="E467" s="80"/>
      <c r="F467" s="80"/>
      <c r="G467" s="80"/>
      <c r="H467" s="80"/>
      <c r="I467" s="177"/>
      <c r="J467" s="80"/>
      <c r="K467" s="80"/>
      <c r="L467" s="177"/>
      <c r="M467" s="111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177"/>
      <c r="Y467" s="80"/>
      <c r="Z467" s="80"/>
      <c r="AA467" s="177"/>
      <c r="AB467" s="177"/>
      <c r="AC467" s="111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  <c r="BG467" s="80"/>
      <c r="BH467" s="80"/>
      <c r="BI467" s="80"/>
      <c r="BJ467" s="80"/>
      <c r="BK467" s="80"/>
      <c r="BL467" s="80"/>
    </row>
    <row r="468" spans="1:64">
      <c r="A468" s="80"/>
      <c r="B468" s="80"/>
      <c r="C468" s="80"/>
      <c r="D468" s="80"/>
      <c r="E468" s="80"/>
      <c r="F468" s="80"/>
      <c r="G468" s="80"/>
      <c r="H468" s="80"/>
      <c r="I468" s="177"/>
      <c r="J468" s="80"/>
      <c r="K468" s="80"/>
      <c r="L468" s="177"/>
      <c r="M468" s="111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177"/>
      <c r="Y468" s="80"/>
      <c r="Z468" s="80"/>
      <c r="AA468" s="177"/>
      <c r="AB468" s="177"/>
      <c r="AC468" s="111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  <c r="BG468" s="80"/>
      <c r="BH468" s="80"/>
      <c r="BI468" s="80"/>
      <c r="BJ468" s="80"/>
      <c r="BK468" s="80"/>
      <c r="BL468" s="80"/>
    </row>
    <row r="469" spans="1:64">
      <c r="A469" s="80"/>
      <c r="B469" s="80"/>
      <c r="C469" s="80"/>
      <c r="D469" s="80"/>
      <c r="E469" s="80"/>
      <c r="F469" s="80"/>
      <c r="G469" s="80"/>
      <c r="H469" s="80"/>
      <c r="I469" s="177"/>
      <c r="J469" s="80"/>
      <c r="K469" s="80"/>
      <c r="L469" s="177"/>
      <c r="M469" s="111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177"/>
      <c r="Y469" s="80"/>
      <c r="Z469" s="80"/>
      <c r="AA469" s="177"/>
      <c r="AB469" s="177"/>
      <c r="AC469" s="111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  <c r="BG469" s="80"/>
      <c r="BH469" s="80"/>
      <c r="BI469" s="80"/>
      <c r="BJ469" s="80"/>
      <c r="BK469" s="80"/>
      <c r="BL469" s="80"/>
    </row>
  </sheetData>
  <mergeCells count="8">
    <mergeCell ref="B61:F61"/>
    <mergeCell ref="AE3:AI3"/>
    <mergeCell ref="B3:F3"/>
    <mergeCell ref="G3:M3"/>
    <mergeCell ref="N3:Q3"/>
    <mergeCell ref="R3:U3"/>
    <mergeCell ref="W3:X3"/>
    <mergeCell ref="Y3:AC3"/>
  </mergeCells>
  <phoneticPr fontId="0" type="noConversion"/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3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1"/>
  <sheetViews>
    <sheetView workbookViewId="0">
      <selection activeCell="B2" sqref="B2"/>
    </sheetView>
  </sheetViews>
  <sheetFormatPr baseColWidth="10" defaultRowHeight="12.75"/>
  <cols>
    <col min="1" max="1" width="28.140625" customWidth="1"/>
    <col min="2" max="2" width="19.85546875" customWidth="1"/>
  </cols>
  <sheetData>
    <row r="1" spans="1:65" ht="56.25" customHeight="1" thickBot="1">
      <c r="A1" s="112" t="s">
        <v>0</v>
      </c>
      <c r="B1" s="390" t="s">
        <v>349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</row>
    <row r="2" spans="1:65" ht="13.5" thickTop="1">
      <c r="A2" s="72" t="s">
        <v>1</v>
      </c>
      <c r="B2" s="391">
        <v>46.9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  <c r="BL2" s="219"/>
      <c r="BM2" s="219"/>
    </row>
    <row r="3" spans="1:65">
      <c r="A3" s="73" t="s">
        <v>2</v>
      </c>
      <c r="B3" s="392">
        <v>980.9</v>
      </c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</row>
    <row r="4" spans="1:65">
      <c r="A4" s="73" t="s">
        <v>3</v>
      </c>
      <c r="B4" s="392">
        <v>694.5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</row>
    <row r="5" spans="1:65">
      <c r="A5" s="73" t="s">
        <v>4</v>
      </c>
      <c r="B5" s="392">
        <v>190.5</v>
      </c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</row>
    <row r="6" spans="1:65">
      <c r="A6" s="73" t="s">
        <v>5</v>
      </c>
      <c r="B6" s="392">
        <v>4539.2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</row>
    <row r="7" spans="1:65">
      <c r="A7" s="73" t="s">
        <v>6</v>
      </c>
      <c r="B7" s="392">
        <v>224</v>
      </c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</row>
    <row r="8" spans="1:65">
      <c r="A8" s="73" t="s">
        <v>7</v>
      </c>
      <c r="B8" s="392">
        <v>2688.6</v>
      </c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</row>
    <row r="9" spans="1:65">
      <c r="A9" s="73" t="s">
        <v>8</v>
      </c>
      <c r="B9" s="392">
        <v>466.7</v>
      </c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</row>
    <row r="10" spans="1:65">
      <c r="A10" s="73" t="s">
        <v>9</v>
      </c>
      <c r="B10" s="392">
        <v>1140.9000000000001</v>
      </c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</row>
    <row r="11" spans="1:65">
      <c r="A11" s="73" t="s">
        <v>10</v>
      </c>
      <c r="B11" s="392">
        <v>104.3</v>
      </c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</row>
    <row r="12" spans="1:65">
      <c r="A12" s="73" t="s">
        <v>11</v>
      </c>
      <c r="B12" s="392">
        <v>1007.4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</row>
    <row r="13" spans="1:65">
      <c r="A13" s="73" t="s">
        <v>12</v>
      </c>
      <c r="B13" s="392">
        <v>4265.7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</row>
    <row r="14" spans="1:65">
      <c r="A14" s="73" t="s">
        <v>13</v>
      </c>
      <c r="B14" s="392">
        <v>138.69999999999999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</row>
    <row r="15" spans="1:65">
      <c r="A15" s="73" t="s">
        <v>14</v>
      </c>
      <c r="B15" s="392">
        <v>5053.7</v>
      </c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</row>
    <row r="16" spans="1:65">
      <c r="A16" s="73" t="s">
        <v>15</v>
      </c>
      <c r="B16" s="392">
        <v>720.7</v>
      </c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</row>
    <row r="17" spans="1:65">
      <c r="A17" s="73" t="s">
        <v>16</v>
      </c>
      <c r="B17" s="392">
        <v>614.70000000000005</v>
      </c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</row>
    <row r="18" spans="1:65">
      <c r="A18" s="73" t="s">
        <v>17</v>
      </c>
      <c r="B18" s="392">
        <v>7068.3</v>
      </c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</row>
    <row r="19" spans="1:65">
      <c r="A19" s="73" t="s">
        <v>18</v>
      </c>
      <c r="B19" s="392">
        <v>1032</v>
      </c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</row>
    <row r="20" spans="1:65">
      <c r="A20" s="73" t="s">
        <v>19</v>
      </c>
      <c r="B20" s="392">
        <v>1888.6</v>
      </c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</row>
    <row r="21" spans="1:65">
      <c r="A21" s="73" t="s">
        <v>20</v>
      </c>
      <c r="B21" s="392">
        <v>149.4</v>
      </c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</row>
    <row r="22" spans="1:65">
      <c r="A22" s="73" t="s">
        <v>21</v>
      </c>
      <c r="B22" s="392">
        <v>2478.8000000000002</v>
      </c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</row>
    <row r="23" spans="1:65">
      <c r="A23" s="73" t="s">
        <v>22</v>
      </c>
      <c r="B23" s="392">
        <v>387.9</v>
      </c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</row>
    <row r="24" spans="1:65">
      <c r="A24" s="73" t="s">
        <v>23</v>
      </c>
      <c r="B24" s="392">
        <v>1306.7</v>
      </c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</row>
    <row r="25" spans="1:65">
      <c r="A25" s="73" t="s">
        <v>24</v>
      </c>
      <c r="B25" s="392">
        <v>184.5</v>
      </c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</row>
    <row r="26" spans="1:65">
      <c r="A26" s="73" t="s">
        <v>25</v>
      </c>
      <c r="B26" s="392">
        <v>118.4</v>
      </c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</row>
    <row r="27" spans="1:65">
      <c r="A27" s="73" t="s">
        <v>26</v>
      </c>
      <c r="B27" s="392">
        <v>496.6</v>
      </c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</row>
    <row r="28" spans="1:65">
      <c r="A28" s="73" t="s">
        <v>27</v>
      </c>
      <c r="B28" s="392">
        <v>170.6</v>
      </c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</row>
    <row r="29" spans="1:65">
      <c r="A29" s="73" t="s">
        <v>28</v>
      </c>
      <c r="B29" s="392">
        <v>443.2</v>
      </c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</row>
    <row r="30" spans="1:65">
      <c r="A30" s="73" t="s">
        <v>29</v>
      </c>
      <c r="B30" s="392">
        <v>127.8</v>
      </c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</row>
    <row r="31" spans="1:65">
      <c r="A31" s="73" t="s">
        <v>30</v>
      </c>
      <c r="B31" s="392">
        <v>560.5</v>
      </c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</row>
    <row r="32" spans="1:65">
      <c r="A32" s="73" t="s">
        <v>31</v>
      </c>
      <c r="B32" s="392">
        <v>247.3</v>
      </c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</row>
    <row r="33" spans="1:65">
      <c r="A33" s="73" t="s">
        <v>32</v>
      </c>
      <c r="B33" s="392">
        <v>3428</v>
      </c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</row>
    <row r="34" spans="1:65">
      <c r="A34" s="73" t="s">
        <v>33</v>
      </c>
      <c r="B34" s="392">
        <v>2509.1999999999998</v>
      </c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</row>
    <row r="35" spans="1:65">
      <c r="A35" s="73" t="s">
        <v>34</v>
      </c>
      <c r="B35" s="392">
        <v>264.89999999999998</v>
      </c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</row>
    <row r="36" spans="1:65">
      <c r="A36" s="73" t="s">
        <v>35</v>
      </c>
      <c r="B36" s="392">
        <v>207.9</v>
      </c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19"/>
      <c r="BK36" s="219"/>
      <c r="BL36" s="219"/>
      <c r="BM36" s="219"/>
    </row>
    <row r="37" spans="1:65">
      <c r="A37" s="73" t="s">
        <v>36</v>
      </c>
      <c r="B37" s="392">
        <v>997.9</v>
      </c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</row>
    <row r="38" spans="1:65">
      <c r="A38" s="73" t="s">
        <v>37</v>
      </c>
      <c r="B38" s="392">
        <v>3860</v>
      </c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</row>
    <row r="39" spans="1:65">
      <c r="A39" s="73" t="s">
        <v>38</v>
      </c>
      <c r="B39" s="392">
        <v>1869</v>
      </c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</row>
    <row r="40" spans="1:65">
      <c r="A40" s="73" t="s">
        <v>39</v>
      </c>
      <c r="B40" s="392">
        <v>324.39999999999998</v>
      </c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</row>
    <row r="41" spans="1:65">
      <c r="A41" s="73" t="s">
        <v>40</v>
      </c>
      <c r="B41" s="392">
        <v>1171.2</v>
      </c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</row>
    <row r="42" spans="1:65">
      <c r="A42" s="73" t="s">
        <v>41</v>
      </c>
      <c r="B42" s="392">
        <v>322.8</v>
      </c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  <c r="AX42" s="219"/>
      <c r="AY42" s="219"/>
      <c r="AZ42" s="219"/>
      <c r="BA42" s="219"/>
      <c r="BB42" s="219"/>
      <c r="BC42" s="219"/>
      <c r="BD42" s="219"/>
      <c r="BE42" s="219"/>
      <c r="BF42" s="219"/>
      <c r="BG42" s="219"/>
      <c r="BH42" s="219"/>
      <c r="BI42" s="219"/>
      <c r="BJ42" s="219"/>
      <c r="BK42" s="219"/>
      <c r="BL42" s="219"/>
      <c r="BM42" s="219"/>
    </row>
    <row r="43" spans="1:65">
      <c r="A43" s="73" t="s">
        <v>42</v>
      </c>
      <c r="B43" s="392">
        <v>1341</v>
      </c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  <c r="AP43" s="219"/>
      <c r="AQ43" s="219"/>
      <c r="AR43" s="219"/>
      <c r="AS43" s="219"/>
      <c r="AT43" s="219"/>
      <c r="AU43" s="219"/>
      <c r="AV43" s="219"/>
      <c r="AW43" s="219"/>
      <c r="AX43" s="219"/>
      <c r="AY43" s="219"/>
      <c r="AZ43" s="219"/>
      <c r="BA43" s="219"/>
      <c r="BB43" s="219"/>
      <c r="BC43" s="219"/>
      <c r="BD43" s="219"/>
      <c r="BE43" s="219"/>
      <c r="BF43" s="219"/>
      <c r="BG43" s="219"/>
      <c r="BH43" s="219"/>
      <c r="BI43" s="219"/>
      <c r="BJ43" s="219"/>
      <c r="BK43" s="219"/>
      <c r="BL43" s="219"/>
      <c r="BM43" s="219"/>
    </row>
    <row r="44" spans="1:65">
      <c r="A44" s="73" t="s">
        <v>43</v>
      </c>
      <c r="B44" s="392">
        <v>683.1</v>
      </c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219"/>
      <c r="AS44" s="219"/>
      <c r="AT44" s="219"/>
      <c r="AU44" s="219"/>
      <c r="AV44" s="219"/>
      <c r="AW44" s="219"/>
      <c r="AX44" s="219"/>
      <c r="AY44" s="219"/>
      <c r="AZ44" s="219"/>
      <c r="BA44" s="219"/>
      <c r="BB44" s="219"/>
      <c r="BC44" s="219"/>
      <c r="BD44" s="219"/>
      <c r="BE44" s="219"/>
      <c r="BF44" s="219"/>
      <c r="BG44" s="219"/>
      <c r="BH44" s="219"/>
      <c r="BI44" s="219"/>
      <c r="BJ44" s="219"/>
      <c r="BK44" s="219"/>
      <c r="BL44" s="219"/>
      <c r="BM44" s="219"/>
    </row>
    <row r="45" spans="1:65">
      <c r="A45" s="73" t="s">
        <v>44</v>
      </c>
      <c r="B45" s="392">
        <v>1541.5</v>
      </c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19"/>
      <c r="AL45" s="219"/>
      <c r="AM45" s="219"/>
      <c r="AN45" s="219"/>
      <c r="AO45" s="219"/>
      <c r="AP45" s="219"/>
      <c r="AQ45" s="219"/>
      <c r="AR45" s="219"/>
      <c r="AS45" s="219"/>
      <c r="AT45" s="219"/>
      <c r="AU45" s="219"/>
      <c r="AV45" s="219"/>
      <c r="AW45" s="219"/>
      <c r="AX45" s="219"/>
      <c r="AY45" s="219"/>
      <c r="AZ45" s="219"/>
      <c r="BA45" s="219"/>
      <c r="BB45" s="219"/>
      <c r="BC45" s="219"/>
      <c r="BD45" s="219"/>
      <c r="BE45" s="219"/>
      <c r="BF45" s="219"/>
      <c r="BG45" s="219"/>
      <c r="BH45" s="219"/>
      <c r="BI45" s="219"/>
      <c r="BJ45" s="219"/>
      <c r="BK45" s="219"/>
      <c r="BL45" s="219"/>
      <c r="BM45" s="219"/>
    </row>
    <row r="46" spans="1:65">
      <c r="A46" s="73" t="s">
        <v>45</v>
      </c>
      <c r="B46" s="392">
        <v>1667.4</v>
      </c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19"/>
      <c r="AU46" s="219"/>
      <c r="AV46" s="219"/>
      <c r="AW46" s="219"/>
      <c r="AX46" s="219"/>
      <c r="AY46" s="219"/>
      <c r="AZ46" s="219"/>
      <c r="BA46" s="219"/>
      <c r="BB46" s="219"/>
      <c r="BC46" s="219"/>
      <c r="BD46" s="219"/>
      <c r="BE46" s="219"/>
      <c r="BF46" s="219"/>
      <c r="BG46" s="219"/>
      <c r="BH46" s="219"/>
      <c r="BI46" s="219"/>
      <c r="BJ46" s="219"/>
      <c r="BK46" s="219"/>
      <c r="BL46" s="219"/>
      <c r="BM46" s="219"/>
    </row>
    <row r="47" spans="1:65">
      <c r="A47" s="73" t="s">
        <v>46</v>
      </c>
      <c r="B47" s="392">
        <v>60.1</v>
      </c>
      <c r="C47" s="219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</row>
    <row r="48" spans="1:65">
      <c r="A48" s="73" t="s">
        <v>47</v>
      </c>
      <c r="B48" s="392">
        <v>70.8</v>
      </c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</row>
    <row r="49" spans="1:65">
      <c r="A49" s="73" t="s">
        <v>48</v>
      </c>
      <c r="B49" s="392">
        <v>915.8</v>
      </c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19"/>
    </row>
    <row r="50" spans="1:65">
      <c r="A50" s="73" t="s">
        <v>49</v>
      </c>
      <c r="B50" s="392">
        <v>739.2</v>
      </c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19"/>
    </row>
    <row r="51" spans="1:65">
      <c r="A51" s="73" t="s">
        <v>50</v>
      </c>
      <c r="B51" s="392">
        <v>1764.9</v>
      </c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</row>
    <row r="52" spans="1:65">
      <c r="A52" s="73" t="s">
        <v>51</v>
      </c>
      <c r="B52" s="392">
        <v>879.3</v>
      </c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19"/>
      <c r="AR52" s="219"/>
      <c r="AS52" s="219"/>
      <c r="AT52" s="219"/>
      <c r="AU52" s="219"/>
      <c r="AV52" s="219"/>
      <c r="AW52" s="219"/>
      <c r="AX52" s="219"/>
      <c r="AY52" s="219"/>
      <c r="AZ52" s="219"/>
      <c r="BA52" s="219"/>
      <c r="BB52" s="219"/>
      <c r="BC52" s="219"/>
      <c r="BD52" s="219"/>
      <c r="BE52" s="219"/>
      <c r="BF52" s="219"/>
      <c r="BG52" s="219"/>
      <c r="BH52" s="219"/>
      <c r="BI52" s="219"/>
      <c r="BJ52" s="219"/>
      <c r="BK52" s="219"/>
      <c r="BL52" s="219"/>
      <c r="BM52" s="219"/>
    </row>
    <row r="53" spans="1:65" ht="13.5" thickBot="1">
      <c r="A53" s="97" t="s">
        <v>52</v>
      </c>
      <c r="B53" s="393">
        <f t="shared" ref="B53" si="0">SUM(B2:B52)</f>
        <v>64156.400000000016</v>
      </c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/>
      <c r="BG53" s="219"/>
      <c r="BH53" s="219"/>
      <c r="BI53" s="219"/>
      <c r="BJ53" s="219"/>
      <c r="BK53" s="219"/>
      <c r="BL53" s="219"/>
      <c r="BM53" s="219"/>
    </row>
    <row r="54" spans="1:65" ht="13.5" thickTop="1">
      <c r="A54" s="80"/>
      <c r="B54" s="394"/>
      <c r="C54" s="219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19"/>
      <c r="AL54" s="219"/>
      <c r="AM54" s="219"/>
      <c r="AN54" s="219"/>
      <c r="AO54" s="219"/>
      <c r="AP54" s="219"/>
      <c r="AQ54" s="219"/>
      <c r="AR54" s="219"/>
      <c r="AS54" s="219"/>
      <c r="AT54" s="219"/>
      <c r="AU54" s="219"/>
      <c r="AV54" s="219"/>
      <c r="AW54" s="219"/>
      <c r="AX54" s="219"/>
      <c r="AY54" s="219"/>
      <c r="AZ54" s="219"/>
      <c r="BA54" s="219"/>
      <c r="BB54" s="219"/>
      <c r="BC54" s="219"/>
      <c r="BD54" s="219"/>
      <c r="BE54" s="219"/>
      <c r="BF54" s="219"/>
      <c r="BG54" s="219"/>
      <c r="BH54" s="219"/>
      <c r="BI54" s="219"/>
      <c r="BJ54" s="219"/>
      <c r="BK54" s="219"/>
      <c r="BL54" s="219"/>
      <c r="BM54" s="219"/>
    </row>
    <row r="55" spans="1:65">
      <c r="A55" s="80" t="s">
        <v>350</v>
      </c>
      <c r="B55" s="394"/>
      <c r="C55" s="219"/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19"/>
      <c r="AL55" s="219"/>
      <c r="AM55" s="219"/>
      <c r="AN55" s="219"/>
      <c r="AO55" s="219"/>
      <c r="AP55" s="219"/>
      <c r="AQ55" s="219"/>
      <c r="AR55" s="219"/>
      <c r="AS55" s="219"/>
      <c r="AT55" s="219"/>
      <c r="AU55" s="219"/>
      <c r="AV55" s="219"/>
      <c r="AW55" s="219"/>
      <c r="AX55" s="219"/>
      <c r="AY55" s="219"/>
      <c r="AZ55" s="219"/>
      <c r="BA55" s="219"/>
      <c r="BB55" s="219"/>
      <c r="BC55" s="219"/>
      <c r="BD55" s="219"/>
      <c r="BE55" s="219"/>
      <c r="BF55" s="219"/>
      <c r="BG55" s="219"/>
      <c r="BH55" s="219"/>
      <c r="BI55" s="219"/>
      <c r="BJ55" s="219"/>
      <c r="BK55" s="219"/>
      <c r="BL55" s="219"/>
      <c r="BM55" s="219"/>
    </row>
    <row r="56" spans="1:65">
      <c r="A56" s="219"/>
      <c r="B56" s="219"/>
      <c r="C56" s="219"/>
      <c r="D56" s="219"/>
      <c r="E56" s="219"/>
      <c r="F56" s="219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219"/>
      <c r="AN56" s="219"/>
      <c r="AO56" s="219"/>
      <c r="AP56" s="219"/>
      <c r="AQ56" s="219"/>
      <c r="AR56" s="219"/>
      <c r="AS56" s="219"/>
      <c r="AT56" s="219"/>
      <c r="AU56" s="219"/>
      <c r="AV56" s="219"/>
      <c r="AW56" s="219"/>
      <c r="AX56" s="219"/>
      <c r="AY56" s="219"/>
      <c r="AZ56" s="219"/>
      <c r="BA56" s="219"/>
      <c r="BB56" s="219"/>
      <c r="BC56" s="219"/>
      <c r="BD56" s="219"/>
      <c r="BE56" s="219"/>
      <c r="BF56" s="219"/>
      <c r="BG56" s="219"/>
      <c r="BH56" s="219"/>
      <c r="BI56" s="219"/>
      <c r="BJ56" s="219"/>
      <c r="BK56" s="219"/>
      <c r="BL56" s="219"/>
      <c r="BM56" s="219"/>
    </row>
    <row r="57" spans="1:65">
      <c r="A57" s="219"/>
      <c r="B57" s="219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19"/>
      <c r="AL57" s="219"/>
      <c r="AM57" s="219"/>
      <c r="AN57" s="219"/>
      <c r="AO57" s="219"/>
      <c r="AP57" s="219"/>
      <c r="AQ57" s="219"/>
      <c r="AR57" s="219"/>
      <c r="AS57" s="219"/>
      <c r="AT57" s="219"/>
      <c r="AU57" s="219"/>
      <c r="AV57" s="219"/>
      <c r="AW57" s="219"/>
      <c r="AX57" s="219"/>
      <c r="AY57" s="219"/>
      <c r="AZ57" s="219"/>
      <c r="BA57" s="219"/>
      <c r="BB57" s="219"/>
      <c r="BC57" s="219"/>
      <c r="BD57" s="219"/>
      <c r="BE57" s="219"/>
      <c r="BF57" s="219"/>
      <c r="BG57" s="219"/>
      <c r="BH57" s="219"/>
      <c r="BI57" s="219"/>
      <c r="BJ57" s="219"/>
      <c r="BK57" s="219"/>
      <c r="BL57" s="219"/>
      <c r="BM57" s="219"/>
    </row>
    <row r="58" spans="1:65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19"/>
      <c r="AL58" s="219"/>
      <c r="AM58" s="219"/>
      <c r="AN58" s="219"/>
      <c r="AO58" s="219"/>
      <c r="AP58" s="219"/>
      <c r="AQ58" s="219"/>
      <c r="AR58" s="219"/>
      <c r="AS58" s="219"/>
      <c r="AT58" s="219"/>
      <c r="AU58" s="219"/>
      <c r="AV58" s="219"/>
      <c r="AW58" s="219"/>
      <c r="AX58" s="219"/>
      <c r="AY58" s="219"/>
      <c r="AZ58" s="219"/>
      <c r="BA58" s="219"/>
      <c r="BB58" s="219"/>
      <c r="BC58" s="219"/>
      <c r="BD58" s="219"/>
      <c r="BE58" s="219"/>
      <c r="BF58" s="219"/>
      <c r="BG58" s="219"/>
      <c r="BH58" s="219"/>
      <c r="BI58" s="219"/>
      <c r="BJ58" s="219"/>
      <c r="BK58" s="219"/>
      <c r="BL58" s="219"/>
      <c r="BM58" s="219"/>
    </row>
    <row r="59" spans="1:65">
      <c r="A59" s="219"/>
      <c r="B59" s="219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19"/>
      <c r="AL59" s="219"/>
      <c r="AM59" s="219"/>
      <c r="AN59" s="219"/>
      <c r="AO59" s="219"/>
      <c r="AP59" s="219"/>
      <c r="AQ59" s="219"/>
      <c r="AR59" s="219"/>
      <c r="AS59" s="219"/>
      <c r="AT59" s="219"/>
      <c r="AU59" s="219"/>
      <c r="AV59" s="219"/>
      <c r="AW59" s="219"/>
      <c r="AX59" s="219"/>
      <c r="AY59" s="219"/>
      <c r="AZ59" s="219"/>
      <c r="BA59" s="219"/>
      <c r="BB59" s="219"/>
      <c r="BC59" s="219"/>
      <c r="BD59" s="219"/>
      <c r="BE59" s="219"/>
      <c r="BF59" s="219"/>
      <c r="BG59" s="219"/>
      <c r="BH59" s="219"/>
      <c r="BI59" s="219"/>
      <c r="BJ59" s="219"/>
      <c r="BK59" s="219"/>
      <c r="BL59" s="219"/>
      <c r="BM59" s="219"/>
    </row>
    <row r="60" spans="1:65">
      <c r="A60" s="219"/>
      <c r="B60" s="219"/>
      <c r="C60" s="219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19"/>
      <c r="AW60" s="219"/>
      <c r="AX60" s="219"/>
      <c r="AY60" s="219"/>
      <c r="AZ60" s="219"/>
      <c r="BA60" s="219"/>
      <c r="BB60" s="219"/>
      <c r="BC60" s="219"/>
      <c r="BD60" s="219"/>
      <c r="BE60" s="219"/>
      <c r="BF60" s="219"/>
      <c r="BG60" s="219"/>
      <c r="BH60" s="219"/>
      <c r="BI60" s="219"/>
      <c r="BJ60" s="219"/>
      <c r="BK60" s="219"/>
      <c r="BL60" s="219"/>
      <c r="BM60" s="219"/>
    </row>
    <row r="61" spans="1:65">
      <c r="A61" s="219"/>
      <c r="B61" s="219"/>
      <c r="C61" s="219"/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219"/>
      <c r="AN61" s="219"/>
      <c r="AO61" s="219"/>
      <c r="AP61" s="219"/>
      <c r="AQ61" s="219"/>
      <c r="AR61" s="219"/>
      <c r="AS61" s="219"/>
      <c r="AT61" s="219"/>
      <c r="AU61" s="219"/>
      <c r="AV61" s="219"/>
      <c r="AW61" s="219"/>
      <c r="AX61" s="219"/>
      <c r="AY61" s="219"/>
      <c r="AZ61" s="219"/>
      <c r="BA61" s="219"/>
      <c r="BB61" s="219"/>
      <c r="BC61" s="219"/>
      <c r="BD61" s="219"/>
      <c r="BE61" s="219"/>
      <c r="BF61" s="219"/>
      <c r="BG61" s="219"/>
      <c r="BH61" s="219"/>
      <c r="BI61" s="219"/>
      <c r="BJ61" s="219"/>
      <c r="BK61" s="219"/>
      <c r="BL61" s="219"/>
      <c r="BM61" s="219"/>
    </row>
    <row r="62" spans="1:65">
      <c r="A62" s="219"/>
      <c r="B62" s="219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219"/>
      <c r="AN62" s="219"/>
      <c r="AO62" s="219"/>
      <c r="AP62" s="219"/>
      <c r="AQ62" s="219"/>
      <c r="AR62" s="219"/>
      <c r="AS62" s="219"/>
      <c r="AT62" s="219"/>
      <c r="AU62" s="219"/>
      <c r="AV62" s="219"/>
      <c r="AW62" s="219"/>
      <c r="AX62" s="219"/>
      <c r="AY62" s="219"/>
      <c r="AZ62" s="219"/>
      <c r="BA62" s="219"/>
      <c r="BB62" s="219"/>
      <c r="BC62" s="219"/>
      <c r="BD62" s="219"/>
      <c r="BE62" s="219"/>
      <c r="BF62" s="219"/>
      <c r="BG62" s="219"/>
      <c r="BH62" s="219"/>
      <c r="BI62" s="219"/>
      <c r="BJ62" s="219"/>
      <c r="BK62" s="219"/>
      <c r="BL62" s="219"/>
      <c r="BM62" s="219"/>
    </row>
    <row r="63" spans="1:65">
      <c r="A63" s="219"/>
      <c r="B63" s="219"/>
      <c r="C63" s="219"/>
      <c r="D63" s="21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19"/>
      <c r="AL63" s="219"/>
      <c r="AM63" s="219"/>
      <c r="AN63" s="219"/>
      <c r="AO63" s="219"/>
      <c r="AP63" s="219"/>
      <c r="AQ63" s="219"/>
      <c r="AR63" s="219"/>
      <c r="AS63" s="219"/>
      <c r="AT63" s="219"/>
      <c r="AU63" s="219"/>
      <c r="AV63" s="219"/>
      <c r="AW63" s="219"/>
      <c r="AX63" s="219"/>
      <c r="AY63" s="219"/>
      <c r="AZ63" s="219"/>
      <c r="BA63" s="219"/>
      <c r="BB63" s="219"/>
      <c r="BC63" s="219"/>
      <c r="BD63" s="219"/>
      <c r="BE63" s="219"/>
      <c r="BF63" s="219"/>
      <c r="BG63" s="219"/>
      <c r="BH63" s="219"/>
      <c r="BI63" s="219"/>
      <c r="BJ63" s="219"/>
      <c r="BK63" s="219"/>
      <c r="BL63" s="219"/>
      <c r="BM63" s="219"/>
    </row>
    <row r="64" spans="1:65">
      <c r="A64" s="219"/>
      <c r="B64" s="219"/>
      <c r="C64" s="219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219"/>
      <c r="AN64" s="219"/>
      <c r="AO64" s="219"/>
      <c r="AP64" s="219"/>
      <c r="AQ64" s="219"/>
      <c r="AR64" s="219"/>
      <c r="AS64" s="219"/>
      <c r="AT64" s="219"/>
      <c r="AU64" s="219"/>
      <c r="AV64" s="219"/>
      <c r="AW64" s="219"/>
      <c r="AX64" s="219"/>
      <c r="AY64" s="219"/>
      <c r="AZ64" s="219"/>
      <c r="BA64" s="219"/>
      <c r="BB64" s="219"/>
      <c r="BC64" s="219"/>
      <c r="BD64" s="219"/>
      <c r="BE64" s="219"/>
      <c r="BF64" s="219"/>
      <c r="BG64" s="219"/>
      <c r="BH64" s="219"/>
      <c r="BI64" s="219"/>
      <c r="BJ64" s="219"/>
      <c r="BK64" s="219"/>
      <c r="BL64" s="219"/>
      <c r="BM64" s="219"/>
    </row>
    <row r="65" spans="1:65">
      <c r="A65" s="219"/>
      <c r="B65" s="219"/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219"/>
      <c r="AN65" s="219"/>
      <c r="AO65" s="219"/>
      <c r="AP65" s="219"/>
      <c r="AQ65" s="219"/>
      <c r="AR65" s="219"/>
      <c r="AS65" s="219"/>
      <c r="AT65" s="219"/>
      <c r="AU65" s="219"/>
      <c r="AV65" s="219"/>
      <c r="AW65" s="219"/>
      <c r="AX65" s="219"/>
      <c r="AY65" s="219"/>
      <c r="AZ65" s="219"/>
      <c r="BA65" s="219"/>
      <c r="BB65" s="219"/>
      <c r="BC65" s="219"/>
      <c r="BD65" s="219"/>
      <c r="BE65" s="219"/>
      <c r="BF65" s="219"/>
      <c r="BG65" s="219"/>
      <c r="BH65" s="219"/>
      <c r="BI65" s="219"/>
      <c r="BJ65" s="219"/>
      <c r="BK65" s="219"/>
      <c r="BL65" s="219"/>
      <c r="BM65" s="219"/>
    </row>
    <row r="66" spans="1:65">
      <c r="A66" s="219"/>
      <c r="B66" s="219"/>
      <c r="C66" s="219"/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19"/>
      <c r="AV66" s="219"/>
      <c r="AW66" s="219"/>
      <c r="AX66" s="219"/>
      <c r="AY66" s="219"/>
      <c r="AZ66" s="219"/>
      <c r="BA66" s="219"/>
      <c r="BB66" s="219"/>
      <c r="BC66" s="219"/>
      <c r="BD66" s="219"/>
      <c r="BE66" s="219"/>
      <c r="BF66" s="219"/>
      <c r="BG66" s="219"/>
      <c r="BH66" s="219"/>
      <c r="BI66" s="219"/>
      <c r="BJ66" s="219"/>
      <c r="BK66" s="219"/>
      <c r="BL66" s="219"/>
      <c r="BM66" s="219"/>
    </row>
    <row r="67" spans="1:65">
      <c r="A67" s="219"/>
      <c r="B67" s="219"/>
      <c r="C67" s="219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19"/>
      <c r="AL67" s="219"/>
      <c r="AM67" s="219"/>
      <c r="AN67" s="219"/>
      <c r="AO67" s="219"/>
      <c r="AP67" s="219"/>
      <c r="AQ67" s="219"/>
      <c r="AR67" s="219"/>
      <c r="AS67" s="219"/>
      <c r="AT67" s="219"/>
      <c r="AU67" s="219"/>
      <c r="AV67" s="219"/>
      <c r="AW67" s="219"/>
      <c r="AX67" s="219"/>
      <c r="AY67" s="219"/>
      <c r="AZ67" s="219"/>
      <c r="BA67" s="219"/>
      <c r="BB67" s="219"/>
      <c r="BC67" s="219"/>
      <c r="BD67" s="219"/>
      <c r="BE67" s="219"/>
      <c r="BF67" s="219"/>
      <c r="BG67" s="219"/>
      <c r="BH67" s="219"/>
      <c r="BI67" s="219"/>
      <c r="BJ67" s="219"/>
      <c r="BK67" s="219"/>
      <c r="BL67" s="219"/>
      <c r="BM67" s="219"/>
    </row>
    <row r="68" spans="1:65">
      <c r="A68" s="219"/>
      <c r="B68" s="219"/>
      <c r="C68" s="219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19"/>
      <c r="AL68" s="219"/>
      <c r="AM68" s="219"/>
      <c r="AN68" s="219"/>
      <c r="AO68" s="219"/>
      <c r="AP68" s="219"/>
      <c r="AQ68" s="219"/>
      <c r="AR68" s="219"/>
      <c r="AS68" s="219"/>
      <c r="AT68" s="219"/>
      <c r="AU68" s="219"/>
      <c r="AV68" s="219"/>
      <c r="AW68" s="219"/>
      <c r="AX68" s="219"/>
      <c r="AY68" s="219"/>
      <c r="AZ68" s="219"/>
      <c r="BA68" s="219"/>
      <c r="BB68" s="219"/>
      <c r="BC68" s="219"/>
      <c r="BD68" s="219"/>
      <c r="BE68" s="219"/>
      <c r="BF68" s="219"/>
      <c r="BG68" s="219"/>
      <c r="BH68" s="219"/>
      <c r="BI68" s="219"/>
      <c r="BJ68" s="219"/>
      <c r="BK68" s="219"/>
      <c r="BL68" s="219"/>
      <c r="BM68" s="219"/>
    </row>
    <row r="69" spans="1:65">
      <c r="A69" s="219"/>
      <c r="B69" s="219"/>
      <c r="C69" s="219"/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19"/>
      <c r="AL69" s="219"/>
      <c r="AM69" s="219"/>
      <c r="AN69" s="219"/>
      <c r="AO69" s="219"/>
      <c r="AP69" s="219"/>
      <c r="AQ69" s="219"/>
      <c r="AR69" s="219"/>
      <c r="AS69" s="219"/>
      <c r="AT69" s="219"/>
      <c r="AU69" s="219"/>
      <c r="AV69" s="219"/>
      <c r="AW69" s="219"/>
      <c r="AX69" s="219"/>
      <c r="AY69" s="219"/>
      <c r="AZ69" s="219"/>
      <c r="BA69" s="219"/>
      <c r="BB69" s="219"/>
      <c r="BC69" s="219"/>
      <c r="BD69" s="219"/>
      <c r="BE69" s="219"/>
      <c r="BF69" s="219"/>
      <c r="BG69" s="219"/>
      <c r="BH69" s="219"/>
      <c r="BI69" s="219"/>
      <c r="BJ69" s="219"/>
      <c r="BK69" s="219"/>
      <c r="BL69" s="219"/>
      <c r="BM69" s="219"/>
    </row>
    <row r="70" spans="1:65">
      <c r="A70" s="219"/>
      <c r="B70" s="219"/>
      <c r="C70" s="219"/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19"/>
      <c r="AL70" s="219"/>
      <c r="AM70" s="219"/>
      <c r="AN70" s="219"/>
      <c r="AO70" s="219"/>
      <c r="AP70" s="219"/>
      <c r="AQ70" s="219"/>
      <c r="AR70" s="219"/>
      <c r="AS70" s="219"/>
      <c r="AT70" s="219"/>
      <c r="AU70" s="219"/>
      <c r="AV70" s="219"/>
      <c r="AW70" s="219"/>
      <c r="AX70" s="219"/>
      <c r="AY70" s="219"/>
      <c r="AZ70" s="219"/>
      <c r="BA70" s="219"/>
      <c r="BB70" s="219"/>
      <c r="BC70" s="219"/>
      <c r="BD70" s="219"/>
      <c r="BE70" s="219"/>
      <c r="BF70" s="219"/>
      <c r="BG70" s="219"/>
      <c r="BH70" s="219"/>
      <c r="BI70" s="219"/>
      <c r="BJ70" s="219"/>
      <c r="BK70" s="219"/>
      <c r="BL70" s="219"/>
      <c r="BM70" s="219"/>
    </row>
    <row r="71" spans="1:65">
      <c r="A71" s="219"/>
      <c r="B71" s="219"/>
      <c r="C71" s="219"/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219"/>
      <c r="AN71" s="219"/>
      <c r="AO71" s="219"/>
      <c r="AP71" s="219"/>
      <c r="AQ71" s="219"/>
      <c r="AR71" s="219"/>
      <c r="AS71" s="219"/>
      <c r="AT71" s="219"/>
      <c r="AU71" s="219"/>
      <c r="AV71" s="219"/>
      <c r="AW71" s="219"/>
      <c r="AX71" s="219"/>
      <c r="AY71" s="219"/>
      <c r="AZ71" s="219"/>
      <c r="BA71" s="219"/>
      <c r="BB71" s="219"/>
      <c r="BC71" s="219"/>
      <c r="BD71" s="219"/>
      <c r="BE71" s="219"/>
      <c r="BF71" s="219"/>
      <c r="BG71" s="219"/>
      <c r="BH71" s="219"/>
      <c r="BI71" s="219"/>
      <c r="BJ71" s="219"/>
      <c r="BK71" s="219"/>
      <c r="BL71" s="219"/>
      <c r="BM71" s="219"/>
    </row>
    <row r="72" spans="1:65">
      <c r="A72" s="219"/>
      <c r="B72" s="219"/>
      <c r="C72" s="219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19"/>
      <c r="AW72" s="219"/>
      <c r="AX72" s="219"/>
      <c r="AY72" s="219"/>
      <c r="AZ72" s="219"/>
      <c r="BA72" s="219"/>
      <c r="BB72" s="219"/>
      <c r="BC72" s="219"/>
      <c r="BD72" s="219"/>
      <c r="BE72" s="219"/>
      <c r="BF72" s="219"/>
      <c r="BG72" s="219"/>
      <c r="BH72" s="219"/>
      <c r="BI72" s="219"/>
      <c r="BJ72" s="219"/>
      <c r="BK72" s="219"/>
      <c r="BL72" s="219"/>
      <c r="BM72" s="219"/>
    </row>
    <row r="73" spans="1:65">
      <c r="A73" s="219"/>
      <c r="B73" s="219"/>
      <c r="C73" s="219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  <c r="AO73" s="219"/>
      <c r="AP73" s="219"/>
      <c r="AQ73" s="219"/>
      <c r="AR73" s="219"/>
      <c r="AS73" s="219"/>
      <c r="AT73" s="219"/>
      <c r="AU73" s="219"/>
      <c r="AV73" s="219"/>
      <c r="AW73" s="219"/>
      <c r="AX73" s="219"/>
      <c r="AY73" s="219"/>
      <c r="AZ73" s="219"/>
      <c r="BA73" s="219"/>
      <c r="BB73" s="219"/>
      <c r="BC73" s="219"/>
      <c r="BD73" s="219"/>
      <c r="BE73" s="219"/>
      <c r="BF73" s="219"/>
      <c r="BG73" s="219"/>
      <c r="BH73" s="219"/>
      <c r="BI73" s="219"/>
      <c r="BJ73" s="219"/>
      <c r="BK73" s="219"/>
      <c r="BL73" s="219"/>
      <c r="BM73" s="219"/>
    </row>
    <row r="74" spans="1:65">
      <c r="A74" s="219"/>
      <c r="B74" s="219"/>
      <c r="C74" s="219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  <c r="BG74" s="219"/>
      <c r="BH74" s="219"/>
      <c r="BI74" s="219"/>
      <c r="BJ74" s="219"/>
      <c r="BK74" s="219"/>
      <c r="BL74" s="219"/>
      <c r="BM74" s="219"/>
    </row>
    <row r="75" spans="1:65">
      <c r="A75" s="219"/>
      <c r="B75" s="219"/>
      <c r="C75" s="219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19"/>
      <c r="AS75" s="219"/>
      <c r="AT75" s="219"/>
      <c r="AU75" s="219"/>
      <c r="AV75" s="219"/>
      <c r="AW75" s="219"/>
      <c r="AX75" s="219"/>
      <c r="AY75" s="219"/>
      <c r="AZ75" s="219"/>
      <c r="BA75" s="219"/>
      <c r="BB75" s="219"/>
      <c r="BC75" s="219"/>
      <c r="BD75" s="219"/>
      <c r="BE75" s="219"/>
      <c r="BF75" s="219"/>
      <c r="BG75" s="219"/>
      <c r="BH75" s="219"/>
      <c r="BI75" s="219"/>
      <c r="BJ75" s="219"/>
      <c r="BK75" s="219"/>
      <c r="BL75" s="219"/>
      <c r="BM75" s="219"/>
    </row>
    <row r="76" spans="1:65">
      <c r="A76" s="219"/>
      <c r="B76" s="219"/>
      <c r="C76" s="219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19"/>
      <c r="AW76" s="219"/>
      <c r="AX76" s="219"/>
      <c r="AY76" s="219"/>
      <c r="AZ76" s="219"/>
      <c r="BA76" s="219"/>
      <c r="BB76" s="219"/>
      <c r="BC76" s="219"/>
      <c r="BD76" s="219"/>
      <c r="BE76" s="219"/>
      <c r="BF76" s="219"/>
      <c r="BG76" s="219"/>
      <c r="BH76" s="219"/>
      <c r="BI76" s="219"/>
      <c r="BJ76" s="219"/>
      <c r="BK76" s="219"/>
      <c r="BL76" s="219"/>
      <c r="BM76" s="219"/>
    </row>
    <row r="77" spans="1:65">
      <c r="A77" s="219"/>
      <c r="B77" s="219"/>
      <c r="C77" s="219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219"/>
      <c r="AY77" s="219"/>
      <c r="AZ77" s="219"/>
      <c r="BA77" s="219"/>
      <c r="BB77" s="219"/>
      <c r="BC77" s="219"/>
      <c r="BD77" s="219"/>
      <c r="BE77" s="219"/>
      <c r="BF77" s="219"/>
      <c r="BG77" s="219"/>
      <c r="BH77" s="219"/>
      <c r="BI77" s="219"/>
      <c r="BJ77" s="219"/>
      <c r="BK77" s="219"/>
      <c r="BL77" s="219"/>
      <c r="BM77" s="219"/>
    </row>
    <row r="78" spans="1:65">
      <c r="A78" s="219"/>
      <c r="B78" s="219"/>
      <c r="C78" s="219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</row>
    <row r="79" spans="1:65">
      <c r="A79" s="219"/>
      <c r="B79" s="219"/>
      <c r="C79" s="219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</row>
    <row r="80" spans="1:65">
      <c r="A80" s="219"/>
      <c r="B80" s="219"/>
      <c r="C80" s="219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19"/>
      <c r="AP80" s="219"/>
      <c r="AQ80" s="219"/>
      <c r="AR80" s="219"/>
      <c r="AS80" s="219"/>
      <c r="AT80" s="219"/>
      <c r="AU80" s="219"/>
      <c r="AV80" s="219"/>
      <c r="AW80" s="219"/>
      <c r="AX80" s="219"/>
      <c r="AY80" s="219"/>
      <c r="AZ80" s="219"/>
      <c r="BA80" s="219"/>
      <c r="BB80" s="219"/>
      <c r="BC80" s="219"/>
      <c r="BD80" s="219"/>
      <c r="BE80" s="219"/>
      <c r="BF80" s="219"/>
      <c r="BG80" s="219"/>
      <c r="BH80" s="219"/>
      <c r="BI80" s="219"/>
      <c r="BJ80" s="219"/>
      <c r="BK80" s="219"/>
      <c r="BL80" s="219"/>
      <c r="BM80" s="219"/>
    </row>
    <row r="81" spans="1:65">
      <c r="A81" s="219"/>
      <c r="B81" s="219"/>
      <c r="C81" s="219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19"/>
      <c r="AP81" s="219"/>
      <c r="AQ81" s="219"/>
      <c r="AR81" s="219"/>
      <c r="AS81" s="219"/>
      <c r="AT81" s="219"/>
      <c r="AU81" s="219"/>
      <c r="AV81" s="219"/>
      <c r="AW81" s="219"/>
      <c r="AX81" s="219"/>
      <c r="AY81" s="219"/>
      <c r="AZ81" s="219"/>
      <c r="BA81" s="219"/>
      <c r="BB81" s="219"/>
      <c r="BC81" s="219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</row>
    <row r="82" spans="1:65">
      <c r="A82" s="219"/>
      <c r="B82" s="219"/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  <c r="AO82" s="219"/>
      <c r="AP82" s="219"/>
      <c r="AQ82" s="219"/>
      <c r="AR82" s="219"/>
      <c r="AS82" s="219"/>
      <c r="AT82" s="219"/>
      <c r="AU82" s="219"/>
      <c r="AV82" s="219"/>
      <c r="AW82" s="219"/>
      <c r="AX82" s="219"/>
      <c r="AY82" s="219"/>
      <c r="AZ82" s="219"/>
      <c r="BA82" s="219"/>
      <c r="BB82" s="219"/>
      <c r="BC82" s="219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</row>
    <row r="83" spans="1:65">
      <c r="A83" s="219"/>
      <c r="B83" s="219"/>
      <c r="C83" s="219"/>
      <c r="D83" s="219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</row>
    <row r="84" spans="1:65">
      <c r="A84" s="219"/>
      <c r="B84" s="219"/>
      <c r="C84" s="219"/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9"/>
      <c r="AU84" s="219"/>
      <c r="AV84" s="219"/>
      <c r="AW84" s="219"/>
      <c r="AX84" s="219"/>
      <c r="AY84" s="219"/>
      <c r="AZ84" s="219"/>
      <c r="BA84" s="219"/>
      <c r="BB84" s="219"/>
      <c r="BC84" s="219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</row>
    <row r="85" spans="1:65">
      <c r="A85" s="219"/>
      <c r="B85" s="219"/>
      <c r="C85" s="219"/>
      <c r="D85" s="219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  <c r="AO85" s="219"/>
      <c r="AP85" s="219"/>
      <c r="AQ85" s="219"/>
      <c r="AR85" s="219"/>
      <c r="AS85" s="219"/>
      <c r="AT85" s="219"/>
      <c r="AU85" s="219"/>
      <c r="AV85" s="219"/>
      <c r="AW85" s="219"/>
      <c r="AX85" s="219"/>
      <c r="AY85" s="219"/>
      <c r="AZ85" s="219"/>
      <c r="BA85" s="219"/>
      <c r="BB85" s="219"/>
      <c r="BC85" s="219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</row>
    <row r="86" spans="1:65">
      <c r="A86" s="219"/>
      <c r="B86" s="219"/>
      <c r="C86" s="219"/>
      <c r="D86" s="21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19"/>
      <c r="AL86" s="219"/>
      <c r="AM86" s="219"/>
      <c r="AN86" s="219"/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</row>
    <row r="87" spans="1:65">
      <c r="A87" s="219"/>
      <c r="B87" s="219"/>
      <c r="C87" s="219"/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</row>
    <row r="88" spans="1:65">
      <c r="A88" s="219"/>
      <c r="B88" s="219"/>
      <c r="C88" s="219"/>
      <c r="D88" s="21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19"/>
      <c r="AZ88" s="219"/>
      <c r="BA88" s="219"/>
      <c r="BB88" s="219"/>
      <c r="BC88" s="219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</row>
    <row r="89" spans="1:65">
      <c r="A89" s="219"/>
      <c r="B89" s="219"/>
      <c r="C89" s="219"/>
      <c r="D89" s="21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/>
      <c r="AY89" s="219"/>
      <c r="AZ89" s="219"/>
      <c r="BA89" s="219"/>
      <c r="BB89" s="219"/>
      <c r="BC89" s="219"/>
      <c r="BD89" s="219"/>
      <c r="BE89" s="219"/>
      <c r="BF89" s="219"/>
      <c r="BG89" s="219"/>
      <c r="BH89" s="219"/>
      <c r="BI89" s="219"/>
      <c r="BJ89" s="219"/>
      <c r="BK89" s="219"/>
      <c r="BL89" s="219"/>
      <c r="BM89" s="219"/>
    </row>
    <row r="90" spans="1:65">
      <c r="A90" s="219"/>
      <c r="B90" s="219"/>
      <c r="C90" s="219"/>
      <c r="D90" s="21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219"/>
      <c r="AY90" s="219"/>
      <c r="AZ90" s="219"/>
      <c r="BA90" s="219"/>
      <c r="BB90" s="219"/>
      <c r="BC90" s="219"/>
      <c r="BD90" s="219"/>
      <c r="BE90" s="219"/>
      <c r="BF90" s="219"/>
      <c r="BG90" s="219"/>
      <c r="BH90" s="219"/>
      <c r="BI90" s="219"/>
      <c r="BJ90" s="219"/>
      <c r="BK90" s="219"/>
      <c r="BL90" s="219"/>
      <c r="BM90" s="219"/>
    </row>
    <row r="91" spans="1:65">
      <c r="A91" s="219"/>
      <c r="B91" s="219"/>
      <c r="C91" s="219"/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  <c r="AX91" s="219"/>
      <c r="AY91" s="219"/>
      <c r="AZ91" s="219"/>
      <c r="BA91" s="219"/>
      <c r="BB91" s="219"/>
      <c r="BC91" s="219"/>
      <c r="BD91" s="219"/>
      <c r="BE91" s="219"/>
      <c r="BF91" s="219"/>
      <c r="BG91" s="219"/>
      <c r="BH91" s="219"/>
      <c r="BI91" s="219"/>
      <c r="BJ91" s="219"/>
      <c r="BK91" s="219"/>
      <c r="BL91" s="219"/>
      <c r="BM91" s="219"/>
    </row>
    <row r="92" spans="1:65">
      <c r="A92" s="219"/>
      <c r="B92" s="219"/>
      <c r="C92" s="219"/>
      <c r="D92" s="21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  <c r="BF92" s="219"/>
      <c r="BG92" s="219"/>
      <c r="BH92" s="219"/>
      <c r="BI92" s="219"/>
      <c r="BJ92" s="219"/>
      <c r="BK92" s="219"/>
      <c r="BL92" s="219"/>
      <c r="BM92" s="219"/>
    </row>
    <row r="93" spans="1:65">
      <c r="A93" s="219"/>
      <c r="B93" s="219"/>
      <c r="C93" s="219"/>
      <c r="D93" s="219"/>
      <c r="E93" s="219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19"/>
      <c r="BF93" s="219"/>
      <c r="BG93" s="219"/>
      <c r="BH93" s="219"/>
      <c r="BI93" s="219"/>
      <c r="BJ93" s="219"/>
      <c r="BK93" s="219"/>
      <c r="BL93" s="219"/>
      <c r="BM93" s="219"/>
    </row>
    <row r="94" spans="1:65">
      <c r="A94" s="219"/>
      <c r="B94" s="219"/>
      <c r="C94" s="219"/>
      <c r="D94" s="219"/>
      <c r="E94" s="219"/>
      <c r="F94" s="219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</row>
    <row r="95" spans="1:65">
      <c r="A95" s="219"/>
      <c r="B95" s="219"/>
      <c r="C95" s="219"/>
      <c r="D95" s="21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219"/>
      <c r="AY95" s="219"/>
      <c r="AZ95" s="219"/>
      <c r="BA95" s="219"/>
      <c r="BB95" s="219"/>
      <c r="BC95" s="219"/>
      <c r="BD95" s="219"/>
      <c r="BE95" s="219"/>
      <c r="BF95" s="219"/>
      <c r="BG95" s="219"/>
      <c r="BH95" s="219"/>
      <c r="BI95" s="219"/>
      <c r="BJ95" s="219"/>
      <c r="BK95" s="219"/>
      <c r="BL95" s="219"/>
      <c r="BM95" s="219"/>
    </row>
    <row r="96" spans="1:65">
      <c r="A96" s="219"/>
      <c r="B96" s="219"/>
      <c r="C96" s="219"/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</row>
    <row r="97" spans="1:65">
      <c r="A97" s="219"/>
      <c r="B97" s="219"/>
      <c r="C97" s="219"/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9"/>
      <c r="AU97" s="219"/>
      <c r="AV97" s="219"/>
      <c r="AW97" s="219"/>
      <c r="AX97" s="219"/>
      <c r="AY97" s="219"/>
      <c r="AZ97" s="219"/>
      <c r="BA97" s="219"/>
      <c r="BB97" s="219"/>
      <c r="BC97" s="219"/>
      <c r="BD97" s="219"/>
      <c r="BE97" s="219"/>
      <c r="BF97" s="219"/>
      <c r="BG97" s="219"/>
      <c r="BH97" s="219"/>
      <c r="BI97" s="219"/>
      <c r="BJ97" s="219"/>
      <c r="BK97" s="219"/>
      <c r="BL97" s="219"/>
      <c r="BM97" s="219"/>
    </row>
    <row r="98" spans="1:65">
      <c r="A98" s="219"/>
      <c r="B98" s="219"/>
      <c r="C98" s="219"/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  <c r="AX98" s="219"/>
      <c r="AY98" s="219"/>
      <c r="AZ98" s="219"/>
      <c r="BA98" s="219"/>
      <c r="BB98" s="219"/>
      <c r="BC98" s="219"/>
      <c r="BD98" s="219"/>
      <c r="BE98" s="219"/>
      <c r="BF98" s="219"/>
      <c r="BG98" s="219"/>
      <c r="BH98" s="219"/>
      <c r="BI98" s="219"/>
      <c r="BJ98" s="219"/>
      <c r="BK98" s="219"/>
      <c r="BL98" s="219"/>
      <c r="BM98" s="219"/>
    </row>
    <row r="99" spans="1:65">
      <c r="A99" s="219"/>
      <c r="B99" s="219"/>
      <c r="C99" s="219"/>
      <c r="D99" s="219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19"/>
      <c r="AL99" s="219"/>
      <c r="AM99" s="219"/>
      <c r="AN99" s="219"/>
      <c r="AO99" s="219"/>
      <c r="AP99" s="219"/>
      <c r="AQ99" s="219"/>
      <c r="AR99" s="219"/>
      <c r="AS99" s="219"/>
      <c r="AT99" s="219"/>
      <c r="AU99" s="219"/>
      <c r="AV99" s="219"/>
      <c r="AW99" s="219"/>
      <c r="AX99" s="219"/>
      <c r="AY99" s="219"/>
      <c r="AZ99" s="219"/>
      <c r="BA99" s="219"/>
      <c r="BB99" s="219"/>
      <c r="BC99" s="219"/>
      <c r="BD99" s="219"/>
      <c r="BE99" s="219"/>
      <c r="BF99" s="219"/>
      <c r="BG99" s="219"/>
      <c r="BH99" s="219"/>
      <c r="BI99" s="219"/>
      <c r="BJ99" s="219"/>
      <c r="BK99" s="219"/>
      <c r="BL99" s="219"/>
      <c r="BM99" s="219"/>
    </row>
    <row r="100" spans="1:65">
      <c r="A100" s="219"/>
      <c r="B100" s="219"/>
      <c r="C100" s="219"/>
      <c r="D100" s="219"/>
      <c r="E100" s="219"/>
      <c r="F100" s="219"/>
      <c r="G100" s="219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219"/>
      <c r="AN100" s="219"/>
      <c r="AO100" s="219"/>
      <c r="AP100" s="219"/>
      <c r="AQ100" s="219"/>
      <c r="AR100" s="219"/>
      <c r="AS100" s="219"/>
      <c r="AT100" s="219"/>
      <c r="AU100" s="219"/>
      <c r="AV100" s="219"/>
      <c r="AW100" s="219"/>
      <c r="AX100" s="219"/>
      <c r="AY100" s="219"/>
      <c r="AZ100" s="219"/>
      <c r="BA100" s="219"/>
      <c r="BB100" s="219"/>
      <c r="BC100" s="219"/>
      <c r="BD100" s="219"/>
      <c r="BE100" s="219"/>
      <c r="BF100" s="219"/>
      <c r="BG100" s="219"/>
      <c r="BH100" s="219"/>
      <c r="BI100" s="219"/>
      <c r="BJ100" s="219"/>
      <c r="BK100" s="219"/>
      <c r="BL100" s="219"/>
      <c r="BM100" s="219"/>
    </row>
    <row r="101" spans="1:65">
      <c r="A101" s="219"/>
      <c r="B101" s="219"/>
      <c r="C101" s="219"/>
      <c r="D101" s="219"/>
      <c r="E101" s="219"/>
      <c r="F101" s="219"/>
      <c r="G101" s="219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19"/>
      <c r="AL101" s="219"/>
      <c r="AM101" s="219"/>
      <c r="AN101" s="219"/>
      <c r="AO101" s="219"/>
      <c r="AP101" s="219"/>
      <c r="AQ101" s="219"/>
      <c r="AR101" s="219"/>
      <c r="AS101" s="219"/>
      <c r="AT101" s="219"/>
      <c r="AU101" s="219"/>
      <c r="AV101" s="219"/>
      <c r="AW101" s="219"/>
      <c r="AX101" s="219"/>
      <c r="AY101" s="219"/>
      <c r="AZ101" s="219"/>
      <c r="BA101" s="219"/>
      <c r="BB101" s="219"/>
      <c r="BC101" s="219"/>
      <c r="BD101" s="219"/>
      <c r="BE101" s="219"/>
      <c r="BF101" s="219"/>
      <c r="BG101" s="219"/>
      <c r="BH101" s="219"/>
      <c r="BI101" s="219"/>
      <c r="BJ101" s="219"/>
      <c r="BK101" s="219"/>
      <c r="BL101" s="219"/>
      <c r="BM101" s="219"/>
    </row>
    <row r="102" spans="1:65">
      <c r="A102" s="219"/>
      <c r="B102" s="219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  <c r="AO102" s="219"/>
      <c r="AP102" s="219"/>
      <c r="AQ102" s="219"/>
      <c r="AR102" s="219"/>
      <c r="AS102" s="219"/>
      <c r="AT102" s="219"/>
      <c r="AU102" s="219"/>
      <c r="AV102" s="219"/>
      <c r="AW102" s="219"/>
      <c r="AX102" s="219"/>
      <c r="AY102" s="219"/>
      <c r="AZ102" s="219"/>
      <c r="BA102" s="219"/>
      <c r="BB102" s="219"/>
      <c r="BC102" s="219"/>
      <c r="BD102" s="219"/>
      <c r="BE102" s="219"/>
      <c r="BF102" s="219"/>
      <c r="BG102" s="219"/>
      <c r="BH102" s="219"/>
      <c r="BI102" s="219"/>
      <c r="BJ102" s="219"/>
      <c r="BK102" s="219"/>
      <c r="BL102" s="219"/>
      <c r="BM102" s="219"/>
    </row>
    <row r="103" spans="1:65">
      <c r="A103" s="219"/>
      <c r="B103" s="219"/>
      <c r="C103" s="219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19"/>
      <c r="AL103" s="219"/>
      <c r="AM103" s="219"/>
      <c r="AN103" s="219"/>
      <c r="AO103" s="219"/>
      <c r="AP103" s="219"/>
      <c r="AQ103" s="219"/>
      <c r="AR103" s="219"/>
      <c r="AS103" s="219"/>
      <c r="AT103" s="219"/>
      <c r="AU103" s="219"/>
      <c r="AV103" s="219"/>
      <c r="AW103" s="219"/>
      <c r="AX103" s="219"/>
      <c r="AY103" s="219"/>
      <c r="AZ103" s="219"/>
      <c r="BA103" s="219"/>
      <c r="BB103" s="219"/>
      <c r="BC103" s="219"/>
      <c r="BD103" s="219"/>
      <c r="BE103" s="219"/>
      <c r="BF103" s="219"/>
      <c r="BG103" s="219"/>
      <c r="BH103" s="219"/>
      <c r="BI103" s="219"/>
      <c r="BJ103" s="219"/>
      <c r="BK103" s="219"/>
      <c r="BL103" s="219"/>
      <c r="BM103" s="219"/>
    </row>
    <row r="104" spans="1:65">
      <c r="A104" s="219"/>
      <c r="B104" s="219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19"/>
      <c r="AL104" s="219"/>
      <c r="AM104" s="219"/>
      <c r="AN104" s="219"/>
      <c r="AO104" s="219"/>
      <c r="AP104" s="219"/>
      <c r="AQ104" s="219"/>
      <c r="AR104" s="219"/>
      <c r="AS104" s="219"/>
      <c r="AT104" s="219"/>
      <c r="AU104" s="219"/>
      <c r="AV104" s="219"/>
      <c r="AW104" s="219"/>
      <c r="AX104" s="219"/>
      <c r="AY104" s="219"/>
      <c r="AZ104" s="219"/>
      <c r="BA104" s="219"/>
      <c r="BB104" s="219"/>
      <c r="BC104" s="219"/>
      <c r="BD104" s="219"/>
      <c r="BE104" s="219"/>
      <c r="BF104" s="219"/>
      <c r="BG104" s="219"/>
      <c r="BH104" s="219"/>
      <c r="BI104" s="219"/>
      <c r="BJ104" s="219"/>
      <c r="BK104" s="219"/>
      <c r="BL104" s="219"/>
      <c r="BM104" s="219"/>
    </row>
    <row r="105" spans="1:65">
      <c r="A105" s="219"/>
      <c r="B105" s="219"/>
      <c r="C105" s="219"/>
      <c r="D105" s="21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219"/>
      <c r="AN105" s="219"/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</row>
    <row r="106" spans="1:65">
      <c r="A106" s="219"/>
      <c r="B106" s="219"/>
      <c r="C106" s="219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</row>
    <row r="107" spans="1:65">
      <c r="A107" s="219"/>
      <c r="B107" s="219"/>
      <c r="C107" s="219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219"/>
      <c r="AN107" s="219"/>
      <c r="AO107" s="219"/>
      <c r="AP107" s="219"/>
      <c r="AQ107" s="219"/>
      <c r="AR107" s="219"/>
      <c r="AS107" s="219"/>
      <c r="AT107" s="219"/>
      <c r="AU107" s="219"/>
      <c r="AV107" s="219"/>
      <c r="AW107" s="219"/>
      <c r="AX107" s="219"/>
      <c r="AY107" s="219"/>
      <c r="AZ107" s="219"/>
      <c r="BA107" s="219"/>
      <c r="BB107" s="219"/>
      <c r="BC107" s="219"/>
      <c r="BD107" s="219"/>
      <c r="BE107" s="219"/>
      <c r="BF107" s="219"/>
      <c r="BG107" s="219"/>
      <c r="BH107" s="219"/>
      <c r="BI107" s="219"/>
      <c r="BJ107" s="219"/>
      <c r="BK107" s="219"/>
      <c r="BL107" s="219"/>
      <c r="BM107" s="219"/>
    </row>
    <row r="108" spans="1:65">
      <c r="A108" s="219"/>
      <c r="B108" s="219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9"/>
      <c r="AN108" s="219"/>
      <c r="AO108" s="219"/>
      <c r="AP108" s="219"/>
      <c r="AQ108" s="219"/>
      <c r="AR108" s="219"/>
      <c r="AS108" s="219"/>
      <c r="AT108" s="219"/>
      <c r="AU108" s="219"/>
      <c r="AV108" s="219"/>
      <c r="AW108" s="219"/>
      <c r="AX108" s="219"/>
      <c r="AY108" s="219"/>
      <c r="AZ108" s="219"/>
      <c r="BA108" s="219"/>
      <c r="BB108" s="219"/>
      <c r="BC108" s="219"/>
      <c r="BD108" s="219"/>
      <c r="BE108" s="219"/>
      <c r="BF108" s="219"/>
      <c r="BG108" s="219"/>
      <c r="BH108" s="219"/>
      <c r="BI108" s="219"/>
      <c r="BJ108" s="219"/>
      <c r="BK108" s="219"/>
      <c r="BL108" s="219"/>
      <c r="BM108" s="219"/>
    </row>
    <row r="109" spans="1:65">
      <c r="A109" s="219"/>
      <c r="B109" s="219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219"/>
      <c r="AN109" s="219"/>
      <c r="AO109" s="219"/>
      <c r="AP109" s="219"/>
      <c r="AQ109" s="219"/>
      <c r="AR109" s="219"/>
      <c r="AS109" s="219"/>
      <c r="AT109" s="219"/>
      <c r="AU109" s="219"/>
      <c r="AV109" s="219"/>
      <c r="AW109" s="219"/>
      <c r="AX109" s="219"/>
      <c r="AY109" s="219"/>
      <c r="AZ109" s="219"/>
      <c r="BA109" s="219"/>
      <c r="BB109" s="219"/>
      <c r="BC109" s="219"/>
      <c r="BD109" s="219"/>
      <c r="BE109" s="219"/>
      <c r="BF109" s="219"/>
      <c r="BG109" s="219"/>
      <c r="BH109" s="219"/>
      <c r="BI109" s="219"/>
      <c r="BJ109" s="219"/>
      <c r="BK109" s="219"/>
      <c r="BL109" s="219"/>
      <c r="BM109" s="219"/>
    </row>
    <row r="110" spans="1:65">
      <c r="A110" s="219"/>
      <c r="B110" s="219"/>
      <c r="C110" s="219"/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19"/>
      <c r="AL110" s="219"/>
      <c r="AM110" s="219"/>
      <c r="AN110" s="219"/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</row>
    <row r="111" spans="1:65">
      <c r="A111" s="219"/>
      <c r="B111" s="219"/>
      <c r="C111" s="219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19"/>
      <c r="AL111" s="219"/>
      <c r="AM111" s="219"/>
      <c r="AN111" s="219"/>
      <c r="AO111" s="219"/>
      <c r="AP111" s="219"/>
      <c r="AQ111" s="219"/>
      <c r="AR111" s="219"/>
      <c r="AS111" s="219"/>
      <c r="AT111" s="219"/>
      <c r="AU111" s="219"/>
      <c r="AV111" s="219"/>
      <c r="AW111" s="219"/>
      <c r="AX111" s="219"/>
      <c r="AY111" s="219"/>
      <c r="AZ111" s="219"/>
      <c r="BA111" s="219"/>
      <c r="BB111" s="219"/>
      <c r="BC111" s="219"/>
      <c r="BD111" s="219"/>
      <c r="BE111" s="219"/>
      <c r="BF111" s="219"/>
      <c r="BG111" s="219"/>
      <c r="BH111" s="219"/>
      <c r="BI111" s="219"/>
      <c r="BJ111" s="219"/>
      <c r="BK111" s="219"/>
      <c r="BL111" s="219"/>
      <c r="BM111" s="219"/>
    </row>
    <row r="112" spans="1:65">
      <c r="A112" s="219"/>
      <c r="B112" s="219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19"/>
      <c r="AL112" s="219"/>
      <c r="AM112" s="219"/>
      <c r="AN112" s="219"/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</row>
    <row r="113" spans="1:65">
      <c r="A113" s="219"/>
      <c r="B113" s="219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219"/>
      <c r="AN113" s="219"/>
      <c r="AO113" s="219"/>
      <c r="AP113" s="219"/>
      <c r="AQ113" s="219"/>
      <c r="AR113" s="219"/>
      <c r="AS113" s="219"/>
      <c r="AT113" s="219"/>
      <c r="AU113" s="219"/>
      <c r="AV113" s="219"/>
      <c r="AW113" s="219"/>
      <c r="AX113" s="219"/>
      <c r="AY113" s="219"/>
      <c r="AZ113" s="219"/>
      <c r="BA113" s="219"/>
      <c r="BB113" s="219"/>
      <c r="BC113" s="219"/>
      <c r="BD113" s="219"/>
      <c r="BE113" s="219"/>
      <c r="BF113" s="219"/>
      <c r="BG113" s="219"/>
      <c r="BH113" s="219"/>
      <c r="BI113" s="219"/>
      <c r="BJ113" s="219"/>
      <c r="BK113" s="219"/>
      <c r="BL113" s="219"/>
      <c r="BM113" s="219"/>
    </row>
    <row r="114" spans="1:65">
      <c r="A114" s="219"/>
      <c r="B114" s="219"/>
      <c r="C114" s="219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19"/>
      <c r="AL114" s="219"/>
      <c r="AM114" s="219"/>
      <c r="AN114" s="219"/>
      <c r="AO114" s="219"/>
      <c r="AP114" s="219"/>
      <c r="AQ114" s="219"/>
      <c r="AR114" s="219"/>
      <c r="AS114" s="219"/>
      <c r="AT114" s="219"/>
      <c r="AU114" s="219"/>
      <c r="AV114" s="219"/>
      <c r="AW114" s="219"/>
      <c r="AX114" s="219"/>
      <c r="AY114" s="219"/>
      <c r="AZ114" s="219"/>
      <c r="BA114" s="219"/>
      <c r="BB114" s="219"/>
      <c r="BC114" s="219"/>
      <c r="BD114" s="219"/>
      <c r="BE114" s="219"/>
      <c r="BF114" s="219"/>
      <c r="BG114" s="219"/>
      <c r="BH114" s="219"/>
      <c r="BI114" s="219"/>
      <c r="BJ114" s="219"/>
      <c r="BK114" s="219"/>
      <c r="BL114" s="219"/>
      <c r="BM114" s="219"/>
    </row>
    <row r="115" spans="1:65">
      <c r="A115" s="219"/>
      <c r="B115" s="219"/>
      <c r="C115" s="219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219"/>
      <c r="AN115" s="219"/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</row>
    <row r="116" spans="1:65">
      <c r="A116" s="219"/>
      <c r="B116" s="219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219"/>
      <c r="AN116" s="219"/>
      <c r="AO116" s="219"/>
      <c r="AP116" s="219"/>
      <c r="AQ116" s="219"/>
      <c r="AR116" s="219"/>
      <c r="AS116" s="219"/>
      <c r="AT116" s="219"/>
      <c r="AU116" s="219"/>
      <c r="AV116" s="219"/>
      <c r="AW116" s="219"/>
      <c r="AX116" s="219"/>
      <c r="AY116" s="219"/>
      <c r="AZ116" s="219"/>
      <c r="BA116" s="219"/>
      <c r="BB116" s="219"/>
      <c r="BC116" s="219"/>
      <c r="BD116" s="219"/>
      <c r="BE116" s="219"/>
      <c r="BF116" s="219"/>
      <c r="BG116" s="219"/>
      <c r="BH116" s="219"/>
      <c r="BI116" s="219"/>
      <c r="BJ116" s="219"/>
      <c r="BK116" s="219"/>
      <c r="BL116" s="219"/>
      <c r="BM116" s="219"/>
    </row>
    <row r="117" spans="1:65">
      <c r="A117" s="219"/>
      <c r="B117" s="219"/>
      <c r="C117" s="219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19"/>
      <c r="AL117" s="219"/>
      <c r="AM117" s="219"/>
      <c r="AN117" s="219"/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</row>
    <row r="118" spans="1:65">
      <c r="A118" s="219"/>
      <c r="B118" s="219"/>
      <c r="C118" s="219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19"/>
      <c r="AL118" s="219"/>
      <c r="AM118" s="219"/>
      <c r="AN118" s="219"/>
      <c r="AO118" s="219"/>
      <c r="AP118" s="219"/>
      <c r="AQ118" s="219"/>
      <c r="AR118" s="219"/>
      <c r="AS118" s="219"/>
      <c r="AT118" s="219"/>
      <c r="AU118" s="219"/>
      <c r="AV118" s="219"/>
      <c r="AW118" s="219"/>
      <c r="AX118" s="219"/>
      <c r="AY118" s="219"/>
      <c r="AZ118" s="219"/>
      <c r="BA118" s="219"/>
      <c r="BB118" s="219"/>
      <c r="BC118" s="219"/>
      <c r="BD118" s="219"/>
      <c r="BE118" s="219"/>
      <c r="BF118" s="219"/>
      <c r="BG118" s="219"/>
      <c r="BH118" s="219"/>
      <c r="BI118" s="219"/>
      <c r="BJ118" s="219"/>
      <c r="BK118" s="219"/>
      <c r="BL118" s="219"/>
      <c r="BM118" s="219"/>
    </row>
    <row r="119" spans="1:65">
      <c r="A119" s="219"/>
      <c r="B119" s="219"/>
      <c r="C119" s="219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19"/>
      <c r="AL119" s="219"/>
      <c r="AM119" s="219"/>
      <c r="AN119" s="219"/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</row>
    <row r="120" spans="1:65">
      <c r="A120" s="219"/>
      <c r="B120" s="219"/>
      <c r="C120" s="219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19"/>
      <c r="AL120" s="219"/>
      <c r="AM120" s="219"/>
      <c r="AN120" s="219"/>
      <c r="AO120" s="219"/>
      <c r="AP120" s="219"/>
      <c r="AQ120" s="219"/>
      <c r="AR120" s="219"/>
      <c r="AS120" s="219"/>
      <c r="AT120" s="219"/>
      <c r="AU120" s="219"/>
      <c r="AV120" s="219"/>
      <c r="AW120" s="219"/>
      <c r="AX120" s="219"/>
      <c r="AY120" s="219"/>
      <c r="AZ120" s="219"/>
      <c r="BA120" s="219"/>
      <c r="BB120" s="219"/>
      <c r="BC120" s="219"/>
      <c r="BD120" s="219"/>
      <c r="BE120" s="219"/>
      <c r="BF120" s="219"/>
      <c r="BG120" s="219"/>
      <c r="BH120" s="219"/>
      <c r="BI120" s="219"/>
      <c r="BJ120" s="219"/>
      <c r="BK120" s="219"/>
      <c r="BL120" s="219"/>
      <c r="BM120" s="219"/>
    </row>
    <row r="121" spans="1:65">
      <c r="A121" s="219"/>
      <c r="B121" s="219"/>
      <c r="C121" s="219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19"/>
      <c r="AM121" s="219"/>
      <c r="AN121" s="219"/>
      <c r="AO121" s="219"/>
      <c r="AP121" s="219"/>
      <c r="AQ121" s="219"/>
      <c r="AR121" s="219"/>
      <c r="AS121" s="219"/>
      <c r="AT121" s="219"/>
      <c r="AU121" s="219"/>
      <c r="AV121" s="219"/>
      <c r="AW121" s="219"/>
      <c r="AX121" s="219"/>
      <c r="AY121" s="219"/>
      <c r="AZ121" s="219"/>
      <c r="BA121" s="219"/>
      <c r="BB121" s="219"/>
      <c r="BC121" s="219"/>
      <c r="BD121" s="219"/>
      <c r="BE121" s="219"/>
      <c r="BF121" s="219"/>
      <c r="BG121" s="219"/>
      <c r="BH121" s="219"/>
      <c r="BI121" s="219"/>
      <c r="BJ121" s="219"/>
      <c r="BK121" s="219"/>
      <c r="BL121" s="219"/>
      <c r="BM121" s="219"/>
    </row>
    <row r="122" spans="1:65">
      <c r="A122" s="219"/>
      <c r="B122" s="219"/>
      <c r="C122" s="219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19"/>
      <c r="AM122" s="219"/>
      <c r="AN122" s="219"/>
      <c r="AO122" s="219"/>
      <c r="AP122" s="219"/>
      <c r="AQ122" s="219"/>
      <c r="AR122" s="219"/>
      <c r="AS122" s="219"/>
      <c r="AT122" s="219"/>
      <c r="AU122" s="219"/>
      <c r="AV122" s="219"/>
      <c r="AW122" s="219"/>
      <c r="AX122" s="219"/>
      <c r="AY122" s="219"/>
      <c r="AZ122" s="219"/>
      <c r="BA122" s="219"/>
      <c r="BB122" s="219"/>
      <c r="BC122" s="219"/>
      <c r="BD122" s="219"/>
      <c r="BE122" s="219"/>
      <c r="BF122" s="219"/>
      <c r="BG122" s="219"/>
      <c r="BH122" s="219"/>
      <c r="BI122" s="219"/>
      <c r="BJ122" s="219"/>
      <c r="BK122" s="219"/>
      <c r="BL122" s="219"/>
      <c r="BM122" s="219"/>
    </row>
    <row r="123" spans="1:65">
      <c r="A123" s="219"/>
      <c r="B123" s="219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19"/>
      <c r="AL123" s="219"/>
      <c r="AM123" s="219"/>
      <c r="AN123" s="219"/>
      <c r="AO123" s="219"/>
      <c r="AP123" s="219"/>
      <c r="AQ123" s="219"/>
      <c r="AR123" s="219"/>
      <c r="AS123" s="219"/>
      <c r="AT123" s="219"/>
      <c r="AU123" s="219"/>
      <c r="AV123" s="219"/>
      <c r="AW123" s="219"/>
      <c r="AX123" s="219"/>
      <c r="AY123" s="219"/>
      <c r="AZ123" s="219"/>
      <c r="BA123" s="219"/>
      <c r="BB123" s="219"/>
      <c r="BC123" s="219"/>
      <c r="BD123" s="219"/>
      <c r="BE123" s="219"/>
      <c r="BF123" s="219"/>
      <c r="BG123" s="219"/>
      <c r="BH123" s="219"/>
      <c r="BI123" s="219"/>
      <c r="BJ123" s="219"/>
      <c r="BK123" s="219"/>
      <c r="BL123" s="219"/>
      <c r="BM123" s="219"/>
    </row>
    <row r="124" spans="1:65">
      <c r="A124" s="219"/>
      <c r="B124" s="219"/>
      <c r="C124" s="219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19"/>
      <c r="AL124" s="219"/>
      <c r="AM124" s="219"/>
      <c r="AN124" s="219"/>
      <c r="AO124" s="219"/>
      <c r="AP124" s="219"/>
      <c r="AQ124" s="219"/>
      <c r="AR124" s="219"/>
      <c r="AS124" s="219"/>
      <c r="AT124" s="219"/>
      <c r="AU124" s="219"/>
      <c r="AV124" s="219"/>
      <c r="AW124" s="219"/>
      <c r="AX124" s="219"/>
      <c r="AY124" s="219"/>
      <c r="AZ124" s="219"/>
      <c r="BA124" s="219"/>
      <c r="BB124" s="219"/>
      <c r="BC124" s="219"/>
      <c r="BD124" s="219"/>
      <c r="BE124" s="219"/>
      <c r="BF124" s="219"/>
      <c r="BG124" s="219"/>
      <c r="BH124" s="219"/>
      <c r="BI124" s="219"/>
      <c r="BJ124" s="219"/>
      <c r="BK124" s="219"/>
      <c r="BL124" s="219"/>
      <c r="BM124" s="219"/>
    </row>
    <row r="125" spans="1:65">
      <c r="A125" s="219"/>
      <c r="B125" s="219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19"/>
      <c r="AL125" s="219"/>
      <c r="AM125" s="219"/>
      <c r="AN125" s="219"/>
      <c r="AO125" s="219"/>
      <c r="AP125" s="219"/>
      <c r="AQ125" s="219"/>
      <c r="AR125" s="219"/>
      <c r="AS125" s="219"/>
      <c r="AT125" s="219"/>
      <c r="AU125" s="219"/>
      <c r="AV125" s="219"/>
      <c r="AW125" s="219"/>
      <c r="AX125" s="219"/>
      <c r="AY125" s="219"/>
      <c r="AZ125" s="219"/>
      <c r="BA125" s="219"/>
      <c r="BB125" s="219"/>
      <c r="BC125" s="219"/>
      <c r="BD125" s="219"/>
      <c r="BE125" s="219"/>
      <c r="BF125" s="219"/>
      <c r="BG125" s="219"/>
      <c r="BH125" s="219"/>
      <c r="BI125" s="219"/>
      <c r="BJ125" s="219"/>
      <c r="BK125" s="219"/>
      <c r="BL125" s="219"/>
      <c r="BM125" s="219"/>
    </row>
    <row r="126" spans="1:65">
      <c r="A126" s="219"/>
      <c r="B126" s="219"/>
      <c r="C126" s="219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219"/>
      <c r="AN126" s="219"/>
      <c r="AO126" s="219"/>
      <c r="AP126" s="219"/>
      <c r="AQ126" s="219"/>
      <c r="AR126" s="219"/>
      <c r="AS126" s="219"/>
      <c r="AT126" s="219"/>
      <c r="AU126" s="219"/>
      <c r="AV126" s="219"/>
      <c r="AW126" s="219"/>
      <c r="AX126" s="219"/>
      <c r="AY126" s="219"/>
      <c r="AZ126" s="219"/>
      <c r="BA126" s="219"/>
      <c r="BB126" s="219"/>
      <c r="BC126" s="219"/>
      <c r="BD126" s="219"/>
      <c r="BE126" s="219"/>
      <c r="BF126" s="219"/>
      <c r="BG126" s="219"/>
      <c r="BH126" s="219"/>
      <c r="BI126" s="219"/>
      <c r="BJ126" s="219"/>
      <c r="BK126" s="219"/>
      <c r="BL126" s="219"/>
      <c r="BM126" s="219"/>
    </row>
    <row r="127" spans="1:65">
      <c r="A127" s="219"/>
      <c r="B127" s="219"/>
      <c r="C127" s="219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19"/>
      <c r="AL127" s="219"/>
      <c r="AM127" s="219"/>
      <c r="AN127" s="219"/>
      <c r="AO127" s="219"/>
      <c r="AP127" s="219"/>
      <c r="AQ127" s="219"/>
      <c r="AR127" s="219"/>
      <c r="AS127" s="219"/>
      <c r="AT127" s="219"/>
      <c r="AU127" s="219"/>
      <c r="AV127" s="219"/>
      <c r="AW127" s="219"/>
      <c r="AX127" s="219"/>
      <c r="AY127" s="219"/>
      <c r="AZ127" s="219"/>
      <c r="BA127" s="219"/>
      <c r="BB127" s="219"/>
      <c r="BC127" s="219"/>
      <c r="BD127" s="219"/>
      <c r="BE127" s="219"/>
      <c r="BF127" s="219"/>
      <c r="BG127" s="219"/>
      <c r="BH127" s="219"/>
      <c r="BI127" s="219"/>
      <c r="BJ127" s="219"/>
      <c r="BK127" s="219"/>
      <c r="BL127" s="219"/>
      <c r="BM127" s="219"/>
    </row>
    <row r="128" spans="1:65">
      <c r="A128" s="219"/>
      <c r="B128" s="219"/>
      <c r="C128" s="219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219"/>
      <c r="AN128" s="219"/>
      <c r="AO128" s="219"/>
      <c r="AP128" s="219"/>
      <c r="AQ128" s="219"/>
      <c r="AR128" s="219"/>
      <c r="AS128" s="219"/>
      <c r="AT128" s="219"/>
      <c r="AU128" s="219"/>
      <c r="AV128" s="219"/>
      <c r="AW128" s="219"/>
      <c r="AX128" s="219"/>
      <c r="AY128" s="219"/>
      <c r="AZ128" s="219"/>
      <c r="BA128" s="219"/>
      <c r="BB128" s="219"/>
      <c r="BC128" s="219"/>
      <c r="BD128" s="219"/>
      <c r="BE128" s="219"/>
      <c r="BF128" s="219"/>
      <c r="BG128" s="219"/>
      <c r="BH128" s="219"/>
      <c r="BI128" s="219"/>
      <c r="BJ128" s="219"/>
      <c r="BK128" s="219"/>
      <c r="BL128" s="219"/>
      <c r="BM128" s="219"/>
    </row>
    <row r="129" spans="1:65">
      <c r="A129" s="219"/>
      <c r="B129" s="219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19"/>
      <c r="AL129" s="219"/>
      <c r="AM129" s="219"/>
      <c r="AN129" s="219"/>
      <c r="AO129" s="219"/>
      <c r="AP129" s="219"/>
      <c r="AQ129" s="219"/>
      <c r="AR129" s="219"/>
      <c r="AS129" s="219"/>
      <c r="AT129" s="219"/>
      <c r="AU129" s="219"/>
      <c r="AV129" s="219"/>
      <c r="AW129" s="219"/>
      <c r="AX129" s="219"/>
      <c r="AY129" s="219"/>
      <c r="AZ129" s="219"/>
      <c r="BA129" s="219"/>
      <c r="BB129" s="219"/>
      <c r="BC129" s="219"/>
      <c r="BD129" s="219"/>
      <c r="BE129" s="219"/>
      <c r="BF129" s="219"/>
      <c r="BG129" s="219"/>
      <c r="BH129" s="219"/>
      <c r="BI129" s="219"/>
      <c r="BJ129" s="219"/>
      <c r="BK129" s="219"/>
      <c r="BL129" s="219"/>
      <c r="BM129" s="219"/>
    </row>
    <row r="130" spans="1:65">
      <c r="A130" s="219"/>
      <c r="B130" s="219"/>
      <c r="C130" s="219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219"/>
      <c r="AN130" s="219"/>
      <c r="AO130" s="219"/>
      <c r="AP130" s="219"/>
      <c r="AQ130" s="219"/>
      <c r="AR130" s="219"/>
      <c r="AS130" s="219"/>
      <c r="AT130" s="219"/>
      <c r="AU130" s="219"/>
      <c r="AV130" s="219"/>
      <c r="AW130" s="219"/>
      <c r="AX130" s="219"/>
      <c r="AY130" s="219"/>
      <c r="AZ130" s="219"/>
      <c r="BA130" s="219"/>
      <c r="BB130" s="219"/>
      <c r="BC130" s="219"/>
      <c r="BD130" s="219"/>
      <c r="BE130" s="219"/>
      <c r="BF130" s="219"/>
      <c r="BG130" s="219"/>
      <c r="BH130" s="219"/>
      <c r="BI130" s="219"/>
      <c r="BJ130" s="219"/>
      <c r="BK130" s="219"/>
      <c r="BL130" s="219"/>
      <c r="BM130" s="219"/>
    </row>
    <row r="131" spans="1:65">
      <c r="A131" s="219"/>
      <c r="B131" s="219"/>
      <c r="C131" s="219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19"/>
      <c r="AL131" s="219"/>
      <c r="AM131" s="219"/>
      <c r="AN131" s="219"/>
      <c r="AO131" s="219"/>
      <c r="AP131" s="219"/>
      <c r="AQ131" s="219"/>
      <c r="AR131" s="219"/>
      <c r="AS131" s="219"/>
      <c r="AT131" s="219"/>
      <c r="AU131" s="219"/>
      <c r="AV131" s="219"/>
      <c r="AW131" s="219"/>
      <c r="AX131" s="219"/>
      <c r="AY131" s="219"/>
      <c r="AZ131" s="219"/>
      <c r="BA131" s="219"/>
      <c r="BB131" s="219"/>
      <c r="BC131" s="219"/>
      <c r="BD131" s="219"/>
      <c r="BE131" s="219"/>
      <c r="BF131" s="219"/>
      <c r="BG131" s="219"/>
      <c r="BH131" s="219"/>
      <c r="BI131" s="219"/>
      <c r="BJ131" s="219"/>
      <c r="BK131" s="219"/>
      <c r="BL131" s="219"/>
      <c r="BM131" s="219"/>
    </row>
    <row r="132" spans="1:65">
      <c r="A132" s="219"/>
      <c r="B132" s="219"/>
      <c r="C132" s="219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19"/>
      <c r="AL132" s="219"/>
      <c r="AM132" s="219"/>
      <c r="AN132" s="219"/>
      <c r="AO132" s="219"/>
      <c r="AP132" s="219"/>
      <c r="AQ132" s="219"/>
      <c r="AR132" s="219"/>
      <c r="AS132" s="219"/>
      <c r="AT132" s="219"/>
      <c r="AU132" s="219"/>
      <c r="AV132" s="219"/>
      <c r="AW132" s="219"/>
      <c r="AX132" s="219"/>
      <c r="AY132" s="219"/>
      <c r="AZ132" s="219"/>
      <c r="BA132" s="219"/>
      <c r="BB132" s="219"/>
      <c r="BC132" s="219"/>
      <c r="BD132" s="219"/>
      <c r="BE132" s="219"/>
      <c r="BF132" s="219"/>
      <c r="BG132" s="219"/>
      <c r="BH132" s="219"/>
      <c r="BI132" s="219"/>
      <c r="BJ132" s="219"/>
      <c r="BK132" s="219"/>
      <c r="BL132" s="219"/>
      <c r="BM132" s="219"/>
    </row>
    <row r="133" spans="1:65">
      <c r="A133" s="219"/>
      <c r="B133" s="219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19"/>
      <c r="AL133" s="219"/>
      <c r="AM133" s="219"/>
      <c r="AN133" s="219"/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</row>
    <row r="134" spans="1:65">
      <c r="A134" s="219"/>
      <c r="B134" s="219"/>
      <c r="C134" s="219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19"/>
      <c r="AL134" s="219"/>
      <c r="AM134" s="219"/>
      <c r="AN134" s="219"/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</row>
    <row r="135" spans="1:65">
      <c r="A135" s="219"/>
      <c r="B135" s="219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19"/>
      <c r="AL135" s="219"/>
      <c r="AM135" s="219"/>
      <c r="AN135" s="219"/>
      <c r="AO135" s="219"/>
      <c r="AP135" s="219"/>
      <c r="AQ135" s="219"/>
      <c r="AR135" s="219"/>
      <c r="AS135" s="219"/>
      <c r="AT135" s="219"/>
      <c r="AU135" s="219"/>
      <c r="AV135" s="219"/>
      <c r="AW135" s="219"/>
      <c r="AX135" s="219"/>
      <c r="AY135" s="219"/>
      <c r="AZ135" s="219"/>
      <c r="BA135" s="219"/>
      <c r="BB135" s="219"/>
      <c r="BC135" s="219"/>
      <c r="BD135" s="219"/>
      <c r="BE135" s="219"/>
      <c r="BF135" s="219"/>
      <c r="BG135" s="219"/>
      <c r="BH135" s="219"/>
      <c r="BI135" s="219"/>
      <c r="BJ135" s="219"/>
      <c r="BK135" s="219"/>
      <c r="BL135" s="219"/>
      <c r="BM135" s="219"/>
    </row>
    <row r="136" spans="1:65">
      <c r="A136" s="219"/>
      <c r="B136" s="219"/>
      <c r="C136" s="219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19"/>
      <c r="AL136" s="219"/>
      <c r="AM136" s="219"/>
      <c r="AN136" s="219"/>
      <c r="AO136" s="219"/>
      <c r="AP136" s="219"/>
      <c r="AQ136" s="219"/>
      <c r="AR136" s="219"/>
      <c r="AS136" s="219"/>
      <c r="AT136" s="219"/>
      <c r="AU136" s="219"/>
      <c r="AV136" s="219"/>
      <c r="AW136" s="219"/>
      <c r="AX136" s="219"/>
      <c r="AY136" s="219"/>
      <c r="AZ136" s="219"/>
      <c r="BA136" s="219"/>
      <c r="BB136" s="219"/>
      <c r="BC136" s="219"/>
      <c r="BD136" s="219"/>
      <c r="BE136" s="219"/>
      <c r="BF136" s="219"/>
      <c r="BG136" s="219"/>
      <c r="BH136" s="219"/>
      <c r="BI136" s="219"/>
      <c r="BJ136" s="219"/>
      <c r="BK136" s="219"/>
      <c r="BL136" s="219"/>
      <c r="BM136" s="219"/>
    </row>
    <row r="137" spans="1:65">
      <c r="A137" s="219"/>
      <c r="B137" s="219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19"/>
      <c r="AL137" s="219"/>
      <c r="AM137" s="219"/>
      <c r="AN137" s="219"/>
      <c r="AO137" s="219"/>
      <c r="AP137" s="219"/>
      <c r="AQ137" s="219"/>
      <c r="AR137" s="219"/>
      <c r="AS137" s="219"/>
      <c r="AT137" s="219"/>
      <c r="AU137" s="219"/>
      <c r="AV137" s="219"/>
      <c r="AW137" s="219"/>
      <c r="AX137" s="219"/>
      <c r="AY137" s="219"/>
      <c r="AZ137" s="219"/>
      <c r="BA137" s="219"/>
      <c r="BB137" s="219"/>
      <c r="BC137" s="219"/>
      <c r="BD137" s="219"/>
      <c r="BE137" s="219"/>
      <c r="BF137" s="219"/>
      <c r="BG137" s="219"/>
      <c r="BH137" s="219"/>
      <c r="BI137" s="219"/>
      <c r="BJ137" s="219"/>
      <c r="BK137" s="219"/>
      <c r="BL137" s="219"/>
      <c r="BM137" s="219"/>
    </row>
    <row r="138" spans="1:65">
      <c r="A138" s="219"/>
      <c r="B138" s="219"/>
      <c r="C138" s="219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19"/>
      <c r="AL138" s="219"/>
      <c r="AM138" s="219"/>
      <c r="AN138" s="219"/>
      <c r="AO138" s="219"/>
      <c r="AP138" s="219"/>
      <c r="AQ138" s="219"/>
      <c r="AR138" s="219"/>
      <c r="AS138" s="219"/>
      <c r="AT138" s="219"/>
      <c r="AU138" s="219"/>
      <c r="AV138" s="219"/>
      <c r="AW138" s="219"/>
      <c r="AX138" s="219"/>
      <c r="AY138" s="219"/>
      <c r="AZ138" s="219"/>
      <c r="BA138" s="219"/>
      <c r="BB138" s="219"/>
      <c r="BC138" s="219"/>
      <c r="BD138" s="219"/>
      <c r="BE138" s="219"/>
      <c r="BF138" s="219"/>
      <c r="BG138" s="219"/>
      <c r="BH138" s="219"/>
      <c r="BI138" s="219"/>
      <c r="BJ138" s="219"/>
      <c r="BK138" s="219"/>
      <c r="BL138" s="219"/>
      <c r="BM138" s="219"/>
    </row>
    <row r="139" spans="1:65">
      <c r="A139" s="219"/>
      <c r="B139" s="219"/>
      <c r="C139" s="219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19"/>
      <c r="AL139" s="219"/>
      <c r="AM139" s="219"/>
      <c r="AN139" s="219"/>
      <c r="AO139" s="219"/>
      <c r="AP139" s="219"/>
      <c r="AQ139" s="219"/>
      <c r="AR139" s="219"/>
      <c r="AS139" s="219"/>
      <c r="AT139" s="219"/>
      <c r="AU139" s="219"/>
      <c r="AV139" s="219"/>
      <c r="AW139" s="219"/>
      <c r="AX139" s="219"/>
      <c r="AY139" s="219"/>
      <c r="AZ139" s="219"/>
      <c r="BA139" s="219"/>
      <c r="BB139" s="219"/>
      <c r="BC139" s="219"/>
      <c r="BD139" s="219"/>
      <c r="BE139" s="219"/>
      <c r="BF139" s="219"/>
      <c r="BG139" s="219"/>
      <c r="BH139" s="219"/>
      <c r="BI139" s="219"/>
      <c r="BJ139" s="219"/>
      <c r="BK139" s="219"/>
      <c r="BL139" s="219"/>
      <c r="BM139" s="219"/>
    </row>
    <row r="140" spans="1:65">
      <c r="A140" s="219"/>
      <c r="B140" s="219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19"/>
      <c r="AL140" s="219"/>
      <c r="AM140" s="219"/>
      <c r="AN140" s="219"/>
      <c r="AO140" s="219"/>
      <c r="AP140" s="219"/>
      <c r="AQ140" s="219"/>
      <c r="AR140" s="219"/>
      <c r="AS140" s="219"/>
      <c r="AT140" s="219"/>
      <c r="AU140" s="219"/>
      <c r="AV140" s="219"/>
      <c r="AW140" s="219"/>
      <c r="AX140" s="219"/>
      <c r="AY140" s="219"/>
      <c r="AZ140" s="219"/>
      <c r="BA140" s="219"/>
      <c r="BB140" s="219"/>
      <c r="BC140" s="219"/>
      <c r="BD140" s="219"/>
      <c r="BE140" s="219"/>
      <c r="BF140" s="219"/>
      <c r="BG140" s="219"/>
      <c r="BH140" s="219"/>
      <c r="BI140" s="219"/>
      <c r="BJ140" s="219"/>
      <c r="BK140" s="219"/>
      <c r="BL140" s="219"/>
      <c r="BM140" s="219"/>
    </row>
    <row r="141" spans="1:65">
      <c r="A141" s="219"/>
      <c r="B141" s="219"/>
      <c r="C141" s="219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19"/>
      <c r="AL141" s="219"/>
      <c r="AM141" s="219"/>
      <c r="AN141" s="219"/>
      <c r="AO141" s="219"/>
      <c r="AP141" s="219"/>
      <c r="AQ141" s="219"/>
      <c r="AR141" s="219"/>
      <c r="AS141" s="219"/>
      <c r="AT141" s="219"/>
      <c r="AU141" s="219"/>
      <c r="AV141" s="219"/>
      <c r="AW141" s="219"/>
      <c r="AX141" s="219"/>
      <c r="AY141" s="219"/>
      <c r="AZ141" s="219"/>
      <c r="BA141" s="219"/>
      <c r="BB141" s="219"/>
      <c r="BC141" s="219"/>
      <c r="BD141" s="219"/>
      <c r="BE141" s="219"/>
      <c r="BF141" s="219"/>
      <c r="BG141" s="219"/>
      <c r="BH141" s="219"/>
      <c r="BI141" s="219"/>
      <c r="BJ141" s="219"/>
      <c r="BK141" s="219"/>
      <c r="BL141" s="219"/>
      <c r="BM141" s="219"/>
    </row>
    <row r="142" spans="1:65">
      <c r="A142" s="219"/>
      <c r="B142" s="219"/>
      <c r="C142" s="219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19"/>
      <c r="AL142" s="219"/>
      <c r="AM142" s="219"/>
      <c r="AN142" s="219"/>
      <c r="AO142" s="219"/>
      <c r="AP142" s="219"/>
      <c r="AQ142" s="219"/>
      <c r="AR142" s="219"/>
      <c r="AS142" s="219"/>
      <c r="AT142" s="219"/>
      <c r="AU142" s="219"/>
      <c r="AV142" s="219"/>
      <c r="AW142" s="219"/>
      <c r="AX142" s="219"/>
      <c r="AY142" s="219"/>
      <c r="AZ142" s="219"/>
      <c r="BA142" s="219"/>
      <c r="BB142" s="219"/>
      <c r="BC142" s="219"/>
      <c r="BD142" s="219"/>
      <c r="BE142" s="219"/>
      <c r="BF142" s="219"/>
      <c r="BG142" s="219"/>
      <c r="BH142" s="219"/>
      <c r="BI142" s="219"/>
      <c r="BJ142" s="219"/>
      <c r="BK142" s="219"/>
      <c r="BL142" s="219"/>
      <c r="BM142" s="219"/>
    </row>
    <row r="143" spans="1:65">
      <c r="A143" s="219"/>
      <c r="B143" s="219"/>
      <c r="C143" s="219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19"/>
      <c r="AL143" s="219"/>
      <c r="AM143" s="219"/>
      <c r="AN143" s="219"/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</row>
    <row r="144" spans="1:65">
      <c r="A144" s="219"/>
      <c r="B144" s="219"/>
      <c r="C144" s="219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19"/>
      <c r="AL144" s="219"/>
      <c r="AM144" s="219"/>
      <c r="AN144" s="219"/>
      <c r="AO144" s="219"/>
      <c r="AP144" s="219"/>
      <c r="AQ144" s="219"/>
      <c r="AR144" s="219"/>
      <c r="AS144" s="219"/>
      <c r="AT144" s="219"/>
      <c r="AU144" s="219"/>
      <c r="AV144" s="219"/>
      <c r="AW144" s="219"/>
      <c r="AX144" s="219"/>
      <c r="AY144" s="219"/>
      <c r="AZ144" s="219"/>
      <c r="BA144" s="219"/>
      <c r="BB144" s="219"/>
      <c r="BC144" s="219"/>
      <c r="BD144" s="219"/>
      <c r="BE144" s="219"/>
      <c r="BF144" s="219"/>
      <c r="BG144" s="219"/>
      <c r="BH144" s="219"/>
      <c r="BI144" s="219"/>
      <c r="BJ144" s="219"/>
      <c r="BK144" s="219"/>
      <c r="BL144" s="219"/>
      <c r="BM144" s="219"/>
    </row>
    <row r="145" spans="1:65">
      <c r="A145" s="219"/>
      <c r="B145" s="219"/>
      <c r="C145" s="219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19"/>
      <c r="AL145" s="219"/>
      <c r="AM145" s="219"/>
      <c r="AN145" s="219"/>
      <c r="AO145" s="219"/>
      <c r="AP145" s="219"/>
      <c r="AQ145" s="219"/>
      <c r="AR145" s="219"/>
      <c r="AS145" s="219"/>
      <c r="AT145" s="219"/>
      <c r="AU145" s="219"/>
      <c r="AV145" s="219"/>
      <c r="AW145" s="219"/>
      <c r="AX145" s="219"/>
      <c r="AY145" s="219"/>
      <c r="AZ145" s="219"/>
      <c r="BA145" s="219"/>
      <c r="BB145" s="219"/>
      <c r="BC145" s="219"/>
      <c r="BD145" s="219"/>
      <c r="BE145" s="219"/>
      <c r="BF145" s="219"/>
      <c r="BG145" s="219"/>
      <c r="BH145" s="219"/>
      <c r="BI145" s="219"/>
      <c r="BJ145" s="219"/>
      <c r="BK145" s="219"/>
      <c r="BL145" s="219"/>
      <c r="BM145" s="219"/>
    </row>
    <row r="146" spans="1:65">
      <c r="A146" s="219"/>
      <c r="B146" s="219"/>
      <c r="C146" s="219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19"/>
      <c r="AL146" s="219"/>
      <c r="AM146" s="219"/>
      <c r="AN146" s="219"/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</row>
    <row r="147" spans="1:65">
      <c r="A147" s="219"/>
      <c r="B147" s="219"/>
      <c r="C147" s="219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19"/>
      <c r="AL147" s="219"/>
      <c r="AM147" s="219"/>
      <c r="AN147" s="219"/>
      <c r="AO147" s="219"/>
      <c r="AP147" s="219"/>
      <c r="AQ147" s="219"/>
      <c r="AR147" s="219"/>
      <c r="AS147" s="219"/>
      <c r="AT147" s="219"/>
      <c r="AU147" s="219"/>
      <c r="AV147" s="219"/>
      <c r="AW147" s="219"/>
      <c r="AX147" s="219"/>
      <c r="AY147" s="219"/>
      <c r="AZ147" s="219"/>
      <c r="BA147" s="219"/>
      <c r="BB147" s="219"/>
      <c r="BC147" s="219"/>
      <c r="BD147" s="219"/>
      <c r="BE147" s="219"/>
      <c r="BF147" s="219"/>
      <c r="BG147" s="219"/>
      <c r="BH147" s="219"/>
      <c r="BI147" s="219"/>
      <c r="BJ147" s="219"/>
      <c r="BK147" s="219"/>
      <c r="BL147" s="219"/>
      <c r="BM147" s="219"/>
    </row>
    <row r="148" spans="1:65">
      <c r="A148" s="219"/>
      <c r="B148" s="219"/>
      <c r="C148" s="219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219"/>
      <c r="AN148" s="219"/>
      <c r="AO148" s="219"/>
      <c r="AP148" s="219"/>
      <c r="AQ148" s="219"/>
      <c r="AR148" s="219"/>
      <c r="AS148" s="219"/>
      <c r="AT148" s="219"/>
      <c r="AU148" s="219"/>
      <c r="AV148" s="219"/>
      <c r="AW148" s="219"/>
      <c r="AX148" s="219"/>
      <c r="AY148" s="219"/>
      <c r="AZ148" s="219"/>
      <c r="BA148" s="219"/>
      <c r="BB148" s="219"/>
      <c r="BC148" s="219"/>
      <c r="BD148" s="219"/>
      <c r="BE148" s="219"/>
      <c r="BF148" s="219"/>
      <c r="BG148" s="219"/>
      <c r="BH148" s="219"/>
      <c r="BI148" s="219"/>
      <c r="BJ148" s="219"/>
      <c r="BK148" s="219"/>
      <c r="BL148" s="219"/>
      <c r="BM148" s="219"/>
    </row>
    <row r="149" spans="1:65">
      <c r="A149" s="219"/>
      <c r="B149" s="219"/>
      <c r="C149" s="219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219"/>
      <c r="AN149" s="219"/>
      <c r="AO149" s="219"/>
      <c r="AP149" s="219"/>
      <c r="AQ149" s="219"/>
      <c r="AR149" s="219"/>
      <c r="AS149" s="219"/>
      <c r="AT149" s="219"/>
      <c r="AU149" s="219"/>
      <c r="AV149" s="219"/>
      <c r="AW149" s="219"/>
      <c r="AX149" s="219"/>
      <c r="AY149" s="219"/>
      <c r="AZ149" s="219"/>
      <c r="BA149" s="219"/>
      <c r="BB149" s="219"/>
      <c r="BC149" s="219"/>
      <c r="BD149" s="219"/>
      <c r="BE149" s="219"/>
      <c r="BF149" s="219"/>
      <c r="BG149" s="219"/>
      <c r="BH149" s="219"/>
      <c r="BI149" s="219"/>
      <c r="BJ149" s="219"/>
      <c r="BK149" s="219"/>
      <c r="BL149" s="219"/>
      <c r="BM149" s="219"/>
    </row>
    <row r="150" spans="1:65">
      <c r="A150" s="219"/>
      <c r="B150" s="219"/>
      <c r="C150" s="219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  <c r="AO150" s="219"/>
      <c r="AP150" s="219"/>
      <c r="AQ150" s="219"/>
      <c r="AR150" s="219"/>
      <c r="AS150" s="219"/>
      <c r="AT150" s="219"/>
      <c r="AU150" s="219"/>
      <c r="AV150" s="219"/>
      <c r="AW150" s="219"/>
      <c r="AX150" s="219"/>
      <c r="AY150" s="219"/>
      <c r="AZ150" s="219"/>
      <c r="BA150" s="219"/>
      <c r="BB150" s="219"/>
      <c r="BC150" s="219"/>
      <c r="BD150" s="219"/>
      <c r="BE150" s="219"/>
      <c r="BF150" s="219"/>
      <c r="BG150" s="219"/>
      <c r="BH150" s="219"/>
      <c r="BI150" s="219"/>
      <c r="BJ150" s="219"/>
      <c r="BK150" s="219"/>
      <c r="BL150" s="219"/>
      <c r="BM150" s="219"/>
    </row>
    <row r="151" spans="1:65">
      <c r="A151" s="219"/>
      <c r="B151" s="219"/>
      <c r="C151" s="219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19"/>
      <c r="AL151" s="219"/>
      <c r="AM151" s="219"/>
      <c r="AN151" s="219"/>
      <c r="AO151" s="219"/>
      <c r="AP151" s="219"/>
      <c r="AQ151" s="219"/>
      <c r="AR151" s="219"/>
      <c r="AS151" s="219"/>
      <c r="AT151" s="219"/>
      <c r="AU151" s="219"/>
      <c r="AV151" s="219"/>
      <c r="AW151" s="219"/>
      <c r="AX151" s="219"/>
      <c r="AY151" s="219"/>
      <c r="AZ151" s="219"/>
      <c r="BA151" s="219"/>
      <c r="BB151" s="219"/>
      <c r="BC151" s="219"/>
      <c r="BD151" s="219"/>
      <c r="BE151" s="219"/>
      <c r="BF151" s="219"/>
      <c r="BG151" s="219"/>
      <c r="BH151" s="219"/>
      <c r="BI151" s="219"/>
      <c r="BJ151" s="219"/>
      <c r="BK151" s="219"/>
      <c r="BL151" s="219"/>
      <c r="BM151" s="219"/>
    </row>
    <row r="152" spans="1:65">
      <c r="A152" s="219"/>
      <c r="B152" s="219"/>
      <c r="C152" s="219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19"/>
      <c r="AL152" s="219"/>
      <c r="AM152" s="219"/>
      <c r="AN152" s="219"/>
      <c r="AO152" s="219"/>
      <c r="AP152" s="219"/>
      <c r="AQ152" s="219"/>
      <c r="AR152" s="219"/>
      <c r="AS152" s="219"/>
      <c r="AT152" s="219"/>
      <c r="AU152" s="219"/>
      <c r="AV152" s="219"/>
      <c r="AW152" s="219"/>
      <c r="AX152" s="219"/>
      <c r="AY152" s="219"/>
      <c r="AZ152" s="219"/>
      <c r="BA152" s="219"/>
      <c r="BB152" s="219"/>
      <c r="BC152" s="219"/>
      <c r="BD152" s="219"/>
      <c r="BE152" s="219"/>
      <c r="BF152" s="219"/>
      <c r="BG152" s="219"/>
      <c r="BH152" s="219"/>
      <c r="BI152" s="219"/>
      <c r="BJ152" s="219"/>
      <c r="BK152" s="219"/>
      <c r="BL152" s="219"/>
      <c r="BM152" s="219"/>
    </row>
    <row r="153" spans="1:65">
      <c r="A153" s="219"/>
      <c r="B153" s="219"/>
      <c r="C153" s="219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19"/>
      <c r="AL153" s="219"/>
      <c r="AM153" s="219"/>
      <c r="AN153" s="219"/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</row>
    <row r="154" spans="1:65">
      <c r="A154" s="219"/>
      <c r="B154" s="219"/>
      <c r="C154" s="219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19"/>
      <c r="AL154" s="219"/>
      <c r="AM154" s="219"/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</row>
    <row r="155" spans="1:65">
      <c r="A155" s="219"/>
      <c r="B155" s="219"/>
      <c r="C155" s="219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219"/>
      <c r="AN155" s="219"/>
      <c r="AO155" s="219"/>
      <c r="AP155" s="219"/>
      <c r="AQ155" s="219"/>
      <c r="AR155" s="219"/>
      <c r="AS155" s="219"/>
      <c r="AT155" s="219"/>
      <c r="AU155" s="219"/>
      <c r="AV155" s="219"/>
      <c r="AW155" s="219"/>
      <c r="AX155" s="219"/>
      <c r="AY155" s="219"/>
      <c r="AZ155" s="219"/>
      <c r="BA155" s="219"/>
      <c r="BB155" s="219"/>
      <c r="BC155" s="219"/>
      <c r="BD155" s="219"/>
      <c r="BE155" s="219"/>
      <c r="BF155" s="219"/>
      <c r="BG155" s="219"/>
      <c r="BH155" s="219"/>
      <c r="BI155" s="219"/>
      <c r="BJ155" s="219"/>
      <c r="BK155" s="219"/>
      <c r="BL155" s="219"/>
      <c r="BM155" s="219"/>
    </row>
    <row r="156" spans="1:65">
      <c r="A156" s="219"/>
      <c r="B156" s="219"/>
      <c r="C156" s="219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19"/>
      <c r="AL156" s="219"/>
      <c r="AM156" s="219"/>
      <c r="AN156" s="219"/>
      <c r="AO156" s="219"/>
      <c r="AP156" s="219"/>
      <c r="AQ156" s="219"/>
      <c r="AR156" s="219"/>
      <c r="AS156" s="219"/>
      <c r="AT156" s="219"/>
      <c r="AU156" s="219"/>
      <c r="AV156" s="219"/>
      <c r="AW156" s="219"/>
      <c r="AX156" s="219"/>
      <c r="AY156" s="219"/>
      <c r="AZ156" s="219"/>
      <c r="BA156" s="219"/>
      <c r="BB156" s="219"/>
      <c r="BC156" s="219"/>
      <c r="BD156" s="219"/>
      <c r="BE156" s="219"/>
      <c r="BF156" s="219"/>
      <c r="BG156" s="219"/>
      <c r="BH156" s="219"/>
      <c r="BI156" s="219"/>
      <c r="BJ156" s="219"/>
      <c r="BK156" s="219"/>
      <c r="BL156" s="219"/>
      <c r="BM156" s="219"/>
    </row>
    <row r="157" spans="1:65">
      <c r="A157" s="219"/>
      <c r="B157" s="219"/>
      <c r="C157" s="219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19"/>
      <c r="AL157" s="219"/>
      <c r="AM157" s="219"/>
      <c r="AN157" s="219"/>
      <c r="AO157" s="219"/>
      <c r="AP157" s="219"/>
      <c r="AQ157" s="219"/>
      <c r="AR157" s="219"/>
      <c r="AS157" s="219"/>
      <c r="AT157" s="219"/>
      <c r="AU157" s="219"/>
      <c r="AV157" s="219"/>
      <c r="AW157" s="219"/>
      <c r="AX157" s="219"/>
      <c r="AY157" s="219"/>
      <c r="AZ157" s="219"/>
      <c r="BA157" s="219"/>
      <c r="BB157" s="219"/>
      <c r="BC157" s="219"/>
      <c r="BD157" s="219"/>
      <c r="BE157" s="219"/>
      <c r="BF157" s="219"/>
      <c r="BG157" s="219"/>
      <c r="BH157" s="219"/>
      <c r="BI157" s="219"/>
      <c r="BJ157" s="219"/>
      <c r="BK157" s="219"/>
      <c r="BL157" s="219"/>
      <c r="BM157" s="219"/>
    </row>
    <row r="158" spans="1:65">
      <c r="A158" s="219"/>
      <c r="B158" s="219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19"/>
      <c r="AL158" s="219"/>
      <c r="AM158" s="219"/>
      <c r="AN158" s="219"/>
      <c r="AO158" s="219"/>
      <c r="AP158" s="219"/>
      <c r="AQ158" s="219"/>
      <c r="AR158" s="219"/>
      <c r="AS158" s="219"/>
      <c r="AT158" s="219"/>
      <c r="AU158" s="219"/>
      <c r="AV158" s="219"/>
      <c r="AW158" s="219"/>
      <c r="AX158" s="219"/>
      <c r="AY158" s="219"/>
      <c r="AZ158" s="219"/>
      <c r="BA158" s="219"/>
      <c r="BB158" s="219"/>
      <c r="BC158" s="219"/>
      <c r="BD158" s="219"/>
      <c r="BE158" s="219"/>
      <c r="BF158" s="219"/>
      <c r="BG158" s="219"/>
      <c r="BH158" s="219"/>
      <c r="BI158" s="219"/>
      <c r="BJ158" s="219"/>
      <c r="BK158" s="219"/>
      <c r="BL158" s="219"/>
      <c r="BM158" s="219"/>
    </row>
    <row r="159" spans="1:65">
      <c r="A159" s="219"/>
      <c r="B159" s="219"/>
      <c r="C159" s="219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19"/>
      <c r="AL159" s="219"/>
      <c r="AM159" s="219"/>
      <c r="AN159" s="219"/>
      <c r="AO159" s="219"/>
      <c r="AP159" s="219"/>
      <c r="AQ159" s="219"/>
      <c r="AR159" s="219"/>
      <c r="AS159" s="219"/>
      <c r="AT159" s="219"/>
      <c r="AU159" s="219"/>
      <c r="AV159" s="219"/>
      <c r="AW159" s="219"/>
      <c r="AX159" s="219"/>
      <c r="AY159" s="219"/>
      <c r="AZ159" s="219"/>
      <c r="BA159" s="219"/>
      <c r="BB159" s="219"/>
      <c r="BC159" s="219"/>
      <c r="BD159" s="219"/>
      <c r="BE159" s="219"/>
      <c r="BF159" s="219"/>
      <c r="BG159" s="219"/>
      <c r="BH159" s="219"/>
      <c r="BI159" s="219"/>
      <c r="BJ159" s="219"/>
      <c r="BK159" s="219"/>
      <c r="BL159" s="219"/>
      <c r="BM159" s="219"/>
    </row>
    <row r="160" spans="1:65">
      <c r="A160" s="219"/>
      <c r="B160" s="219"/>
      <c r="C160" s="219"/>
      <c r="D160" s="219"/>
      <c r="E160" s="219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19"/>
      <c r="AL160" s="219"/>
      <c r="AM160" s="219"/>
      <c r="AN160" s="219"/>
      <c r="AO160" s="219"/>
      <c r="AP160" s="219"/>
      <c r="AQ160" s="219"/>
      <c r="AR160" s="219"/>
      <c r="AS160" s="219"/>
      <c r="AT160" s="219"/>
      <c r="AU160" s="219"/>
      <c r="AV160" s="219"/>
      <c r="AW160" s="219"/>
      <c r="AX160" s="219"/>
      <c r="AY160" s="219"/>
      <c r="AZ160" s="219"/>
      <c r="BA160" s="219"/>
      <c r="BB160" s="219"/>
      <c r="BC160" s="219"/>
      <c r="BD160" s="219"/>
      <c r="BE160" s="219"/>
      <c r="BF160" s="219"/>
      <c r="BG160" s="219"/>
      <c r="BH160" s="219"/>
      <c r="BI160" s="219"/>
      <c r="BJ160" s="219"/>
      <c r="BK160" s="219"/>
      <c r="BL160" s="219"/>
      <c r="BM160" s="219"/>
    </row>
    <row r="161" spans="1:65">
      <c r="A161" s="219"/>
      <c r="B161" s="219"/>
      <c r="C161" s="219"/>
      <c r="D161" s="219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19"/>
      <c r="AL161" s="219"/>
      <c r="AM161" s="219"/>
      <c r="AN161" s="219"/>
      <c r="AO161" s="219"/>
      <c r="AP161" s="219"/>
      <c r="AQ161" s="219"/>
      <c r="AR161" s="219"/>
      <c r="AS161" s="219"/>
      <c r="AT161" s="219"/>
      <c r="AU161" s="219"/>
      <c r="AV161" s="219"/>
      <c r="AW161" s="219"/>
      <c r="AX161" s="219"/>
      <c r="AY161" s="219"/>
      <c r="AZ161" s="219"/>
      <c r="BA161" s="219"/>
      <c r="BB161" s="219"/>
      <c r="BC161" s="219"/>
      <c r="BD161" s="219"/>
      <c r="BE161" s="219"/>
      <c r="BF161" s="219"/>
      <c r="BG161" s="219"/>
      <c r="BH161" s="219"/>
      <c r="BI161" s="219"/>
      <c r="BJ161" s="219"/>
      <c r="BK161" s="219"/>
      <c r="BL161" s="219"/>
      <c r="BM161" s="219"/>
    </row>
    <row r="162" spans="1:65">
      <c r="A162" s="219"/>
      <c r="B162" s="219"/>
      <c r="C162" s="219"/>
      <c r="D162" s="219"/>
      <c r="E162" s="219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19"/>
      <c r="AL162" s="219"/>
      <c r="AM162" s="219"/>
      <c r="AN162" s="219"/>
      <c r="AO162" s="219"/>
      <c r="AP162" s="219"/>
      <c r="AQ162" s="219"/>
      <c r="AR162" s="219"/>
      <c r="AS162" s="219"/>
      <c r="AT162" s="219"/>
      <c r="AU162" s="219"/>
      <c r="AV162" s="219"/>
      <c r="AW162" s="219"/>
      <c r="AX162" s="219"/>
      <c r="AY162" s="219"/>
      <c r="AZ162" s="219"/>
      <c r="BA162" s="219"/>
      <c r="BB162" s="219"/>
      <c r="BC162" s="219"/>
      <c r="BD162" s="219"/>
      <c r="BE162" s="219"/>
      <c r="BF162" s="219"/>
      <c r="BG162" s="219"/>
      <c r="BH162" s="219"/>
      <c r="BI162" s="219"/>
      <c r="BJ162" s="219"/>
      <c r="BK162" s="219"/>
      <c r="BL162" s="219"/>
      <c r="BM162" s="219"/>
    </row>
    <row r="163" spans="1:65">
      <c r="A163" s="219"/>
      <c r="B163" s="219"/>
      <c r="C163" s="219"/>
      <c r="D163" s="219"/>
      <c r="E163" s="219"/>
      <c r="F163" s="219"/>
      <c r="G163" s="219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19"/>
      <c r="AL163" s="219"/>
      <c r="AM163" s="219"/>
      <c r="AN163" s="219"/>
      <c r="AO163" s="219"/>
      <c r="AP163" s="219"/>
      <c r="AQ163" s="219"/>
      <c r="AR163" s="219"/>
      <c r="AS163" s="219"/>
      <c r="AT163" s="219"/>
      <c r="AU163" s="219"/>
      <c r="AV163" s="219"/>
      <c r="AW163" s="219"/>
      <c r="AX163" s="219"/>
      <c r="AY163" s="219"/>
      <c r="AZ163" s="219"/>
      <c r="BA163" s="219"/>
      <c r="BB163" s="219"/>
      <c r="BC163" s="219"/>
      <c r="BD163" s="219"/>
      <c r="BE163" s="219"/>
      <c r="BF163" s="219"/>
      <c r="BG163" s="219"/>
      <c r="BH163" s="219"/>
      <c r="BI163" s="219"/>
      <c r="BJ163" s="219"/>
      <c r="BK163" s="219"/>
      <c r="BL163" s="219"/>
      <c r="BM163" s="219"/>
    </row>
    <row r="164" spans="1:65">
      <c r="A164" s="219"/>
      <c r="B164" s="219"/>
      <c r="C164" s="219"/>
      <c r="D164" s="219"/>
      <c r="E164" s="219"/>
      <c r="F164" s="219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19"/>
      <c r="AU164" s="219"/>
      <c r="AV164" s="219"/>
      <c r="AW164" s="219"/>
      <c r="AX164" s="219"/>
      <c r="AY164" s="219"/>
      <c r="AZ164" s="219"/>
      <c r="BA164" s="219"/>
      <c r="BB164" s="219"/>
      <c r="BC164" s="219"/>
      <c r="BD164" s="219"/>
      <c r="BE164" s="219"/>
      <c r="BF164" s="219"/>
      <c r="BG164" s="219"/>
      <c r="BH164" s="219"/>
      <c r="BI164" s="219"/>
      <c r="BJ164" s="219"/>
      <c r="BK164" s="219"/>
      <c r="BL164" s="219"/>
      <c r="BM164" s="219"/>
    </row>
    <row r="165" spans="1:65">
      <c r="A165" s="219"/>
      <c r="B165" s="219"/>
      <c r="C165" s="219"/>
      <c r="D165" s="219"/>
      <c r="E165" s="219"/>
      <c r="F165" s="219"/>
      <c r="G165" s="219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19"/>
      <c r="AL165" s="219"/>
      <c r="AM165" s="219"/>
      <c r="AN165" s="219"/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</row>
    <row r="166" spans="1:65">
      <c r="A166" s="219"/>
      <c r="B166" s="219"/>
      <c r="C166" s="219"/>
      <c r="D166" s="219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19"/>
      <c r="AL166" s="219"/>
      <c r="AM166" s="219"/>
      <c r="AN166" s="219"/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</row>
    <row r="167" spans="1:65">
      <c r="A167" s="219"/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</row>
    <row r="168" spans="1:65">
      <c r="A168" s="219"/>
      <c r="B168" s="219"/>
      <c r="C168" s="219"/>
      <c r="D168" s="219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</row>
    <row r="169" spans="1:65">
      <c r="A169" s="219"/>
      <c r="B169" s="219"/>
      <c r="C169" s="219"/>
      <c r="D169" s="21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19"/>
      <c r="AL169" s="219"/>
      <c r="AM169" s="219"/>
      <c r="AN169" s="219"/>
      <c r="AO169" s="219"/>
      <c r="AP169" s="219"/>
      <c r="AQ169" s="219"/>
      <c r="AR169" s="219"/>
      <c r="AS169" s="219"/>
      <c r="AT169" s="219"/>
      <c r="AU169" s="219"/>
      <c r="AV169" s="219"/>
      <c r="AW169" s="219"/>
      <c r="AX169" s="219"/>
      <c r="AY169" s="219"/>
      <c r="AZ169" s="219"/>
      <c r="BA169" s="219"/>
      <c r="BB169" s="219"/>
      <c r="BC169" s="219"/>
      <c r="BD169" s="219"/>
      <c r="BE169" s="219"/>
      <c r="BF169" s="219"/>
      <c r="BG169" s="219"/>
      <c r="BH169" s="219"/>
      <c r="BI169" s="219"/>
      <c r="BJ169" s="219"/>
      <c r="BK169" s="219"/>
      <c r="BL169" s="219"/>
      <c r="BM169" s="219"/>
    </row>
    <row r="170" spans="1:65">
      <c r="A170" s="219"/>
      <c r="B170" s="219"/>
      <c r="C170" s="219"/>
      <c r="D170" s="219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19"/>
      <c r="AL170" s="219"/>
      <c r="AM170" s="219"/>
      <c r="AN170" s="219"/>
      <c r="AO170" s="219"/>
      <c r="AP170" s="219"/>
      <c r="AQ170" s="219"/>
      <c r="AR170" s="219"/>
      <c r="AS170" s="219"/>
      <c r="AT170" s="219"/>
      <c r="AU170" s="219"/>
      <c r="AV170" s="219"/>
      <c r="AW170" s="219"/>
      <c r="AX170" s="219"/>
      <c r="AY170" s="219"/>
      <c r="AZ170" s="219"/>
      <c r="BA170" s="219"/>
      <c r="BB170" s="219"/>
      <c r="BC170" s="219"/>
      <c r="BD170" s="219"/>
      <c r="BE170" s="219"/>
      <c r="BF170" s="219"/>
      <c r="BG170" s="219"/>
      <c r="BH170" s="219"/>
      <c r="BI170" s="219"/>
      <c r="BJ170" s="219"/>
      <c r="BK170" s="219"/>
      <c r="BL170" s="219"/>
      <c r="BM170" s="219"/>
    </row>
    <row r="171" spans="1:65">
      <c r="A171" s="219"/>
      <c r="B171" s="219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19"/>
      <c r="AL171" s="219"/>
      <c r="AM171" s="219"/>
      <c r="AN171" s="219"/>
      <c r="AO171" s="219"/>
      <c r="AP171" s="219"/>
      <c r="AQ171" s="219"/>
      <c r="AR171" s="219"/>
      <c r="AS171" s="219"/>
      <c r="AT171" s="219"/>
      <c r="AU171" s="219"/>
      <c r="AV171" s="219"/>
      <c r="AW171" s="219"/>
      <c r="AX171" s="219"/>
      <c r="AY171" s="219"/>
      <c r="AZ171" s="219"/>
      <c r="BA171" s="219"/>
      <c r="BB171" s="219"/>
      <c r="BC171" s="219"/>
      <c r="BD171" s="219"/>
      <c r="BE171" s="219"/>
      <c r="BF171" s="219"/>
      <c r="BG171" s="219"/>
      <c r="BH171" s="219"/>
      <c r="BI171" s="219"/>
      <c r="BJ171" s="219"/>
      <c r="BK171" s="219"/>
      <c r="BL171" s="219"/>
      <c r="BM171" s="219"/>
    </row>
    <row r="172" spans="1:65">
      <c r="A172" s="219"/>
      <c r="B172" s="219"/>
      <c r="C172" s="219"/>
      <c r="D172" s="21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19"/>
      <c r="AL172" s="219"/>
      <c r="AM172" s="219"/>
      <c r="AN172" s="219"/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</row>
    <row r="173" spans="1:65">
      <c r="A173" s="219"/>
      <c r="B173" s="219"/>
      <c r="C173" s="219"/>
      <c r="D173" s="219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19"/>
      <c r="AL173" s="219"/>
      <c r="AM173" s="219"/>
      <c r="AN173" s="219"/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</row>
    <row r="174" spans="1:65">
      <c r="A174" s="219"/>
      <c r="B174" s="219"/>
      <c r="C174" s="219"/>
      <c r="D174" s="219"/>
      <c r="E174" s="219"/>
      <c r="F174" s="219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19"/>
      <c r="AL174" s="219"/>
      <c r="AM174" s="219"/>
      <c r="AN174" s="219"/>
      <c r="AO174" s="219"/>
      <c r="AP174" s="219"/>
      <c r="AQ174" s="219"/>
      <c r="AR174" s="219"/>
      <c r="AS174" s="219"/>
      <c r="AT174" s="219"/>
      <c r="AU174" s="219"/>
      <c r="AV174" s="219"/>
      <c r="AW174" s="219"/>
      <c r="AX174" s="219"/>
      <c r="AY174" s="219"/>
      <c r="AZ174" s="219"/>
      <c r="BA174" s="219"/>
      <c r="BB174" s="219"/>
      <c r="BC174" s="219"/>
      <c r="BD174" s="219"/>
      <c r="BE174" s="219"/>
      <c r="BF174" s="219"/>
      <c r="BG174" s="219"/>
      <c r="BH174" s="219"/>
      <c r="BI174" s="219"/>
      <c r="BJ174" s="219"/>
      <c r="BK174" s="219"/>
      <c r="BL174" s="219"/>
      <c r="BM174" s="219"/>
    </row>
    <row r="175" spans="1:65">
      <c r="A175" s="219"/>
      <c r="B175" s="219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19"/>
      <c r="AL175" s="219"/>
      <c r="AM175" s="219"/>
      <c r="AN175" s="219"/>
      <c r="AO175" s="219"/>
      <c r="AP175" s="219"/>
      <c r="AQ175" s="219"/>
      <c r="AR175" s="219"/>
      <c r="AS175" s="219"/>
      <c r="AT175" s="219"/>
      <c r="AU175" s="219"/>
      <c r="AV175" s="219"/>
      <c r="AW175" s="219"/>
      <c r="AX175" s="219"/>
      <c r="AY175" s="219"/>
      <c r="AZ175" s="219"/>
      <c r="BA175" s="219"/>
      <c r="BB175" s="219"/>
      <c r="BC175" s="219"/>
      <c r="BD175" s="219"/>
      <c r="BE175" s="219"/>
      <c r="BF175" s="219"/>
      <c r="BG175" s="219"/>
      <c r="BH175" s="219"/>
      <c r="BI175" s="219"/>
      <c r="BJ175" s="219"/>
      <c r="BK175" s="219"/>
      <c r="BL175" s="219"/>
      <c r="BM175" s="219"/>
    </row>
    <row r="176" spans="1:65">
      <c r="A176" s="219"/>
      <c r="B176" s="219"/>
      <c r="C176" s="219"/>
      <c r="D176" s="219"/>
      <c r="E176" s="219"/>
      <c r="F176" s="219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19"/>
      <c r="AL176" s="219"/>
      <c r="AM176" s="219"/>
      <c r="AN176" s="219"/>
      <c r="AO176" s="219"/>
      <c r="AP176" s="219"/>
      <c r="AQ176" s="219"/>
      <c r="AR176" s="219"/>
      <c r="AS176" s="219"/>
      <c r="AT176" s="219"/>
      <c r="AU176" s="219"/>
      <c r="AV176" s="219"/>
      <c r="AW176" s="219"/>
      <c r="AX176" s="219"/>
      <c r="AY176" s="219"/>
      <c r="AZ176" s="219"/>
      <c r="BA176" s="219"/>
      <c r="BB176" s="219"/>
      <c r="BC176" s="219"/>
      <c r="BD176" s="219"/>
      <c r="BE176" s="219"/>
      <c r="BF176" s="219"/>
      <c r="BG176" s="219"/>
      <c r="BH176" s="219"/>
      <c r="BI176" s="219"/>
      <c r="BJ176" s="219"/>
      <c r="BK176" s="219"/>
      <c r="BL176" s="219"/>
      <c r="BM176" s="219"/>
    </row>
    <row r="177" spans="1:65">
      <c r="A177" s="219"/>
      <c r="B177" s="219"/>
      <c r="C177" s="219"/>
      <c r="D177" s="219"/>
      <c r="E177" s="219"/>
      <c r="F177" s="219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19"/>
      <c r="AL177" s="219"/>
      <c r="AM177" s="219"/>
      <c r="AN177" s="219"/>
      <c r="AO177" s="219"/>
      <c r="AP177" s="219"/>
      <c r="AQ177" s="219"/>
      <c r="AR177" s="219"/>
      <c r="AS177" s="219"/>
      <c r="AT177" s="219"/>
      <c r="AU177" s="219"/>
      <c r="AV177" s="219"/>
      <c r="AW177" s="219"/>
      <c r="AX177" s="219"/>
      <c r="AY177" s="219"/>
      <c r="AZ177" s="219"/>
      <c r="BA177" s="219"/>
      <c r="BB177" s="219"/>
      <c r="BC177" s="219"/>
      <c r="BD177" s="219"/>
      <c r="BE177" s="219"/>
      <c r="BF177" s="219"/>
      <c r="BG177" s="219"/>
      <c r="BH177" s="219"/>
      <c r="BI177" s="219"/>
      <c r="BJ177" s="219"/>
      <c r="BK177" s="219"/>
      <c r="BL177" s="219"/>
      <c r="BM177" s="219"/>
    </row>
    <row r="178" spans="1:65">
      <c r="A178" s="219"/>
      <c r="B178" s="219"/>
      <c r="C178" s="219"/>
      <c r="D178" s="219"/>
      <c r="E178" s="219"/>
      <c r="F178" s="219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19"/>
      <c r="AL178" s="219"/>
      <c r="AM178" s="219"/>
      <c r="AN178" s="219"/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</row>
    <row r="179" spans="1:65">
      <c r="A179" s="219"/>
      <c r="B179" s="219"/>
      <c r="C179" s="219"/>
      <c r="D179" s="219"/>
      <c r="E179" s="219"/>
      <c r="F179" s="219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19"/>
      <c r="AL179" s="219"/>
      <c r="AM179" s="219"/>
      <c r="AN179" s="219"/>
      <c r="AO179" s="219"/>
      <c r="AP179" s="219"/>
      <c r="AQ179" s="219"/>
      <c r="AR179" s="219"/>
      <c r="AS179" s="219"/>
      <c r="AT179" s="219"/>
      <c r="AU179" s="219"/>
      <c r="AV179" s="219"/>
      <c r="AW179" s="219"/>
      <c r="AX179" s="219"/>
      <c r="AY179" s="219"/>
      <c r="AZ179" s="219"/>
      <c r="BA179" s="219"/>
      <c r="BB179" s="219"/>
      <c r="BC179" s="219"/>
      <c r="BD179" s="219"/>
      <c r="BE179" s="219"/>
      <c r="BF179" s="219"/>
      <c r="BG179" s="219"/>
      <c r="BH179" s="219"/>
      <c r="BI179" s="219"/>
      <c r="BJ179" s="219"/>
      <c r="BK179" s="219"/>
      <c r="BL179" s="219"/>
      <c r="BM179" s="219"/>
    </row>
    <row r="180" spans="1:65">
      <c r="A180" s="219"/>
      <c r="B180" s="219"/>
      <c r="C180" s="219"/>
      <c r="D180" s="21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19"/>
      <c r="AL180" s="219"/>
      <c r="AM180" s="219"/>
      <c r="AN180" s="219"/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</row>
    <row r="181" spans="1:65">
      <c r="A181" s="219"/>
      <c r="B181" s="219"/>
      <c r="C181" s="219"/>
      <c r="D181" s="219"/>
      <c r="E181" s="219"/>
      <c r="F181" s="219"/>
      <c r="G181" s="219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19"/>
      <c r="AL181" s="219"/>
      <c r="AM181" s="219"/>
      <c r="AN181" s="219"/>
      <c r="AO181" s="219"/>
      <c r="AP181" s="219"/>
      <c r="AQ181" s="219"/>
      <c r="AR181" s="219"/>
      <c r="AS181" s="219"/>
      <c r="AT181" s="219"/>
      <c r="AU181" s="219"/>
      <c r="AV181" s="219"/>
      <c r="AW181" s="219"/>
      <c r="AX181" s="219"/>
      <c r="AY181" s="219"/>
      <c r="AZ181" s="219"/>
      <c r="BA181" s="219"/>
      <c r="BB181" s="219"/>
      <c r="BC181" s="219"/>
      <c r="BD181" s="219"/>
      <c r="BE181" s="219"/>
      <c r="BF181" s="219"/>
      <c r="BG181" s="219"/>
      <c r="BH181" s="219"/>
      <c r="BI181" s="219"/>
      <c r="BJ181" s="219"/>
      <c r="BK181" s="219"/>
      <c r="BL181" s="219"/>
      <c r="BM181" s="219"/>
    </row>
    <row r="182" spans="1:65">
      <c r="A182" s="219"/>
      <c r="B182" s="219"/>
      <c r="C182" s="219"/>
      <c r="D182" s="219"/>
      <c r="E182" s="219"/>
      <c r="F182" s="219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19"/>
      <c r="AL182" s="219"/>
      <c r="AM182" s="219"/>
      <c r="AN182" s="219"/>
      <c r="AO182" s="219"/>
      <c r="AP182" s="219"/>
      <c r="AQ182" s="219"/>
      <c r="AR182" s="219"/>
      <c r="AS182" s="219"/>
      <c r="AT182" s="219"/>
      <c r="AU182" s="219"/>
      <c r="AV182" s="219"/>
      <c r="AW182" s="219"/>
      <c r="AX182" s="219"/>
      <c r="AY182" s="219"/>
      <c r="AZ182" s="219"/>
      <c r="BA182" s="219"/>
      <c r="BB182" s="219"/>
      <c r="BC182" s="219"/>
      <c r="BD182" s="219"/>
      <c r="BE182" s="219"/>
      <c r="BF182" s="219"/>
      <c r="BG182" s="219"/>
      <c r="BH182" s="219"/>
      <c r="BI182" s="219"/>
      <c r="BJ182" s="219"/>
      <c r="BK182" s="219"/>
      <c r="BL182" s="219"/>
      <c r="BM182" s="219"/>
    </row>
    <row r="183" spans="1:65">
      <c r="A183" s="219"/>
      <c r="B183" s="219"/>
      <c r="C183" s="219"/>
      <c r="D183" s="219"/>
      <c r="E183" s="219"/>
      <c r="F183" s="219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19"/>
      <c r="AL183" s="219"/>
      <c r="AM183" s="219"/>
      <c r="AN183" s="219"/>
      <c r="AO183" s="219"/>
      <c r="AP183" s="219"/>
      <c r="AQ183" s="219"/>
      <c r="AR183" s="219"/>
      <c r="AS183" s="219"/>
      <c r="AT183" s="219"/>
      <c r="AU183" s="219"/>
      <c r="AV183" s="219"/>
      <c r="AW183" s="219"/>
      <c r="AX183" s="219"/>
      <c r="AY183" s="219"/>
      <c r="AZ183" s="219"/>
      <c r="BA183" s="219"/>
      <c r="BB183" s="219"/>
      <c r="BC183" s="219"/>
      <c r="BD183" s="219"/>
      <c r="BE183" s="219"/>
      <c r="BF183" s="219"/>
      <c r="BG183" s="219"/>
      <c r="BH183" s="219"/>
      <c r="BI183" s="219"/>
      <c r="BJ183" s="219"/>
      <c r="BK183" s="219"/>
      <c r="BL183" s="219"/>
      <c r="BM183" s="219"/>
    </row>
    <row r="184" spans="1:65">
      <c r="A184" s="219"/>
      <c r="B184" s="219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19"/>
      <c r="AL184" s="219"/>
      <c r="AM184" s="219"/>
      <c r="AN184" s="219"/>
      <c r="AO184" s="219"/>
      <c r="AP184" s="219"/>
      <c r="AQ184" s="219"/>
      <c r="AR184" s="219"/>
      <c r="AS184" s="219"/>
      <c r="AT184" s="219"/>
      <c r="AU184" s="219"/>
      <c r="AV184" s="219"/>
      <c r="AW184" s="219"/>
      <c r="AX184" s="219"/>
      <c r="AY184" s="219"/>
      <c r="AZ184" s="219"/>
      <c r="BA184" s="219"/>
      <c r="BB184" s="219"/>
      <c r="BC184" s="219"/>
      <c r="BD184" s="219"/>
      <c r="BE184" s="219"/>
      <c r="BF184" s="219"/>
      <c r="BG184" s="219"/>
      <c r="BH184" s="219"/>
      <c r="BI184" s="219"/>
      <c r="BJ184" s="219"/>
      <c r="BK184" s="219"/>
      <c r="BL184" s="219"/>
      <c r="BM184" s="219"/>
    </row>
    <row r="185" spans="1:65">
      <c r="A185" s="219"/>
      <c r="B185" s="219"/>
      <c r="C185" s="219"/>
      <c r="D185" s="219"/>
      <c r="E185" s="219"/>
      <c r="F185" s="219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19"/>
      <c r="AL185" s="219"/>
      <c r="AM185" s="219"/>
      <c r="AN185" s="219"/>
      <c r="AO185" s="219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</row>
    <row r="186" spans="1:65">
      <c r="A186" s="219"/>
      <c r="B186" s="219"/>
      <c r="C186" s="219"/>
      <c r="D186" s="219"/>
      <c r="E186" s="219"/>
      <c r="F186" s="219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19"/>
      <c r="AL186" s="219"/>
      <c r="AM186" s="219"/>
      <c r="AN186" s="219"/>
      <c r="AO186" s="219"/>
      <c r="AP186" s="219"/>
      <c r="AQ186" s="219"/>
      <c r="AR186" s="219"/>
      <c r="AS186" s="219"/>
      <c r="AT186" s="219"/>
      <c r="AU186" s="219"/>
      <c r="AV186" s="219"/>
      <c r="AW186" s="219"/>
      <c r="AX186" s="219"/>
      <c r="AY186" s="219"/>
      <c r="AZ186" s="219"/>
      <c r="BA186" s="219"/>
      <c r="BB186" s="219"/>
      <c r="BC186" s="219"/>
      <c r="BD186" s="219"/>
      <c r="BE186" s="219"/>
      <c r="BF186" s="219"/>
      <c r="BG186" s="219"/>
      <c r="BH186" s="219"/>
      <c r="BI186" s="219"/>
      <c r="BJ186" s="219"/>
      <c r="BK186" s="219"/>
      <c r="BL186" s="219"/>
      <c r="BM186" s="219"/>
    </row>
    <row r="187" spans="1:65">
      <c r="A187" s="219"/>
      <c r="B187" s="219"/>
      <c r="C187" s="219"/>
      <c r="D187" s="219"/>
      <c r="E187" s="219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19"/>
      <c r="AL187" s="219"/>
      <c r="AM187" s="219"/>
      <c r="AN187" s="219"/>
      <c r="AO187" s="219"/>
      <c r="AP187" s="219"/>
      <c r="AQ187" s="219"/>
      <c r="AR187" s="219"/>
      <c r="AS187" s="219"/>
      <c r="AT187" s="219"/>
      <c r="AU187" s="219"/>
      <c r="AV187" s="219"/>
      <c r="AW187" s="219"/>
      <c r="AX187" s="219"/>
      <c r="AY187" s="219"/>
      <c r="AZ187" s="219"/>
      <c r="BA187" s="219"/>
      <c r="BB187" s="219"/>
      <c r="BC187" s="219"/>
      <c r="BD187" s="219"/>
      <c r="BE187" s="219"/>
      <c r="BF187" s="219"/>
      <c r="BG187" s="219"/>
      <c r="BH187" s="219"/>
      <c r="BI187" s="219"/>
      <c r="BJ187" s="219"/>
      <c r="BK187" s="219"/>
      <c r="BL187" s="219"/>
      <c r="BM187" s="219"/>
    </row>
    <row r="188" spans="1:65">
      <c r="A188" s="219"/>
      <c r="B188" s="219"/>
      <c r="C188" s="219"/>
      <c r="D188" s="219"/>
      <c r="E188" s="219"/>
      <c r="F188" s="219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19"/>
      <c r="AL188" s="219"/>
      <c r="AM188" s="219"/>
      <c r="AN188" s="219"/>
      <c r="AO188" s="219"/>
      <c r="AP188" s="219"/>
      <c r="AQ188" s="219"/>
      <c r="AR188" s="219"/>
      <c r="AS188" s="219"/>
      <c r="AT188" s="219"/>
      <c r="AU188" s="219"/>
      <c r="AV188" s="219"/>
      <c r="AW188" s="219"/>
      <c r="AX188" s="219"/>
      <c r="AY188" s="219"/>
      <c r="AZ188" s="219"/>
      <c r="BA188" s="219"/>
      <c r="BB188" s="219"/>
      <c r="BC188" s="219"/>
      <c r="BD188" s="219"/>
      <c r="BE188" s="219"/>
      <c r="BF188" s="219"/>
      <c r="BG188" s="219"/>
      <c r="BH188" s="219"/>
      <c r="BI188" s="219"/>
      <c r="BJ188" s="219"/>
      <c r="BK188" s="219"/>
      <c r="BL188" s="219"/>
      <c r="BM188" s="219"/>
    </row>
    <row r="189" spans="1:65">
      <c r="A189" s="219"/>
      <c r="B189" s="219"/>
      <c r="C189" s="219"/>
      <c r="D189" s="21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19"/>
      <c r="AL189" s="219"/>
      <c r="AM189" s="219"/>
      <c r="AN189" s="219"/>
      <c r="AO189" s="219"/>
      <c r="AP189" s="219"/>
      <c r="AQ189" s="219"/>
      <c r="AR189" s="219"/>
      <c r="AS189" s="219"/>
      <c r="AT189" s="219"/>
      <c r="AU189" s="219"/>
      <c r="AV189" s="219"/>
      <c r="AW189" s="219"/>
      <c r="AX189" s="219"/>
      <c r="AY189" s="219"/>
      <c r="AZ189" s="219"/>
      <c r="BA189" s="219"/>
      <c r="BB189" s="219"/>
      <c r="BC189" s="219"/>
      <c r="BD189" s="219"/>
      <c r="BE189" s="219"/>
      <c r="BF189" s="219"/>
      <c r="BG189" s="219"/>
      <c r="BH189" s="219"/>
      <c r="BI189" s="219"/>
      <c r="BJ189" s="219"/>
      <c r="BK189" s="219"/>
      <c r="BL189" s="219"/>
      <c r="BM189" s="219"/>
    </row>
    <row r="190" spans="1:65">
      <c r="A190" s="219"/>
      <c r="B190" s="219"/>
      <c r="C190" s="219"/>
      <c r="D190" s="219"/>
      <c r="E190" s="219"/>
      <c r="F190" s="219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19"/>
      <c r="AL190" s="219"/>
      <c r="AM190" s="219"/>
      <c r="AN190" s="219"/>
      <c r="AO190" s="219"/>
      <c r="AP190" s="219"/>
      <c r="AQ190" s="219"/>
      <c r="AR190" s="219"/>
      <c r="AS190" s="219"/>
      <c r="AT190" s="219"/>
      <c r="AU190" s="219"/>
      <c r="AV190" s="219"/>
      <c r="AW190" s="219"/>
      <c r="AX190" s="219"/>
      <c r="AY190" s="219"/>
      <c r="AZ190" s="219"/>
      <c r="BA190" s="219"/>
      <c r="BB190" s="219"/>
      <c r="BC190" s="219"/>
      <c r="BD190" s="219"/>
      <c r="BE190" s="219"/>
      <c r="BF190" s="219"/>
      <c r="BG190" s="219"/>
      <c r="BH190" s="219"/>
      <c r="BI190" s="219"/>
      <c r="BJ190" s="219"/>
      <c r="BK190" s="219"/>
      <c r="BL190" s="219"/>
      <c r="BM190" s="219"/>
    </row>
    <row r="191" spans="1:65">
      <c r="A191" s="219"/>
      <c r="B191" s="219"/>
      <c r="C191" s="219"/>
      <c r="D191" s="219"/>
      <c r="E191" s="219"/>
      <c r="F191" s="219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19"/>
      <c r="AL191" s="219"/>
      <c r="AM191" s="219"/>
      <c r="AN191" s="219"/>
      <c r="AO191" s="219"/>
      <c r="AP191" s="219"/>
      <c r="AQ191" s="219"/>
      <c r="AR191" s="219"/>
      <c r="AS191" s="219"/>
      <c r="AT191" s="219"/>
      <c r="AU191" s="219"/>
      <c r="AV191" s="219"/>
      <c r="AW191" s="219"/>
      <c r="AX191" s="219"/>
      <c r="AY191" s="219"/>
      <c r="AZ191" s="219"/>
      <c r="BA191" s="219"/>
      <c r="BB191" s="219"/>
      <c r="BC191" s="219"/>
      <c r="BD191" s="219"/>
      <c r="BE191" s="219"/>
      <c r="BF191" s="219"/>
      <c r="BG191" s="219"/>
      <c r="BH191" s="219"/>
      <c r="BI191" s="219"/>
      <c r="BJ191" s="219"/>
      <c r="BK191" s="219"/>
      <c r="BL191" s="219"/>
      <c r="BM191" s="219"/>
    </row>
    <row r="192" spans="1:65">
      <c r="A192" s="219"/>
      <c r="B192" s="219"/>
      <c r="C192" s="219"/>
      <c r="D192" s="219"/>
      <c r="E192" s="219"/>
      <c r="F192" s="219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19"/>
      <c r="AL192" s="219"/>
      <c r="AM192" s="219"/>
      <c r="AN192" s="219"/>
      <c r="AO192" s="219"/>
      <c r="AP192" s="219"/>
      <c r="AQ192" s="219"/>
      <c r="AR192" s="219"/>
      <c r="AS192" s="219"/>
      <c r="AT192" s="219"/>
      <c r="AU192" s="219"/>
      <c r="AV192" s="219"/>
      <c r="AW192" s="219"/>
      <c r="AX192" s="219"/>
      <c r="AY192" s="219"/>
      <c r="AZ192" s="219"/>
      <c r="BA192" s="219"/>
      <c r="BB192" s="219"/>
      <c r="BC192" s="219"/>
      <c r="BD192" s="219"/>
      <c r="BE192" s="219"/>
      <c r="BF192" s="219"/>
      <c r="BG192" s="219"/>
      <c r="BH192" s="219"/>
      <c r="BI192" s="219"/>
      <c r="BJ192" s="219"/>
      <c r="BK192" s="219"/>
      <c r="BL192" s="219"/>
      <c r="BM192" s="219"/>
    </row>
    <row r="193" spans="1:65">
      <c r="A193" s="219"/>
      <c r="B193" s="219"/>
      <c r="C193" s="219"/>
      <c r="D193" s="219"/>
      <c r="E193" s="219"/>
      <c r="F193" s="219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19"/>
      <c r="AL193" s="219"/>
      <c r="AM193" s="219"/>
      <c r="AN193" s="219"/>
      <c r="AO193" s="219"/>
      <c r="AP193" s="219"/>
      <c r="AQ193" s="219"/>
      <c r="AR193" s="219"/>
      <c r="AS193" s="219"/>
      <c r="AT193" s="219"/>
      <c r="AU193" s="219"/>
      <c r="AV193" s="219"/>
      <c r="AW193" s="219"/>
      <c r="AX193" s="219"/>
      <c r="AY193" s="219"/>
      <c r="AZ193" s="219"/>
      <c r="BA193" s="219"/>
      <c r="BB193" s="219"/>
      <c r="BC193" s="219"/>
      <c r="BD193" s="219"/>
      <c r="BE193" s="219"/>
      <c r="BF193" s="219"/>
      <c r="BG193" s="219"/>
      <c r="BH193" s="219"/>
      <c r="BI193" s="219"/>
      <c r="BJ193" s="219"/>
      <c r="BK193" s="219"/>
      <c r="BL193" s="219"/>
      <c r="BM193" s="219"/>
    </row>
    <row r="194" spans="1:65">
      <c r="A194" s="219"/>
      <c r="B194" s="219"/>
      <c r="C194" s="219"/>
      <c r="D194" s="219"/>
      <c r="E194" s="219"/>
      <c r="F194" s="219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19"/>
      <c r="AL194" s="219"/>
      <c r="AM194" s="219"/>
      <c r="AN194" s="219"/>
      <c r="AO194" s="219"/>
      <c r="AP194" s="219"/>
      <c r="AQ194" s="219"/>
      <c r="AR194" s="219"/>
      <c r="AS194" s="219"/>
      <c r="AT194" s="219"/>
      <c r="AU194" s="219"/>
      <c r="AV194" s="219"/>
      <c r="AW194" s="219"/>
      <c r="AX194" s="219"/>
      <c r="AY194" s="219"/>
      <c r="AZ194" s="219"/>
      <c r="BA194" s="219"/>
      <c r="BB194" s="219"/>
      <c r="BC194" s="219"/>
      <c r="BD194" s="219"/>
      <c r="BE194" s="219"/>
      <c r="BF194" s="219"/>
      <c r="BG194" s="219"/>
      <c r="BH194" s="219"/>
      <c r="BI194" s="219"/>
      <c r="BJ194" s="219"/>
      <c r="BK194" s="219"/>
      <c r="BL194" s="219"/>
      <c r="BM194" s="219"/>
    </row>
    <row r="195" spans="1:65">
      <c r="A195" s="219"/>
      <c r="B195" s="219"/>
      <c r="C195" s="219"/>
      <c r="D195" s="219"/>
      <c r="E195" s="219"/>
      <c r="F195" s="219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19"/>
      <c r="AL195" s="219"/>
      <c r="AM195" s="219"/>
      <c r="AN195" s="219"/>
      <c r="AO195" s="219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</row>
    <row r="196" spans="1:65">
      <c r="A196" s="219"/>
      <c r="B196" s="219"/>
      <c r="C196" s="219"/>
      <c r="D196" s="219"/>
      <c r="E196" s="219"/>
      <c r="F196" s="219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19"/>
      <c r="AL196" s="219"/>
      <c r="AM196" s="219"/>
      <c r="AN196" s="219"/>
      <c r="AO196" s="219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</row>
    <row r="197" spans="1:65">
      <c r="A197" s="219"/>
      <c r="B197" s="219"/>
      <c r="C197" s="219"/>
      <c r="D197" s="219"/>
      <c r="E197" s="219"/>
      <c r="F197" s="219"/>
      <c r="G197" s="219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19"/>
      <c r="AL197" s="219"/>
      <c r="AM197" s="219"/>
      <c r="AN197" s="219"/>
      <c r="AO197" s="219"/>
      <c r="AP197" s="219"/>
      <c r="AQ197" s="219"/>
      <c r="AR197" s="219"/>
      <c r="AS197" s="219"/>
      <c r="AT197" s="219"/>
      <c r="AU197" s="219"/>
      <c r="AV197" s="219"/>
      <c r="AW197" s="219"/>
      <c r="AX197" s="219"/>
      <c r="AY197" s="219"/>
      <c r="AZ197" s="219"/>
      <c r="BA197" s="219"/>
      <c r="BB197" s="219"/>
      <c r="BC197" s="219"/>
      <c r="BD197" s="219"/>
      <c r="BE197" s="219"/>
      <c r="BF197" s="219"/>
      <c r="BG197" s="219"/>
      <c r="BH197" s="219"/>
      <c r="BI197" s="219"/>
      <c r="BJ197" s="219"/>
      <c r="BK197" s="219"/>
      <c r="BL197" s="219"/>
      <c r="BM197" s="219"/>
    </row>
    <row r="198" spans="1:65">
      <c r="A198" s="219"/>
      <c r="B198" s="219"/>
      <c r="C198" s="219"/>
      <c r="D198" s="219"/>
      <c r="E198" s="219"/>
      <c r="F198" s="219"/>
      <c r="G198" s="219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19"/>
      <c r="AL198" s="219"/>
      <c r="AM198" s="219"/>
      <c r="AN198" s="219"/>
      <c r="AO198" s="219"/>
      <c r="AP198" s="219"/>
      <c r="AQ198" s="219"/>
      <c r="AR198" s="219"/>
      <c r="AS198" s="219"/>
      <c r="AT198" s="219"/>
      <c r="AU198" s="219"/>
      <c r="AV198" s="219"/>
      <c r="AW198" s="219"/>
      <c r="AX198" s="219"/>
      <c r="AY198" s="219"/>
      <c r="AZ198" s="219"/>
      <c r="BA198" s="219"/>
      <c r="BB198" s="219"/>
      <c r="BC198" s="219"/>
      <c r="BD198" s="219"/>
      <c r="BE198" s="219"/>
      <c r="BF198" s="219"/>
      <c r="BG198" s="219"/>
      <c r="BH198" s="219"/>
      <c r="BI198" s="219"/>
      <c r="BJ198" s="219"/>
      <c r="BK198" s="219"/>
      <c r="BL198" s="219"/>
      <c r="BM198" s="219"/>
    </row>
    <row r="199" spans="1:65">
      <c r="A199" s="219"/>
      <c r="B199" s="219"/>
      <c r="C199" s="219"/>
      <c r="D199" s="219"/>
      <c r="E199" s="219"/>
      <c r="F199" s="219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19"/>
      <c r="AL199" s="219"/>
      <c r="AM199" s="219"/>
      <c r="AN199" s="219"/>
      <c r="AO199" s="219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</row>
    <row r="200" spans="1:65">
      <c r="A200" s="219"/>
      <c r="B200" s="219"/>
      <c r="C200" s="219"/>
      <c r="D200" s="219"/>
      <c r="E200" s="219"/>
      <c r="F200" s="219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19"/>
      <c r="AL200" s="219"/>
      <c r="AM200" s="219"/>
      <c r="AN200" s="219"/>
      <c r="AO200" s="219"/>
      <c r="AP200" s="219"/>
      <c r="AQ200" s="219"/>
      <c r="AR200" s="219"/>
      <c r="AS200" s="219"/>
      <c r="AT200" s="219"/>
      <c r="AU200" s="219"/>
      <c r="AV200" s="219"/>
      <c r="AW200" s="219"/>
      <c r="AX200" s="219"/>
      <c r="AY200" s="219"/>
      <c r="AZ200" s="219"/>
      <c r="BA200" s="219"/>
      <c r="BB200" s="219"/>
      <c r="BC200" s="219"/>
      <c r="BD200" s="219"/>
      <c r="BE200" s="219"/>
      <c r="BF200" s="219"/>
      <c r="BG200" s="219"/>
      <c r="BH200" s="219"/>
      <c r="BI200" s="219"/>
      <c r="BJ200" s="219"/>
      <c r="BK200" s="219"/>
      <c r="BL200" s="219"/>
      <c r="BM200" s="219"/>
    </row>
    <row r="201" spans="1:65">
      <c r="A201" s="219"/>
      <c r="B201" s="219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19"/>
      <c r="AL201" s="219"/>
      <c r="AM201" s="219"/>
      <c r="AN201" s="219"/>
      <c r="AO201" s="219"/>
      <c r="AP201" s="219"/>
      <c r="AQ201" s="219"/>
      <c r="AR201" s="219"/>
      <c r="AS201" s="219"/>
      <c r="AT201" s="219"/>
      <c r="AU201" s="219"/>
      <c r="AV201" s="219"/>
      <c r="AW201" s="219"/>
      <c r="AX201" s="219"/>
      <c r="AY201" s="219"/>
      <c r="AZ201" s="219"/>
      <c r="BA201" s="219"/>
      <c r="BB201" s="219"/>
      <c r="BC201" s="219"/>
      <c r="BD201" s="219"/>
      <c r="BE201" s="219"/>
      <c r="BF201" s="219"/>
      <c r="BG201" s="219"/>
      <c r="BH201" s="219"/>
      <c r="BI201" s="219"/>
      <c r="BJ201" s="219"/>
      <c r="BK201" s="219"/>
      <c r="BL201" s="219"/>
      <c r="BM201" s="219"/>
    </row>
    <row r="202" spans="1:65">
      <c r="A202" s="219"/>
      <c r="B202" s="219"/>
      <c r="C202" s="219"/>
      <c r="D202" s="21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19"/>
      <c r="AL202" s="219"/>
      <c r="AM202" s="219"/>
      <c r="AN202" s="219"/>
      <c r="AO202" s="219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</row>
    <row r="203" spans="1:65">
      <c r="A203" s="219"/>
      <c r="B203" s="219"/>
      <c r="C203" s="219"/>
      <c r="D203" s="219"/>
      <c r="E203" s="219"/>
      <c r="F203" s="219"/>
      <c r="G203" s="219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19"/>
      <c r="AL203" s="219"/>
      <c r="AM203" s="219"/>
      <c r="AN203" s="219"/>
      <c r="AO203" s="219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</row>
    <row r="204" spans="1:65">
      <c r="A204" s="219"/>
      <c r="B204" s="219"/>
      <c r="C204" s="219"/>
      <c r="D204" s="219"/>
      <c r="E204" s="219"/>
      <c r="F204" s="219"/>
      <c r="G204" s="219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19"/>
      <c r="AL204" s="219"/>
      <c r="AM204" s="219"/>
      <c r="AN204" s="219"/>
      <c r="AO204" s="219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</row>
    <row r="205" spans="1:65">
      <c r="A205" s="219"/>
      <c r="B205" s="219"/>
      <c r="C205" s="219"/>
      <c r="D205" s="219"/>
      <c r="E205" s="219"/>
      <c r="F205" s="219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19"/>
      <c r="AL205" s="219"/>
      <c r="AM205" s="219"/>
      <c r="AN205" s="219"/>
      <c r="AO205" s="219"/>
      <c r="AP205" s="219"/>
      <c r="AQ205" s="219"/>
      <c r="AR205" s="219"/>
      <c r="AS205" s="219"/>
      <c r="AT205" s="219"/>
      <c r="AU205" s="219"/>
      <c r="AV205" s="219"/>
      <c r="AW205" s="219"/>
      <c r="AX205" s="219"/>
      <c r="AY205" s="219"/>
      <c r="AZ205" s="219"/>
      <c r="BA205" s="219"/>
      <c r="BB205" s="219"/>
      <c r="BC205" s="219"/>
      <c r="BD205" s="219"/>
      <c r="BE205" s="219"/>
      <c r="BF205" s="219"/>
      <c r="BG205" s="219"/>
      <c r="BH205" s="219"/>
      <c r="BI205" s="219"/>
      <c r="BJ205" s="219"/>
      <c r="BK205" s="219"/>
      <c r="BL205" s="219"/>
      <c r="BM205" s="219"/>
    </row>
    <row r="206" spans="1:65">
      <c r="A206" s="219"/>
      <c r="B206" s="219"/>
      <c r="C206" s="219"/>
      <c r="D206" s="219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19"/>
      <c r="AL206" s="219"/>
      <c r="AM206" s="219"/>
      <c r="AN206" s="219"/>
      <c r="AO206" s="219"/>
      <c r="AP206" s="219"/>
      <c r="AQ206" s="219"/>
      <c r="AR206" s="219"/>
      <c r="AS206" s="219"/>
      <c r="AT206" s="219"/>
      <c r="AU206" s="219"/>
      <c r="AV206" s="219"/>
      <c r="AW206" s="219"/>
      <c r="AX206" s="219"/>
      <c r="AY206" s="219"/>
      <c r="AZ206" s="219"/>
      <c r="BA206" s="219"/>
      <c r="BB206" s="219"/>
      <c r="BC206" s="219"/>
      <c r="BD206" s="219"/>
      <c r="BE206" s="219"/>
      <c r="BF206" s="219"/>
      <c r="BG206" s="219"/>
      <c r="BH206" s="219"/>
      <c r="BI206" s="219"/>
      <c r="BJ206" s="219"/>
      <c r="BK206" s="219"/>
      <c r="BL206" s="219"/>
      <c r="BM206" s="219"/>
    </row>
    <row r="207" spans="1:65">
      <c r="A207" s="219"/>
      <c r="B207" s="219"/>
      <c r="C207" s="219"/>
      <c r="D207" s="21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19"/>
      <c r="AL207" s="219"/>
      <c r="AM207" s="219"/>
      <c r="AN207" s="219"/>
      <c r="AO207" s="219"/>
      <c r="AP207" s="219"/>
      <c r="AQ207" s="219"/>
      <c r="AR207" s="219"/>
      <c r="AS207" s="219"/>
      <c r="AT207" s="219"/>
      <c r="AU207" s="219"/>
      <c r="AV207" s="219"/>
      <c r="AW207" s="219"/>
      <c r="AX207" s="219"/>
      <c r="AY207" s="219"/>
      <c r="AZ207" s="219"/>
      <c r="BA207" s="219"/>
      <c r="BB207" s="219"/>
      <c r="BC207" s="219"/>
      <c r="BD207" s="219"/>
      <c r="BE207" s="219"/>
      <c r="BF207" s="219"/>
      <c r="BG207" s="219"/>
      <c r="BH207" s="219"/>
      <c r="BI207" s="219"/>
      <c r="BJ207" s="219"/>
      <c r="BK207" s="219"/>
      <c r="BL207" s="219"/>
      <c r="BM207" s="219"/>
    </row>
    <row r="208" spans="1:65">
      <c r="A208" s="219"/>
      <c r="B208" s="219"/>
      <c r="C208" s="219"/>
      <c r="D208" s="219"/>
      <c r="E208" s="219"/>
      <c r="F208" s="219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19"/>
      <c r="AL208" s="219"/>
      <c r="AM208" s="219"/>
      <c r="AN208" s="219"/>
      <c r="AO208" s="219"/>
      <c r="AP208" s="219"/>
      <c r="AQ208" s="219"/>
      <c r="AR208" s="219"/>
      <c r="AS208" s="219"/>
      <c r="AT208" s="219"/>
      <c r="AU208" s="219"/>
      <c r="AV208" s="219"/>
      <c r="AW208" s="219"/>
      <c r="AX208" s="219"/>
      <c r="AY208" s="219"/>
      <c r="AZ208" s="219"/>
      <c r="BA208" s="219"/>
      <c r="BB208" s="219"/>
      <c r="BC208" s="219"/>
      <c r="BD208" s="219"/>
      <c r="BE208" s="219"/>
      <c r="BF208" s="219"/>
      <c r="BG208" s="219"/>
      <c r="BH208" s="219"/>
      <c r="BI208" s="219"/>
      <c r="BJ208" s="219"/>
      <c r="BK208" s="219"/>
      <c r="BL208" s="219"/>
      <c r="BM208" s="219"/>
    </row>
    <row r="209" spans="1:65">
      <c r="A209" s="219"/>
      <c r="B209" s="219"/>
      <c r="C209" s="219"/>
      <c r="D209" s="219"/>
      <c r="E209" s="219"/>
      <c r="F209" s="219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19"/>
      <c r="AL209" s="219"/>
      <c r="AM209" s="219"/>
      <c r="AN209" s="219"/>
      <c r="AO209" s="219"/>
      <c r="AP209" s="219"/>
      <c r="AQ209" s="219"/>
      <c r="AR209" s="219"/>
      <c r="AS209" s="219"/>
      <c r="AT209" s="219"/>
      <c r="AU209" s="219"/>
      <c r="AV209" s="219"/>
      <c r="AW209" s="219"/>
      <c r="AX209" s="219"/>
      <c r="AY209" s="219"/>
      <c r="AZ209" s="219"/>
      <c r="BA209" s="219"/>
      <c r="BB209" s="219"/>
      <c r="BC209" s="219"/>
      <c r="BD209" s="219"/>
      <c r="BE209" s="219"/>
      <c r="BF209" s="219"/>
      <c r="BG209" s="219"/>
      <c r="BH209" s="219"/>
      <c r="BI209" s="219"/>
      <c r="BJ209" s="219"/>
      <c r="BK209" s="219"/>
      <c r="BL209" s="219"/>
      <c r="BM209" s="219"/>
    </row>
    <row r="210" spans="1:65">
      <c r="A210" s="219"/>
      <c r="B210" s="219"/>
      <c r="C210" s="219"/>
      <c r="D210" s="219"/>
      <c r="E210" s="219"/>
      <c r="F210" s="219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19"/>
      <c r="AL210" s="219"/>
      <c r="AM210" s="219"/>
      <c r="AN210" s="219"/>
      <c r="AO210" s="219"/>
      <c r="AP210" s="219"/>
      <c r="AQ210" s="219"/>
      <c r="AR210" s="219"/>
      <c r="AS210" s="219"/>
      <c r="AT210" s="219"/>
      <c r="AU210" s="219"/>
      <c r="AV210" s="219"/>
      <c r="AW210" s="219"/>
      <c r="AX210" s="219"/>
      <c r="AY210" s="219"/>
      <c r="AZ210" s="219"/>
      <c r="BA210" s="219"/>
      <c r="BB210" s="219"/>
      <c r="BC210" s="219"/>
      <c r="BD210" s="219"/>
      <c r="BE210" s="219"/>
      <c r="BF210" s="219"/>
      <c r="BG210" s="219"/>
      <c r="BH210" s="219"/>
      <c r="BI210" s="219"/>
      <c r="BJ210" s="219"/>
      <c r="BK210" s="219"/>
      <c r="BL210" s="219"/>
      <c r="BM210" s="219"/>
    </row>
    <row r="211" spans="1:65">
      <c r="A211" s="219"/>
      <c r="B211" s="219"/>
      <c r="C211" s="219"/>
      <c r="D211" s="21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19"/>
      <c r="AL211" s="219"/>
      <c r="AM211" s="219"/>
      <c r="AN211" s="219"/>
      <c r="AO211" s="219"/>
      <c r="AP211" s="219"/>
      <c r="AQ211" s="219"/>
      <c r="AR211" s="219"/>
      <c r="AS211" s="219"/>
      <c r="AT211" s="219"/>
      <c r="AU211" s="219"/>
      <c r="AV211" s="219"/>
      <c r="AW211" s="219"/>
      <c r="AX211" s="219"/>
      <c r="AY211" s="219"/>
      <c r="AZ211" s="219"/>
      <c r="BA211" s="219"/>
      <c r="BB211" s="219"/>
      <c r="BC211" s="219"/>
      <c r="BD211" s="219"/>
      <c r="BE211" s="219"/>
      <c r="BF211" s="219"/>
      <c r="BG211" s="219"/>
      <c r="BH211" s="219"/>
      <c r="BI211" s="219"/>
      <c r="BJ211" s="219"/>
      <c r="BK211" s="219"/>
      <c r="BL211" s="219"/>
      <c r="BM211" s="219"/>
    </row>
    <row r="212" spans="1:65">
      <c r="A212" s="219"/>
      <c r="B212" s="219"/>
      <c r="C212" s="219"/>
      <c r="D212" s="219"/>
      <c r="E212" s="219"/>
      <c r="F212" s="219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19"/>
      <c r="AL212" s="219"/>
      <c r="AM212" s="219"/>
      <c r="AN212" s="219"/>
      <c r="AO212" s="219"/>
      <c r="AP212" s="219"/>
      <c r="AQ212" s="219"/>
      <c r="AR212" s="219"/>
      <c r="AS212" s="219"/>
      <c r="AT212" s="219"/>
      <c r="AU212" s="219"/>
      <c r="AV212" s="219"/>
      <c r="AW212" s="219"/>
      <c r="AX212" s="219"/>
      <c r="AY212" s="219"/>
      <c r="AZ212" s="219"/>
      <c r="BA212" s="219"/>
      <c r="BB212" s="219"/>
      <c r="BC212" s="219"/>
      <c r="BD212" s="219"/>
      <c r="BE212" s="219"/>
      <c r="BF212" s="219"/>
      <c r="BG212" s="219"/>
      <c r="BH212" s="219"/>
      <c r="BI212" s="219"/>
      <c r="BJ212" s="219"/>
      <c r="BK212" s="219"/>
      <c r="BL212" s="219"/>
      <c r="BM212" s="219"/>
    </row>
    <row r="213" spans="1:65">
      <c r="A213" s="219"/>
      <c r="B213" s="219"/>
      <c r="C213" s="219"/>
      <c r="D213" s="219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19"/>
      <c r="AL213" s="219"/>
      <c r="AM213" s="219"/>
      <c r="AN213" s="219"/>
      <c r="AO213" s="219"/>
      <c r="AP213" s="219"/>
      <c r="AQ213" s="219"/>
      <c r="AR213" s="219"/>
      <c r="AS213" s="219"/>
      <c r="AT213" s="219"/>
      <c r="AU213" s="219"/>
      <c r="AV213" s="219"/>
      <c r="AW213" s="219"/>
      <c r="AX213" s="219"/>
      <c r="AY213" s="219"/>
      <c r="AZ213" s="219"/>
      <c r="BA213" s="219"/>
      <c r="BB213" s="219"/>
      <c r="BC213" s="219"/>
      <c r="BD213" s="219"/>
      <c r="BE213" s="219"/>
      <c r="BF213" s="219"/>
      <c r="BG213" s="219"/>
      <c r="BH213" s="219"/>
      <c r="BI213" s="219"/>
      <c r="BJ213" s="219"/>
      <c r="BK213" s="219"/>
      <c r="BL213" s="219"/>
      <c r="BM213" s="219"/>
    </row>
    <row r="214" spans="1:65">
      <c r="A214" s="219"/>
      <c r="B214" s="219"/>
      <c r="C214" s="219"/>
      <c r="D214" s="219"/>
      <c r="E214" s="219"/>
      <c r="F214" s="219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19"/>
      <c r="AL214" s="219"/>
      <c r="AM214" s="219"/>
      <c r="AN214" s="219"/>
      <c r="AO214" s="219"/>
      <c r="AP214" s="219"/>
      <c r="AQ214" s="219"/>
      <c r="AR214" s="219"/>
      <c r="AS214" s="219"/>
      <c r="AT214" s="219"/>
      <c r="AU214" s="219"/>
      <c r="AV214" s="219"/>
      <c r="AW214" s="219"/>
      <c r="AX214" s="219"/>
      <c r="AY214" s="219"/>
      <c r="AZ214" s="219"/>
      <c r="BA214" s="219"/>
      <c r="BB214" s="219"/>
      <c r="BC214" s="219"/>
      <c r="BD214" s="219"/>
      <c r="BE214" s="219"/>
      <c r="BF214" s="219"/>
      <c r="BG214" s="219"/>
      <c r="BH214" s="219"/>
      <c r="BI214" s="219"/>
      <c r="BJ214" s="219"/>
      <c r="BK214" s="219"/>
      <c r="BL214" s="219"/>
      <c r="BM214" s="219"/>
    </row>
    <row r="215" spans="1:65">
      <c r="A215" s="219"/>
      <c r="B215" s="219"/>
      <c r="C215" s="219"/>
      <c r="D215" s="219"/>
      <c r="E215" s="219"/>
      <c r="F215" s="219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19"/>
      <c r="AL215" s="219"/>
      <c r="AM215" s="219"/>
      <c r="AN215" s="219"/>
      <c r="AO215" s="219"/>
      <c r="AP215" s="219"/>
      <c r="AQ215" s="219"/>
      <c r="AR215" s="219"/>
      <c r="AS215" s="219"/>
      <c r="AT215" s="219"/>
      <c r="AU215" s="219"/>
      <c r="AV215" s="219"/>
      <c r="AW215" s="219"/>
      <c r="AX215" s="219"/>
      <c r="AY215" s="219"/>
      <c r="AZ215" s="219"/>
      <c r="BA215" s="219"/>
      <c r="BB215" s="219"/>
      <c r="BC215" s="219"/>
      <c r="BD215" s="219"/>
      <c r="BE215" s="219"/>
      <c r="BF215" s="219"/>
      <c r="BG215" s="219"/>
      <c r="BH215" s="219"/>
      <c r="BI215" s="219"/>
      <c r="BJ215" s="219"/>
      <c r="BK215" s="219"/>
      <c r="BL215" s="219"/>
      <c r="BM215" s="219"/>
    </row>
    <row r="216" spans="1:65">
      <c r="A216" s="219"/>
      <c r="B216" s="219"/>
      <c r="C216" s="219"/>
      <c r="D216" s="219"/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19"/>
      <c r="AL216" s="219"/>
      <c r="AM216" s="219"/>
      <c r="AN216" s="219"/>
      <c r="AO216" s="219"/>
      <c r="AP216" s="219"/>
      <c r="AQ216" s="219"/>
      <c r="AR216" s="219"/>
      <c r="AS216" s="219"/>
      <c r="AT216" s="219"/>
      <c r="AU216" s="219"/>
      <c r="AV216" s="219"/>
      <c r="AW216" s="219"/>
      <c r="AX216" s="219"/>
      <c r="AY216" s="219"/>
      <c r="AZ216" s="219"/>
      <c r="BA216" s="219"/>
      <c r="BB216" s="219"/>
      <c r="BC216" s="219"/>
      <c r="BD216" s="219"/>
      <c r="BE216" s="219"/>
      <c r="BF216" s="219"/>
      <c r="BG216" s="219"/>
      <c r="BH216" s="219"/>
      <c r="BI216" s="219"/>
      <c r="BJ216" s="219"/>
      <c r="BK216" s="219"/>
      <c r="BL216" s="219"/>
      <c r="BM216" s="219"/>
    </row>
    <row r="217" spans="1:65">
      <c r="A217" s="219"/>
      <c r="B217" s="219"/>
      <c r="C217" s="219"/>
      <c r="D217" s="219"/>
      <c r="E217" s="219"/>
      <c r="F217" s="219"/>
      <c r="G217" s="219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19"/>
      <c r="AL217" s="219"/>
      <c r="AM217" s="219"/>
      <c r="AN217" s="219"/>
      <c r="AO217" s="219"/>
      <c r="AP217" s="219"/>
      <c r="AQ217" s="219"/>
      <c r="AR217" s="219"/>
      <c r="AS217" s="219"/>
      <c r="AT217" s="219"/>
      <c r="AU217" s="219"/>
      <c r="AV217" s="219"/>
      <c r="AW217" s="219"/>
      <c r="AX217" s="219"/>
      <c r="AY217" s="219"/>
      <c r="AZ217" s="219"/>
      <c r="BA217" s="219"/>
      <c r="BB217" s="219"/>
      <c r="BC217" s="219"/>
      <c r="BD217" s="219"/>
      <c r="BE217" s="219"/>
      <c r="BF217" s="219"/>
      <c r="BG217" s="219"/>
      <c r="BH217" s="219"/>
      <c r="BI217" s="219"/>
      <c r="BJ217" s="219"/>
      <c r="BK217" s="219"/>
      <c r="BL217" s="219"/>
      <c r="BM217" s="219"/>
    </row>
    <row r="218" spans="1:65">
      <c r="A218" s="219"/>
      <c r="B218" s="219"/>
      <c r="C218" s="219"/>
      <c r="D218" s="219"/>
      <c r="E218" s="219"/>
      <c r="F218" s="219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19"/>
      <c r="AL218" s="219"/>
      <c r="AM218" s="219"/>
      <c r="AN218" s="219"/>
      <c r="AO218" s="219"/>
      <c r="AP218" s="219"/>
      <c r="AQ218" s="219"/>
      <c r="AR218" s="219"/>
      <c r="AS218" s="219"/>
      <c r="AT218" s="219"/>
      <c r="AU218" s="219"/>
      <c r="AV218" s="219"/>
      <c r="AW218" s="219"/>
      <c r="AX218" s="219"/>
      <c r="AY218" s="219"/>
      <c r="AZ218" s="219"/>
      <c r="BA218" s="219"/>
      <c r="BB218" s="219"/>
      <c r="BC218" s="219"/>
      <c r="BD218" s="219"/>
      <c r="BE218" s="219"/>
      <c r="BF218" s="219"/>
      <c r="BG218" s="219"/>
      <c r="BH218" s="219"/>
      <c r="BI218" s="219"/>
      <c r="BJ218" s="219"/>
      <c r="BK218" s="219"/>
      <c r="BL218" s="219"/>
      <c r="BM218" s="219"/>
    </row>
    <row r="219" spans="1:65">
      <c r="A219" s="219"/>
      <c r="B219" s="219"/>
      <c r="C219" s="219"/>
      <c r="D219" s="219"/>
      <c r="E219" s="219"/>
      <c r="F219" s="219"/>
      <c r="G219" s="219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19"/>
      <c r="AL219" s="219"/>
      <c r="AM219" s="219"/>
      <c r="AN219" s="219"/>
      <c r="AO219" s="219"/>
      <c r="AP219" s="219"/>
      <c r="AQ219" s="219"/>
      <c r="AR219" s="219"/>
      <c r="AS219" s="219"/>
      <c r="AT219" s="219"/>
      <c r="AU219" s="219"/>
      <c r="AV219" s="219"/>
      <c r="AW219" s="219"/>
      <c r="AX219" s="219"/>
      <c r="AY219" s="219"/>
      <c r="AZ219" s="219"/>
      <c r="BA219" s="219"/>
      <c r="BB219" s="219"/>
      <c r="BC219" s="219"/>
      <c r="BD219" s="219"/>
      <c r="BE219" s="219"/>
      <c r="BF219" s="219"/>
      <c r="BG219" s="219"/>
      <c r="BH219" s="219"/>
      <c r="BI219" s="219"/>
      <c r="BJ219" s="219"/>
      <c r="BK219" s="219"/>
      <c r="BL219" s="219"/>
      <c r="BM219" s="219"/>
    </row>
    <row r="220" spans="1:65">
      <c r="A220" s="219"/>
      <c r="B220" s="219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19"/>
      <c r="AL220" s="219"/>
      <c r="AM220" s="219"/>
      <c r="AN220" s="219"/>
      <c r="AO220" s="219"/>
      <c r="AP220" s="219"/>
      <c r="AQ220" s="219"/>
      <c r="AR220" s="219"/>
      <c r="AS220" s="219"/>
      <c r="AT220" s="219"/>
      <c r="AU220" s="219"/>
      <c r="AV220" s="219"/>
      <c r="AW220" s="219"/>
      <c r="AX220" s="219"/>
      <c r="AY220" s="219"/>
      <c r="AZ220" s="219"/>
      <c r="BA220" s="219"/>
      <c r="BB220" s="219"/>
      <c r="BC220" s="219"/>
      <c r="BD220" s="219"/>
      <c r="BE220" s="219"/>
      <c r="BF220" s="219"/>
      <c r="BG220" s="219"/>
      <c r="BH220" s="219"/>
      <c r="BI220" s="219"/>
      <c r="BJ220" s="219"/>
      <c r="BK220" s="219"/>
      <c r="BL220" s="219"/>
      <c r="BM220" s="219"/>
    </row>
    <row r="221" spans="1:65">
      <c r="A221" s="219"/>
      <c r="B221" s="219"/>
      <c r="C221" s="219"/>
      <c r="D221" s="219"/>
      <c r="E221" s="219"/>
      <c r="F221" s="219"/>
      <c r="G221" s="219"/>
      <c r="H221" s="219"/>
      <c r="I221" s="219"/>
      <c r="J221" s="219"/>
      <c r="K221" s="219"/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19"/>
      <c r="AL221" s="219"/>
      <c r="AM221" s="219"/>
      <c r="AN221" s="219"/>
      <c r="AO221" s="219"/>
      <c r="AP221" s="219"/>
      <c r="AQ221" s="219"/>
      <c r="AR221" s="219"/>
      <c r="AS221" s="219"/>
      <c r="AT221" s="219"/>
      <c r="AU221" s="219"/>
      <c r="AV221" s="219"/>
      <c r="AW221" s="219"/>
      <c r="AX221" s="219"/>
      <c r="AY221" s="219"/>
      <c r="AZ221" s="219"/>
      <c r="BA221" s="219"/>
      <c r="BB221" s="219"/>
      <c r="BC221" s="219"/>
      <c r="BD221" s="219"/>
      <c r="BE221" s="219"/>
      <c r="BF221" s="219"/>
      <c r="BG221" s="219"/>
      <c r="BH221" s="219"/>
      <c r="BI221" s="219"/>
      <c r="BJ221" s="219"/>
      <c r="BK221" s="219"/>
      <c r="BL221" s="219"/>
      <c r="BM221" s="219"/>
    </row>
    <row r="222" spans="1:65">
      <c r="A222" s="219"/>
      <c r="B222" s="219"/>
      <c r="C222" s="219"/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19"/>
      <c r="AL222" s="219"/>
      <c r="AM222" s="219"/>
      <c r="AN222" s="219"/>
      <c r="AO222" s="219"/>
      <c r="AP222" s="219"/>
      <c r="AQ222" s="219"/>
      <c r="AR222" s="219"/>
      <c r="AS222" s="219"/>
      <c r="AT222" s="219"/>
      <c r="AU222" s="219"/>
      <c r="AV222" s="219"/>
      <c r="AW222" s="219"/>
      <c r="AX222" s="219"/>
      <c r="AY222" s="219"/>
      <c r="AZ222" s="219"/>
      <c r="BA222" s="219"/>
      <c r="BB222" s="219"/>
      <c r="BC222" s="219"/>
      <c r="BD222" s="219"/>
      <c r="BE222" s="219"/>
      <c r="BF222" s="219"/>
      <c r="BG222" s="219"/>
      <c r="BH222" s="219"/>
      <c r="BI222" s="219"/>
      <c r="BJ222" s="219"/>
      <c r="BK222" s="219"/>
      <c r="BL222" s="219"/>
      <c r="BM222" s="219"/>
    </row>
    <row r="223" spans="1:65">
      <c r="A223" s="219"/>
      <c r="B223" s="219"/>
      <c r="C223" s="219"/>
      <c r="D223" s="219"/>
      <c r="E223" s="219"/>
      <c r="F223" s="219"/>
      <c r="G223" s="219"/>
      <c r="H223" s="219"/>
      <c r="I223" s="219"/>
      <c r="J223" s="219"/>
      <c r="K223" s="219"/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19"/>
      <c r="AL223" s="219"/>
      <c r="AM223" s="219"/>
      <c r="AN223" s="219"/>
      <c r="AO223" s="219"/>
      <c r="AP223" s="219"/>
      <c r="AQ223" s="219"/>
      <c r="AR223" s="219"/>
      <c r="AS223" s="219"/>
      <c r="AT223" s="219"/>
      <c r="AU223" s="219"/>
      <c r="AV223" s="219"/>
      <c r="AW223" s="219"/>
      <c r="AX223" s="219"/>
      <c r="AY223" s="219"/>
      <c r="AZ223" s="219"/>
      <c r="BA223" s="219"/>
      <c r="BB223" s="219"/>
      <c r="BC223" s="219"/>
      <c r="BD223" s="219"/>
      <c r="BE223" s="219"/>
      <c r="BF223" s="219"/>
      <c r="BG223" s="219"/>
      <c r="BH223" s="219"/>
      <c r="BI223" s="219"/>
      <c r="BJ223" s="219"/>
      <c r="BK223" s="219"/>
      <c r="BL223" s="219"/>
      <c r="BM223" s="219"/>
    </row>
    <row r="224" spans="1:65">
      <c r="A224" s="219"/>
      <c r="B224" s="219"/>
      <c r="C224" s="219"/>
      <c r="D224" s="219"/>
      <c r="E224" s="219"/>
      <c r="F224" s="219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19"/>
      <c r="AL224" s="219"/>
      <c r="AM224" s="219"/>
      <c r="AN224" s="219"/>
      <c r="AO224" s="219"/>
      <c r="AP224" s="219"/>
      <c r="AQ224" s="219"/>
      <c r="AR224" s="219"/>
      <c r="AS224" s="219"/>
      <c r="AT224" s="219"/>
      <c r="AU224" s="219"/>
      <c r="AV224" s="219"/>
      <c r="AW224" s="219"/>
      <c r="AX224" s="219"/>
      <c r="AY224" s="219"/>
      <c r="AZ224" s="219"/>
      <c r="BA224" s="219"/>
      <c r="BB224" s="219"/>
      <c r="BC224" s="219"/>
      <c r="BD224" s="219"/>
      <c r="BE224" s="219"/>
      <c r="BF224" s="219"/>
      <c r="BG224" s="219"/>
      <c r="BH224" s="219"/>
      <c r="BI224" s="219"/>
      <c r="BJ224" s="219"/>
      <c r="BK224" s="219"/>
      <c r="BL224" s="219"/>
      <c r="BM224" s="219"/>
    </row>
    <row r="225" spans="1:65">
      <c r="A225" s="219"/>
      <c r="B225" s="219"/>
      <c r="C225" s="219"/>
      <c r="D225" s="219"/>
      <c r="E225" s="219"/>
      <c r="F225" s="219"/>
      <c r="G225" s="219"/>
      <c r="H225" s="219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19"/>
      <c r="AL225" s="219"/>
      <c r="AM225" s="219"/>
      <c r="AN225" s="219"/>
      <c r="AO225" s="219"/>
      <c r="AP225" s="219"/>
      <c r="AQ225" s="219"/>
      <c r="AR225" s="219"/>
      <c r="AS225" s="219"/>
      <c r="AT225" s="219"/>
      <c r="AU225" s="219"/>
      <c r="AV225" s="219"/>
      <c r="AW225" s="219"/>
      <c r="AX225" s="219"/>
      <c r="AY225" s="219"/>
      <c r="AZ225" s="219"/>
      <c r="BA225" s="219"/>
      <c r="BB225" s="219"/>
      <c r="BC225" s="219"/>
      <c r="BD225" s="219"/>
      <c r="BE225" s="219"/>
      <c r="BF225" s="219"/>
      <c r="BG225" s="219"/>
      <c r="BH225" s="219"/>
      <c r="BI225" s="219"/>
      <c r="BJ225" s="219"/>
      <c r="BK225" s="219"/>
      <c r="BL225" s="219"/>
      <c r="BM225" s="219"/>
    </row>
    <row r="226" spans="1:65">
      <c r="A226" s="219"/>
      <c r="B226" s="219"/>
      <c r="C226" s="219"/>
      <c r="D226" s="219"/>
      <c r="E226" s="219"/>
      <c r="F226" s="219"/>
      <c r="G226" s="219"/>
      <c r="H226" s="219"/>
      <c r="I226" s="219"/>
      <c r="J226" s="219"/>
      <c r="K226" s="219"/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19"/>
      <c r="AL226" s="219"/>
      <c r="AM226" s="219"/>
      <c r="AN226" s="219"/>
      <c r="AO226" s="219"/>
      <c r="AP226" s="219"/>
      <c r="AQ226" s="219"/>
      <c r="AR226" s="219"/>
      <c r="AS226" s="219"/>
      <c r="AT226" s="219"/>
      <c r="AU226" s="219"/>
      <c r="AV226" s="219"/>
      <c r="AW226" s="219"/>
      <c r="AX226" s="219"/>
      <c r="AY226" s="219"/>
      <c r="AZ226" s="219"/>
      <c r="BA226" s="219"/>
      <c r="BB226" s="219"/>
      <c r="BC226" s="219"/>
      <c r="BD226" s="219"/>
      <c r="BE226" s="219"/>
      <c r="BF226" s="219"/>
      <c r="BG226" s="219"/>
      <c r="BH226" s="219"/>
      <c r="BI226" s="219"/>
      <c r="BJ226" s="219"/>
      <c r="BK226" s="219"/>
      <c r="BL226" s="219"/>
      <c r="BM226" s="219"/>
    </row>
    <row r="227" spans="1:65">
      <c r="A227" s="219"/>
      <c r="B227" s="219"/>
      <c r="C227" s="219"/>
      <c r="D227" s="219"/>
      <c r="E227" s="219"/>
      <c r="F227" s="219"/>
      <c r="G227" s="219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19"/>
      <c r="AL227" s="219"/>
      <c r="AM227" s="219"/>
      <c r="AN227" s="219"/>
      <c r="AO227" s="219"/>
      <c r="AP227" s="219"/>
      <c r="AQ227" s="219"/>
      <c r="AR227" s="219"/>
      <c r="AS227" s="219"/>
      <c r="AT227" s="219"/>
      <c r="AU227" s="219"/>
      <c r="AV227" s="219"/>
      <c r="AW227" s="219"/>
      <c r="AX227" s="219"/>
      <c r="AY227" s="219"/>
      <c r="AZ227" s="219"/>
      <c r="BA227" s="219"/>
      <c r="BB227" s="219"/>
      <c r="BC227" s="219"/>
      <c r="BD227" s="219"/>
      <c r="BE227" s="219"/>
      <c r="BF227" s="219"/>
      <c r="BG227" s="219"/>
      <c r="BH227" s="219"/>
      <c r="BI227" s="219"/>
      <c r="BJ227" s="219"/>
      <c r="BK227" s="219"/>
      <c r="BL227" s="219"/>
      <c r="BM227" s="219"/>
    </row>
    <row r="228" spans="1:65">
      <c r="A228" s="219"/>
      <c r="B228" s="219"/>
      <c r="C228" s="219"/>
      <c r="D228" s="219"/>
      <c r="E228" s="219"/>
      <c r="F228" s="219"/>
      <c r="G228" s="219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19"/>
      <c r="AL228" s="219"/>
      <c r="AM228" s="219"/>
      <c r="AN228" s="219"/>
      <c r="AO228" s="219"/>
      <c r="AP228" s="219"/>
      <c r="AQ228" s="219"/>
      <c r="AR228" s="219"/>
      <c r="AS228" s="219"/>
      <c r="AT228" s="219"/>
      <c r="AU228" s="219"/>
      <c r="AV228" s="219"/>
      <c r="AW228" s="219"/>
      <c r="AX228" s="219"/>
      <c r="AY228" s="219"/>
      <c r="AZ228" s="219"/>
      <c r="BA228" s="219"/>
      <c r="BB228" s="219"/>
      <c r="BC228" s="219"/>
      <c r="BD228" s="219"/>
      <c r="BE228" s="219"/>
      <c r="BF228" s="219"/>
      <c r="BG228" s="219"/>
      <c r="BH228" s="219"/>
      <c r="BI228" s="219"/>
      <c r="BJ228" s="219"/>
      <c r="BK228" s="219"/>
      <c r="BL228" s="219"/>
      <c r="BM228" s="219"/>
    </row>
    <row r="229" spans="1:65">
      <c r="A229" s="219"/>
      <c r="B229" s="219"/>
      <c r="C229" s="219"/>
      <c r="D229" s="219"/>
      <c r="E229" s="219"/>
      <c r="F229" s="219"/>
      <c r="G229" s="219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19"/>
      <c r="AL229" s="219"/>
      <c r="AM229" s="219"/>
      <c r="AN229" s="219"/>
      <c r="AO229" s="219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</row>
    <row r="230" spans="1:65">
      <c r="A230" s="219"/>
      <c r="B230" s="219"/>
      <c r="C230" s="219"/>
      <c r="D230" s="219"/>
      <c r="E230" s="219"/>
      <c r="F230" s="219"/>
      <c r="G230" s="219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/>
      <c r="AU230" s="219"/>
      <c r="AV230" s="219"/>
      <c r="AW230" s="219"/>
      <c r="AX230" s="219"/>
      <c r="AY230" s="219"/>
      <c r="AZ230" s="219"/>
      <c r="BA230" s="219"/>
      <c r="BB230" s="219"/>
      <c r="BC230" s="219"/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</row>
    <row r="231" spans="1:65">
      <c r="A231" s="219"/>
      <c r="B231" s="219"/>
      <c r="C231" s="219"/>
      <c r="D231" s="219"/>
      <c r="E231" s="219"/>
      <c r="F231" s="219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19"/>
      <c r="AL231" s="219"/>
      <c r="AM231" s="219"/>
      <c r="AN231" s="219"/>
      <c r="AO231" s="219"/>
      <c r="AP231" s="219"/>
      <c r="AQ231" s="219"/>
      <c r="AR231" s="219"/>
      <c r="AS231" s="219"/>
      <c r="AT231" s="219"/>
      <c r="AU231" s="219"/>
      <c r="AV231" s="219"/>
      <c r="AW231" s="219"/>
      <c r="AX231" s="219"/>
      <c r="AY231" s="219"/>
      <c r="AZ231" s="219"/>
      <c r="BA231" s="219"/>
      <c r="BB231" s="219"/>
      <c r="BC231" s="219"/>
      <c r="BD231" s="219"/>
      <c r="BE231" s="219"/>
      <c r="BF231" s="219"/>
      <c r="BG231" s="219"/>
      <c r="BH231" s="219"/>
      <c r="BI231" s="219"/>
      <c r="BJ231" s="219"/>
      <c r="BK231" s="219"/>
      <c r="BL231" s="219"/>
      <c r="BM231" s="219"/>
    </row>
    <row r="232" spans="1:65">
      <c r="A232" s="219"/>
      <c r="B232" s="219"/>
      <c r="C232" s="219"/>
      <c r="D232" s="219"/>
      <c r="E232" s="219"/>
      <c r="F232" s="219"/>
      <c r="G232" s="219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19"/>
      <c r="AL232" s="219"/>
      <c r="AM232" s="219"/>
      <c r="AN232" s="219"/>
      <c r="AO232" s="219"/>
      <c r="AP232" s="219"/>
      <c r="AQ232" s="219"/>
      <c r="AR232" s="219"/>
      <c r="AS232" s="219"/>
      <c r="AT232" s="219"/>
      <c r="AU232" s="219"/>
      <c r="AV232" s="219"/>
      <c r="AW232" s="219"/>
      <c r="AX232" s="219"/>
      <c r="AY232" s="219"/>
      <c r="AZ232" s="219"/>
      <c r="BA232" s="219"/>
      <c r="BB232" s="219"/>
      <c r="BC232" s="219"/>
      <c r="BD232" s="219"/>
      <c r="BE232" s="219"/>
      <c r="BF232" s="219"/>
      <c r="BG232" s="219"/>
      <c r="BH232" s="219"/>
      <c r="BI232" s="219"/>
      <c r="BJ232" s="219"/>
      <c r="BK232" s="219"/>
      <c r="BL232" s="219"/>
      <c r="BM232" s="219"/>
    </row>
    <row r="233" spans="1:65">
      <c r="A233" s="219"/>
      <c r="B233" s="219"/>
      <c r="C233" s="219"/>
      <c r="D233" s="219"/>
      <c r="E233" s="219"/>
      <c r="F233" s="219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19"/>
      <c r="AL233" s="219"/>
      <c r="AM233" s="219"/>
      <c r="AN233" s="219"/>
      <c r="AO233" s="219"/>
      <c r="AP233" s="219"/>
      <c r="AQ233" s="219"/>
      <c r="AR233" s="219"/>
      <c r="AS233" s="219"/>
      <c r="AT233" s="219"/>
      <c r="AU233" s="219"/>
      <c r="AV233" s="219"/>
      <c r="AW233" s="219"/>
      <c r="AX233" s="219"/>
      <c r="AY233" s="219"/>
      <c r="AZ233" s="219"/>
      <c r="BA233" s="219"/>
      <c r="BB233" s="219"/>
      <c r="BC233" s="219"/>
      <c r="BD233" s="219"/>
      <c r="BE233" s="219"/>
      <c r="BF233" s="219"/>
      <c r="BG233" s="219"/>
      <c r="BH233" s="219"/>
      <c r="BI233" s="219"/>
      <c r="BJ233" s="219"/>
      <c r="BK233" s="219"/>
      <c r="BL233" s="219"/>
      <c r="BM233" s="219"/>
    </row>
    <row r="234" spans="1:65">
      <c r="A234" s="219"/>
      <c r="B234" s="219"/>
      <c r="C234" s="219"/>
      <c r="D234" s="219"/>
      <c r="E234" s="219"/>
      <c r="F234" s="219"/>
      <c r="G234" s="219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19"/>
      <c r="AL234" s="219"/>
      <c r="AM234" s="219"/>
      <c r="AN234" s="219"/>
      <c r="AO234" s="219"/>
      <c r="AP234" s="219"/>
      <c r="AQ234" s="219"/>
      <c r="AR234" s="219"/>
      <c r="AS234" s="219"/>
      <c r="AT234" s="219"/>
      <c r="AU234" s="219"/>
      <c r="AV234" s="219"/>
      <c r="AW234" s="219"/>
      <c r="AX234" s="219"/>
      <c r="AY234" s="219"/>
      <c r="AZ234" s="219"/>
      <c r="BA234" s="219"/>
      <c r="BB234" s="219"/>
      <c r="BC234" s="219"/>
      <c r="BD234" s="219"/>
      <c r="BE234" s="219"/>
      <c r="BF234" s="219"/>
      <c r="BG234" s="219"/>
      <c r="BH234" s="219"/>
      <c r="BI234" s="219"/>
      <c r="BJ234" s="219"/>
      <c r="BK234" s="219"/>
      <c r="BL234" s="219"/>
      <c r="BM234" s="219"/>
    </row>
    <row r="235" spans="1:65">
      <c r="A235" s="219"/>
      <c r="B235" s="219"/>
      <c r="C235" s="219"/>
      <c r="D235" s="219"/>
      <c r="E235" s="219"/>
      <c r="F235" s="219"/>
      <c r="G235" s="219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19"/>
      <c r="AL235" s="219"/>
      <c r="AM235" s="219"/>
      <c r="AN235" s="219"/>
      <c r="AO235" s="219"/>
      <c r="AP235" s="219"/>
      <c r="AQ235" s="219"/>
      <c r="AR235" s="219"/>
      <c r="AS235" s="219"/>
      <c r="AT235" s="219"/>
      <c r="AU235" s="219"/>
      <c r="AV235" s="219"/>
      <c r="AW235" s="219"/>
      <c r="AX235" s="219"/>
      <c r="AY235" s="219"/>
      <c r="AZ235" s="219"/>
      <c r="BA235" s="219"/>
      <c r="BB235" s="219"/>
      <c r="BC235" s="219"/>
      <c r="BD235" s="219"/>
      <c r="BE235" s="219"/>
      <c r="BF235" s="219"/>
      <c r="BG235" s="219"/>
      <c r="BH235" s="219"/>
      <c r="BI235" s="219"/>
      <c r="BJ235" s="219"/>
      <c r="BK235" s="219"/>
      <c r="BL235" s="219"/>
      <c r="BM235" s="219"/>
    </row>
    <row r="236" spans="1:65">
      <c r="A236" s="219"/>
      <c r="B236" s="219"/>
      <c r="C236" s="219"/>
      <c r="D236" s="219"/>
      <c r="E236" s="219"/>
      <c r="F236" s="219"/>
      <c r="G236" s="219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19"/>
      <c r="AL236" s="219"/>
      <c r="AM236" s="219"/>
      <c r="AN236" s="219"/>
      <c r="AO236" s="219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</row>
    <row r="237" spans="1:65">
      <c r="A237" s="219"/>
      <c r="B237" s="219"/>
      <c r="C237" s="219"/>
      <c r="D237" s="219"/>
      <c r="E237" s="219"/>
      <c r="F237" s="219"/>
      <c r="G237" s="219"/>
      <c r="H237" s="219"/>
      <c r="I237" s="219"/>
      <c r="J237" s="219"/>
      <c r="K237" s="219"/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19"/>
      <c r="AL237" s="219"/>
      <c r="AM237" s="219"/>
      <c r="AN237" s="219"/>
      <c r="AO237" s="219"/>
      <c r="AP237" s="219"/>
      <c r="AQ237" s="219"/>
      <c r="AR237" s="219"/>
      <c r="AS237" s="219"/>
      <c r="AT237" s="219"/>
      <c r="AU237" s="219"/>
      <c r="AV237" s="219"/>
      <c r="AW237" s="219"/>
      <c r="AX237" s="219"/>
      <c r="AY237" s="219"/>
      <c r="AZ237" s="219"/>
      <c r="BA237" s="219"/>
      <c r="BB237" s="219"/>
      <c r="BC237" s="219"/>
      <c r="BD237" s="219"/>
      <c r="BE237" s="219"/>
      <c r="BF237" s="219"/>
      <c r="BG237" s="219"/>
      <c r="BH237" s="219"/>
      <c r="BI237" s="219"/>
      <c r="BJ237" s="219"/>
      <c r="BK237" s="219"/>
      <c r="BL237" s="219"/>
      <c r="BM237" s="219"/>
    </row>
    <row r="238" spans="1:65">
      <c r="A238" s="219"/>
      <c r="B238" s="219"/>
      <c r="C238" s="219"/>
      <c r="D238" s="219"/>
      <c r="E238" s="219"/>
      <c r="F238" s="219"/>
      <c r="G238" s="219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19"/>
      <c r="AL238" s="219"/>
      <c r="AM238" s="219"/>
      <c r="AN238" s="219"/>
      <c r="AO238" s="219"/>
      <c r="AP238" s="219"/>
      <c r="AQ238" s="219"/>
      <c r="AR238" s="219"/>
      <c r="AS238" s="219"/>
      <c r="AT238" s="219"/>
      <c r="AU238" s="219"/>
      <c r="AV238" s="219"/>
      <c r="AW238" s="219"/>
      <c r="AX238" s="219"/>
      <c r="AY238" s="219"/>
      <c r="AZ238" s="219"/>
      <c r="BA238" s="219"/>
      <c r="BB238" s="219"/>
      <c r="BC238" s="219"/>
      <c r="BD238" s="219"/>
      <c r="BE238" s="219"/>
      <c r="BF238" s="219"/>
      <c r="BG238" s="219"/>
      <c r="BH238" s="219"/>
      <c r="BI238" s="219"/>
      <c r="BJ238" s="219"/>
      <c r="BK238" s="219"/>
      <c r="BL238" s="219"/>
      <c r="BM238" s="219"/>
    </row>
    <row r="239" spans="1:65">
      <c r="A239" s="219"/>
      <c r="B239" s="219"/>
      <c r="C239" s="219"/>
      <c r="D239" s="219"/>
      <c r="E239" s="219"/>
      <c r="F239" s="219"/>
      <c r="G239" s="219"/>
      <c r="H239" s="219"/>
      <c r="I239" s="219"/>
      <c r="J239" s="219"/>
      <c r="K239" s="219"/>
      <c r="L239" s="21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19"/>
      <c r="AL239" s="219"/>
      <c r="AM239" s="219"/>
      <c r="AN239" s="219"/>
      <c r="AO239" s="219"/>
      <c r="AP239" s="219"/>
      <c r="AQ239" s="219"/>
      <c r="AR239" s="219"/>
      <c r="AS239" s="219"/>
      <c r="AT239" s="219"/>
      <c r="AU239" s="219"/>
      <c r="AV239" s="219"/>
      <c r="AW239" s="219"/>
      <c r="AX239" s="219"/>
      <c r="AY239" s="219"/>
      <c r="AZ239" s="219"/>
      <c r="BA239" s="219"/>
      <c r="BB239" s="219"/>
      <c r="BC239" s="219"/>
      <c r="BD239" s="219"/>
      <c r="BE239" s="219"/>
      <c r="BF239" s="219"/>
      <c r="BG239" s="219"/>
      <c r="BH239" s="219"/>
      <c r="BI239" s="219"/>
      <c r="BJ239" s="219"/>
      <c r="BK239" s="219"/>
      <c r="BL239" s="219"/>
      <c r="BM239" s="219"/>
    </row>
    <row r="240" spans="1:65">
      <c r="A240" s="219"/>
      <c r="B240" s="219"/>
      <c r="C240" s="219"/>
      <c r="D240" s="219"/>
      <c r="E240" s="219"/>
      <c r="F240" s="219"/>
      <c r="G240" s="219"/>
      <c r="H240" s="219"/>
      <c r="I240" s="219"/>
      <c r="J240" s="219"/>
      <c r="K240" s="219"/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19"/>
      <c r="AL240" s="219"/>
      <c r="AM240" s="219"/>
      <c r="AN240" s="219"/>
      <c r="AO240" s="219"/>
      <c r="AP240" s="219"/>
      <c r="AQ240" s="219"/>
      <c r="AR240" s="219"/>
      <c r="AS240" s="219"/>
      <c r="AT240" s="219"/>
      <c r="AU240" s="219"/>
      <c r="AV240" s="219"/>
      <c r="AW240" s="219"/>
      <c r="AX240" s="219"/>
      <c r="AY240" s="219"/>
      <c r="AZ240" s="219"/>
      <c r="BA240" s="219"/>
      <c r="BB240" s="219"/>
      <c r="BC240" s="219"/>
      <c r="BD240" s="219"/>
      <c r="BE240" s="219"/>
      <c r="BF240" s="219"/>
      <c r="BG240" s="219"/>
      <c r="BH240" s="219"/>
      <c r="BI240" s="219"/>
      <c r="BJ240" s="219"/>
      <c r="BK240" s="219"/>
      <c r="BL240" s="219"/>
      <c r="BM240" s="219"/>
    </row>
    <row r="241" spans="1:65">
      <c r="A241" s="219"/>
      <c r="B241" s="219"/>
      <c r="C241" s="219"/>
      <c r="D241" s="219"/>
      <c r="E241" s="219"/>
      <c r="F241" s="219"/>
      <c r="G241" s="219"/>
      <c r="H241" s="219"/>
      <c r="I241" s="219"/>
      <c r="J241" s="219"/>
      <c r="K241" s="219"/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19"/>
      <c r="AL241" s="219"/>
      <c r="AM241" s="219"/>
      <c r="AN241" s="219"/>
      <c r="AO241" s="219"/>
      <c r="AP241" s="219"/>
      <c r="AQ241" s="219"/>
      <c r="AR241" s="219"/>
      <c r="AS241" s="219"/>
      <c r="AT241" s="219"/>
      <c r="AU241" s="219"/>
      <c r="AV241" s="219"/>
      <c r="AW241" s="219"/>
      <c r="AX241" s="219"/>
      <c r="AY241" s="219"/>
      <c r="AZ241" s="219"/>
      <c r="BA241" s="219"/>
      <c r="BB241" s="219"/>
      <c r="BC241" s="219"/>
      <c r="BD241" s="219"/>
      <c r="BE241" s="219"/>
      <c r="BF241" s="219"/>
      <c r="BG241" s="219"/>
      <c r="BH241" s="219"/>
      <c r="BI241" s="219"/>
      <c r="BJ241" s="219"/>
      <c r="BK241" s="219"/>
      <c r="BL241" s="219"/>
      <c r="BM241" s="219"/>
    </row>
    <row r="242" spans="1:65">
      <c r="A242" s="219"/>
      <c r="B242" s="219"/>
      <c r="C242" s="219"/>
      <c r="D242" s="219"/>
      <c r="E242" s="219"/>
      <c r="F242" s="219"/>
      <c r="G242" s="219"/>
      <c r="H242" s="219"/>
      <c r="I242" s="219"/>
      <c r="J242" s="219"/>
      <c r="K242" s="219"/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19"/>
      <c r="AL242" s="219"/>
      <c r="AM242" s="219"/>
      <c r="AN242" s="219"/>
      <c r="AO242" s="219"/>
      <c r="AP242" s="219"/>
      <c r="AQ242" s="219"/>
      <c r="AR242" s="219"/>
      <c r="AS242" s="219"/>
      <c r="AT242" s="219"/>
      <c r="AU242" s="219"/>
      <c r="AV242" s="219"/>
      <c r="AW242" s="219"/>
      <c r="AX242" s="219"/>
      <c r="AY242" s="219"/>
      <c r="AZ242" s="219"/>
      <c r="BA242" s="219"/>
      <c r="BB242" s="219"/>
      <c r="BC242" s="219"/>
      <c r="BD242" s="219"/>
      <c r="BE242" s="219"/>
      <c r="BF242" s="219"/>
      <c r="BG242" s="219"/>
      <c r="BH242" s="219"/>
      <c r="BI242" s="219"/>
      <c r="BJ242" s="219"/>
      <c r="BK242" s="219"/>
      <c r="BL242" s="219"/>
      <c r="BM242" s="219"/>
    </row>
    <row r="243" spans="1:65">
      <c r="A243" s="219"/>
      <c r="B243" s="219"/>
      <c r="C243" s="219"/>
      <c r="D243" s="219"/>
      <c r="E243" s="219"/>
      <c r="F243" s="219"/>
      <c r="G243" s="219"/>
      <c r="H243" s="219"/>
      <c r="I243" s="219"/>
      <c r="J243" s="219"/>
      <c r="K243" s="219"/>
      <c r="L243" s="219"/>
      <c r="M243" s="21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19"/>
      <c r="AL243" s="219"/>
      <c r="AM243" s="219"/>
      <c r="AN243" s="219"/>
      <c r="AO243" s="219"/>
      <c r="AP243" s="219"/>
      <c r="AQ243" s="219"/>
      <c r="AR243" s="219"/>
      <c r="AS243" s="219"/>
      <c r="AT243" s="219"/>
      <c r="AU243" s="219"/>
      <c r="AV243" s="219"/>
      <c r="AW243" s="219"/>
      <c r="AX243" s="219"/>
      <c r="AY243" s="219"/>
      <c r="AZ243" s="219"/>
      <c r="BA243" s="219"/>
      <c r="BB243" s="219"/>
      <c r="BC243" s="219"/>
      <c r="BD243" s="219"/>
      <c r="BE243" s="219"/>
      <c r="BF243" s="219"/>
      <c r="BG243" s="219"/>
      <c r="BH243" s="219"/>
      <c r="BI243" s="219"/>
      <c r="BJ243" s="219"/>
      <c r="BK243" s="219"/>
      <c r="BL243" s="219"/>
      <c r="BM243" s="219"/>
    </row>
    <row r="244" spans="1:65">
      <c r="A244" s="219"/>
      <c r="B244" s="219"/>
      <c r="C244" s="219"/>
      <c r="D244" s="219"/>
      <c r="E244" s="219"/>
      <c r="F244" s="219"/>
      <c r="G244" s="219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19"/>
      <c r="AL244" s="219"/>
      <c r="AM244" s="219"/>
      <c r="AN244" s="219"/>
      <c r="AO244" s="219"/>
      <c r="AP244" s="219"/>
      <c r="AQ244" s="219"/>
      <c r="AR244" s="219"/>
      <c r="AS244" s="219"/>
      <c r="AT244" s="219"/>
      <c r="AU244" s="219"/>
      <c r="AV244" s="219"/>
      <c r="AW244" s="219"/>
      <c r="AX244" s="219"/>
      <c r="AY244" s="219"/>
      <c r="AZ244" s="219"/>
      <c r="BA244" s="219"/>
      <c r="BB244" s="219"/>
      <c r="BC244" s="219"/>
      <c r="BD244" s="219"/>
      <c r="BE244" s="219"/>
      <c r="BF244" s="219"/>
      <c r="BG244" s="219"/>
      <c r="BH244" s="219"/>
      <c r="BI244" s="219"/>
      <c r="BJ244" s="219"/>
      <c r="BK244" s="219"/>
      <c r="BL244" s="219"/>
      <c r="BM244" s="219"/>
    </row>
    <row r="245" spans="1:65">
      <c r="A245" s="219"/>
      <c r="B245" s="219"/>
      <c r="C245" s="219"/>
      <c r="D245" s="219"/>
      <c r="E245" s="219"/>
      <c r="F245" s="219"/>
      <c r="G245" s="219"/>
      <c r="H245" s="219"/>
      <c r="I245" s="219"/>
      <c r="J245" s="219"/>
      <c r="K245" s="219"/>
      <c r="L245" s="219"/>
      <c r="M245" s="219"/>
      <c r="N245" s="21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19"/>
      <c r="AL245" s="219"/>
      <c r="AM245" s="219"/>
      <c r="AN245" s="219"/>
      <c r="AO245" s="219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</row>
    <row r="246" spans="1:65">
      <c r="A246" s="219"/>
      <c r="B246" s="219"/>
      <c r="C246" s="219"/>
      <c r="D246" s="219"/>
      <c r="E246" s="219"/>
      <c r="F246" s="219"/>
      <c r="G246" s="219"/>
      <c r="H246" s="219"/>
      <c r="I246" s="219"/>
      <c r="J246" s="219"/>
      <c r="K246" s="219"/>
      <c r="L246" s="219"/>
      <c r="M246" s="219"/>
      <c r="N246" s="219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19"/>
      <c r="AL246" s="219"/>
      <c r="AM246" s="219"/>
      <c r="AN246" s="219"/>
      <c r="AO246" s="219"/>
      <c r="AP246" s="219"/>
      <c r="AQ246" s="219"/>
      <c r="AR246" s="219"/>
      <c r="AS246" s="219"/>
      <c r="AT246" s="219"/>
      <c r="AU246" s="219"/>
      <c r="AV246" s="219"/>
      <c r="AW246" s="219"/>
      <c r="AX246" s="219"/>
      <c r="AY246" s="219"/>
      <c r="AZ246" s="219"/>
      <c r="BA246" s="219"/>
      <c r="BB246" s="219"/>
      <c r="BC246" s="219"/>
      <c r="BD246" s="219"/>
      <c r="BE246" s="219"/>
      <c r="BF246" s="219"/>
      <c r="BG246" s="219"/>
      <c r="BH246" s="219"/>
      <c r="BI246" s="219"/>
      <c r="BJ246" s="219"/>
      <c r="BK246" s="219"/>
      <c r="BL246" s="219"/>
      <c r="BM246" s="219"/>
    </row>
    <row r="247" spans="1:65">
      <c r="A247" s="219"/>
      <c r="B247" s="219"/>
      <c r="C247" s="219"/>
      <c r="D247" s="219"/>
      <c r="E247" s="219"/>
      <c r="F247" s="219"/>
      <c r="G247" s="219"/>
      <c r="H247" s="219"/>
      <c r="I247" s="219"/>
      <c r="J247" s="219"/>
      <c r="K247" s="219"/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19"/>
      <c r="AL247" s="219"/>
      <c r="AM247" s="219"/>
      <c r="AN247" s="219"/>
      <c r="AO247" s="219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</row>
    <row r="248" spans="1:65">
      <c r="A248" s="219"/>
      <c r="B248" s="219"/>
      <c r="C248" s="219"/>
      <c r="D248" s="219"/>
      <c r="E248" s="219"/>
      <c r="F248" s="219"/>
      <c r="G248" s="219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19"/>
      <c r="AL248" s="219"/>
      <c r="AM248" s="219"/>
      <c r="AN248" s="219"/>
      <c r="AO248" s="219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</row>
    <row r="249" spans="1:65">
      <c r="A249" s="219"/>
      <c r="B249" s="219"/>
      <c r="C249" s="219"/>
      <c r="D249" s="219"/>
      <c r="E249" s="219"/>
      <c r="F249" s="219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19"/>
      <c r="AL249" s="219"/>
      <c r="AM249" s="219"/>
      <c r="AN249" s="219"/>
      <c r="AO249" s="219"/>
      <c r="AP249" s="219"/>
      <c r="AQ249" s="219"/>
      <c r="AR249" s="219"/>
      <c r="AS249" s="219"/>
      <c r="AT249" s="219"/>
      <c r="AU249" s="219"/>
      <c r="AV249" s="219"/>
      <c r="AW249" s="219"/>
      <c r="AX249" s="219"/>
      <c r="AY249" s="219"/>
      <c r="AZ249" s="219"/>
      <c r="BA249" s="219"/>
      <c r="BB249" s="219"/>
      <c r="BC249" s="219"/>
      <c r="BD249" s="219"/>
      <c r="BE249" s="219"/>
      <c r="BF249" s="219"/>
      <c r="BG249" s="219"/>
      <c r="BH249" s="219"/>
      <c r="BI249" s="219"/>
      <c r="BJ249" s="219"/>
      <c r="BK249" s="219"/>
      <c r="BL249" s="219"/>
      <c r="BM249" s="219"/>
    </row>
    <row r="250" spans="1:65">
      <c r="A250" s="219"/>
      <c r="B250" s="219"/>
      <c r="C250" s="219"/>
      <c r="D250" s="219"/>
      <c r="E250" s="219"/>
      <c r="F250" s="219"/>
      <c r="G250" s="219"/>
      <c r="H250" s="219"/>
      <c r="I250" s="219"/>
      <c r="J250" s="219"/>
      <c r="K250" s="219"/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19"/>
      <c r="AL250" s="219"/>
      <c r="AM250" s="219"/>
      <c r="AN250" s="219"/>
      <c r="AO250" s="219"/>
      <c r="AP250" s="219"/>
      <c r="AQ250" s="219"/>
      <c r="AR250" s="219"/>
      <c r="AS250" s="219"/>
      <c r="AT250" s="219"/>
      <c r="AU250" s="219"/>
      <c r="AV250" s="219"/>
      <c r="AW250" s="219"/>
      <c r="AX250" s="219"/>
      <c r="AY250" s="219"/>
      <c r="AZ250" s="219"/>
      <c r="BA250" s="219"/>
      <c r="BB250" s="219"/>
      <c r="BC250" s="219"/>
      <c r="BD250" s="219"/>
      <c r="BE250" s="219"/>
      <c r="BF250" s="219"/>
      <c r="BG250" s="219"/>
      <c r="BH250" s="219"/>
      <c r="BI250" s="219"/>
      <c r="BJ250" s="219"/>
      <c r="BK250" s="219"/>
      <c r="BL250" s="219"/>
      <c r="BM250" s="219"/>
    </row>
    <row r="251" spans="1:65">
      <c r="A251" s="219"/>
      <c r="B251" s="219"/>
      <c r="C251" s="219"/>
      <c r="D251" s="219"/>
      <c r="E251" s="219"/>
      <c r="F251" s="219"/>
      <c r="G251" s="219"/>
      <c r="H251" s="219"/>
      <c r="I251" s="219"/>
      <c r="J251" s="219"/>
      <c r="K251" s="219"/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19"/>
      <c r="AL251" s="219"/>
      <c r="AM251" s="219"/>
      <c r="AN251" s="219"/>
      <c r="AO251" s="219"/>
      <c r="AP251" s="219"/>
      <c r="AQ251" s="219"/>
      <c r="AR251" s="219"/>
      <c r="AS251" s="219"/>
      <c r="AT251" s="219"/>
      <c r="AU251" s="219"/>
      <c r="AV251" s="219"/>
      <c r="AW251" s="219"/>
      <c r="AX251" s="219"/>
      <c r="AY251" s="219"/>
      <c r="AZ251" s="219"/>
      <c r="BA251" s="219"/>
      <c r="BB251" s="219"/>
      <c r="BC251" s="219"/>
      <c r="BD251" s="219"/>
      <c r="BE251" s="219"/>
      <c r="BF251" s="219"/>
      <c r="BG251" s="219"/>
      <c r="BH251" s="219"/>
      <c r="BI251" s="219"/>
      <c r="BJ251" s="219"/>
      <c r="BK251" s="219"/>
      <c r="BL251" s="219"/>
      <c r="BM251" s="219"/>
    </row>
    <row r="252" spans="1:65">
      <c r="A252" s="219"/>
      <c r="B252" s="219"/>
      <c r="C252" s="219"/>
      <c r="D252" s="219"/>
      <c r="E252" s="219"/>
      <c r="F252" s="219"/>
      <c r="G252" s="219"/>
      <c r="H252" s="219"/>
      <c r="I252" s="219"/>
      <c r="J252" s="219"/>
      <c r="K252" s="219"/>
      <c r="L252" s="219"/>
      <c r="M252" s="219"/>
      <c r="N252" s="219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19"/>
      <c r="AL252" s="219"/>
      <c r="AM252" s="219"/>
      <c r="AN252" s="219"/>
      <c r="AO252" s="219"/>
      <c r="AP252" s="219"/>
      <c r="AQ252" s="219"/>
      <c r="AR252" s="219"/>
      <c r="AS252" s="219"/>
      <c r="AT252" s="219"/>
      <c r="AU252" s="219"/>
      <c r="AV252" s="219"/>
      <c r="AW252" s="219"/>
      <c r="AX252" s="219"/>
      <c r="AY252" s="219"/>
      <c r="AZ252" s="219"/>
      <c r="BA252" s="219"/>
      <c r="BB252" s="219"/>
      <c r="BC252" s="219"/>
      <c r="BD252" s="219"/>
      <c r="BE252" s="219"/>
      <c r="BF252" s="219"/>
      <c r="BG252" s="219"/>
      <c r="BH252" s="219"/>
      <c r="BI252" s="219"/>
      <c r="BJ252" s="219"/>
      <c r="BK252" s="219"/>
      <c r="BL252" s="219"/>
      <c r="BM252" s="219"/>
    </row>
    <row r="253" spans="1:65">
      <c r="A253" s="219"/>
      <c r="B253" s="219"/>
      <c r="C253" s="219"/>
      <c r="D253" s="219"/>
      <c r="E253" s="219"/>
      <c r="F253" s="219"/>
      <c r="G253" s="219"/>
      <c r="H253" s="219"/>
      <c r="I253" s="219"/>
      <c r="J253" s="219"/>
      <c r="K253" s="219"/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19"/>
      <c r="AL253" s="219"/>
      <c r="AM253" s="219"/>
      <c r="AN253" s="219"/>
      <c r="AO253" s="219"/>
      <c r="AP253" s="219"/>
      <c r="AQ253" s="219"/>
      <c r="AR253" s="219"/>
      <c r="AS253" s="219"/>
      <c r="AT253" s="219"/>
      <c r="AU253" s="219"/>
      <c r="AV253" s="219"/>
      <c r="AW253" s="219"/>
      <c r="AX253" s="219"/>
      <c r="AY253" s="219"/>
      <c r="AZ253" s="219"/>
      <c r="BA253" s="219"/>
      <c r="BB253" s="219"/>
      <c r="BC253" s="219"/>
      <c r="BD253" s="219"/>
      <c r="BE253" s="219"/>
      <c r="BF253" s="219"/>
      <c r="BG253" s="219"/>
      <c r="BH253" s="219"/>
      <c r="BI253" s="219"/>
      <c r="BJ253" s="219"/>
      <c r="BK253" s="219"/>
      <c r="BL253" s="219"/>
      <c r="BM253" s="219"/>
    </row>
    <row r="254" spans="1:65">
      <c r="A254" s="219"/>
      <c r="B254" s="219"/>
      <c r="C254" s="219"/>
      <c r="D254" s="219"/>
      <c r="E254" s="219"/>
      <c r="F254" s="219"/>
      <c r="G254" s="219"/>
      <c r="H254" s="219"/>
      <c r="I254" s="219"/>
      <c r="J254" s="219"/>
      <c r="K254" s="219"/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19"/>
      <c r="AL254" s="219"/>
      <c r="AM254" s="219"/>
      <c r="AN254" s="219"/>
      <c r="AO254" s="219"/>
      <c r="AP254" s="219"/>
      <c r="AQ254" s="219"/>
      <c r="AR254" s="219"/>
      <c r="AS254" s="219"/>
      <c r="AT254" s="219"/>
      <c r="AU254" s="219"/>
      <c r="AV254" s="219"/>
      <c r="AW254" s="219"/>
      <c r="AX254" s="219"/>
      <c r="AY254" s="219"/>
      <c r="AZ254" s="219"/>
      <c r="BA254" s="219"/>
      <c r="BB254" s="219"/>
      <c r="BC254" s="219"/>
      <c r="BD254" s="219"/>
      <c r="BE254" s="219"/>
      <c r="BF254" s="219"/>
      <c r="BG254" s="219"/>
      <c r="BH254" s="219"/>
      <c r="BI254" s="219"/>
      <c r="BJ254" s="219"/>
      <c r="BK254" s="219"/>
      <c r="BL254" s="219"/>
      <c r="BM254" s="219"/>
    </row>
    <row r="255" spans="1:65">
      <c r="A255" s="219"/>
      <c r="B255" s="219"/>
      <c r="C255" s="219"/>
      <c r="D255" s="219"/>
      <c r="E255" s="219"/>
      <c r="F255" s="219"/>
      <c r="G255" s="219"/>
      <c r="H255" s="219"/>
      <c r="I255" s="219"/>
      <c r="J255" s="219"/>
      <c r="K255" s="219"/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19"/>
      <c r="AL255" s="219"/>
      <c r="AM255" s="219"/>
      <c r="AN255" s="219"/>
      <c r="AO255" s="219"/>
      <c r="AP255" s="219"/>
      <c r="AQ255" s="219"/>
      <c r="AR255" s="219"/>
      <c r="AS255" s="219"/>
      <c r="AT255" s="219"/>
      <c r="AU255" s="219"/>
      <c r="AV255" s="219"/>
      <c r="AW255" s="219"/>
      <c r="AX255" s="219"/>
      <c r="AY255" s="219"/>
      <c r="AZ255" s="219"/>
      <c r="BA255" s="219"/>
      <c r="BB255" s="219"/>
      <c r="BC255" s="219"/>
      <c r="BD255" s="219"/>
      <c r="BE255" s="219"/>
      <c r="BF255" s="219"/>
      <c r="BG255" s="219"/>
      <c r="BH255" s="219"/>
      <c r="BI255" s="219"/>
      <c r="BJ255" s="219"/>
      <c r="BK255" s="219"/>
      <c r="BL255" s="219"/>
      <c r="BM255" s="219"/>
    </row>
    <row r="256" spans="1:65">
      <c r="A256" s="219"/>
      <c r="B256" s="219"/>
      <c r="C256" s="219"/>
      <c r="D256" s="219"/>
      <c r="E256" s="219"/>
      <c r="F256" s="219"/>
      <c r="G256" s="219"/>
      <c r="H256" s="219"/>
      <c r="I256" s="219"/>
      <c r="J256" s="219"/>
      <c r="K256" s="219"/>
      <c r="L256" s="219"/>
      <c r="M256" s="219"/>
      <c r="N256" s="219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  <c r="AO256" s="219"/>
      <c r="AP256" s="219"/>
      <c r="AQ256" s="219"/>
      <c r="AR256" s="219"/>
      <c r="AS256" s="219"/>
      <c r="AT256" s="219"/>
      <c r="AU256" s="219"/>
      <c r="AV256" s="219"/>
      <c r="AW256" s="219"/>
      <c r="AX256" s="219"/>
      <c r="AY256" s="219"/>
      <c r="AZ256" s="219"/>
      <c r="BA256" s="219"/>
      <c r="BB256" s="219"/>
      <c r="BC256" s="219"/>
      <c r="BD256" s="219"/>
      <c r="BE256" s="219"/>
      <c r="BF256" s="219"/>
      <c r="BG256" s="219"/>
      <c r="BH256" s="219"/>
      <c r="BI256" s="219"/>
      <c r="BJ256" s="219"/>
      <c r="BK256" s="219"/>
      <c r="BL256" s="219"/>
      <c r="BM256" s="219"/>
    </row>
    <row r="257" spans="1:65">
      <c r="A257" s="219"/>
      <c r="B257" s="219"/>
      <c r="C257" s="219"/>
      <c r="D257" s="219"/>
      <c r="E257" s="219"/>
      <c r="F257" s="219"/>
      <c r="G257" s="219"/>
      <c r="H257" s="219"/>
      <c r="I257" s="219"/>
      <c r="J257" s="219"/>
      <c r="K257" s="219"/>
      <c r="L257" s="219"/>
      <c r="M257" s="219"/>
      <c r="N257" s="219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  <c r="AO257" s="219"/>
      <c r="AP257" s="219"/>
      <c r="AQ257" s="219"/>
      <c r="AR257" s="219"/>
      <c r="AS257" s="219"/>
      <c r="AT257" s="219"/>
      <c r="AU257" s="219"/>
      <c r="AV257" s="219"/>
      <c r="AW257" s="219"/>
      <c r="AX257" s="219"/>
      <c r="AY257" s="219"/>
      <c r="AZ257" s="219"/>
      <c r="BA257" s="219"/>
      <c r="BB257" s="219"/>
      <c r="BC257" s="219"/>
      <c r="BD257" s="219"/>
      <c r="BE257" s="219"/>
      <c r="BF257" s="219"/>
      <c r="BG257" s="219"/>
      <c r="BH257" s="219"/>
      <c r="BI257" s="219"/>
      <c r="BJ257" s="219"/>
      <c r="BK257" s="219"/>
      <c r="BL257" s="219"/>
      <c r="BM257" s="219"/>
    </row>
    <row r="258" spans="1:65">
      <c r="A258" s="219"/>
      <c r="B258" s="219"/>
      <c r="C258" s="219"/>
      <c r="D258" s="219"/>
      <c r="E258" s="219"/>
      <c r="F258" s="219"/>
      <c r="G258" s="219"/>
      <c r="H258" s="219"/>
      <c r="I258" s="219"/>
      <c r="J258" s="219"/>
      <c r="K258" s="219"/>
      <c r="L258" s="219"/>
      <c r="M258" s="219"/>
      <c r="N258" s="219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  <c r="AO258" s="219"/>
      <c r="AP258" s="219"/>
      <c r="AQ258" s="219"/>
      <c r="AR258" s="219"/>
      <c r="AS258" s="219"/>
      <c r="AT258" s="219"/>
      <c r="AU258" s="219"/>
      <c r="AV258" s="219"/>
      <c r="AW258" s="219"/>
      <c r="AX258" s="219"/>
      <c r="AY258" s="219"/>
      <c r="AZ258" s="219"/>
      <c r="BA258" s="219"/>
      <c r="BB258" s="219"/>
      <c r="BC258" s="219"/>
      <c r="BD258" s="219"/>
      <c r="BE258" s="219"/>
      <c r="BF258" s="219"/>
      <c r="BG258" s="219"/>
      <c r="BH258" s="219"/>
      <c r="BI258" s="219"/>
      <c r="BJ258" s="219"/>
      <c r="BK258" s="219"/>
      <c r="BL258" s="219"/>
      <c r="BM258" s="219"/>
    </row>
    <row r="259" spans="1:65">
      <c r="A259" s="219"/>
      <c r="B259" s="219"/>
      <c r="C259" s="219"/>
      <c r="D259" s="219"/>
      <c r="E259" s="219"/>
      <c r="F259" s="219"/>
      <c r="G259" s="219"/>
      <c r="H259" s="219"/>
      <c r="I259" s="219"/>
      <c r="J259" s="219"/>
      <c r="K259" s="219"/>
      <c r="L259" s="219"/>
      <c r="M259" s="219"/>
      <c r="N259" s="219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19"/>
      <c r="AL259" s="219"/>
      <c r="AM259" s="219"/>
      <c r="AN259" s="219"/>
      <c r="AO259" s="219"/>
      <c r="AP259" s="219"/>
      <c r="AQ259" s="219"/>
      <c r="AR259" s="219"/>
      <c r="AS259" s="219"/>
      <c r="AT259" s="219"/>
      <c r="AU259" s="219"/>
      <c r="AV259" s="219"/>
      <c r="AW259" s="219"/>
      <c r="AX259" s="219"/>
      <c r="AY259" s="219"/>
      <c r="AZ259" s="219"/>
      <c r="BA259" s="219"/>
      <c r="BB259" s="219"/>
      <c r="BC259" s="219"/>
      <c r="BD259" s="219"/>
      <c r="BE259" s="219"/>
      <c r="BF259" s="219"/>
      <c r="BG259" s="219"/>
      <c r="BH259" s="219"/>
      <c r="BI259" s="219"/>
      <c r="BJ259" s="219"/>
      <c r="BK259" s="219"/>
      <c r="BL259" s="219"/>
      <c r="BM259" s="219"/>
    </row>
    <row r="260" spans="1:65">
      <c r="A260" s="219"/>
      <c r="B260" s="219"/>
      <c r="C260" s="219"/>
      <c r="D260" s="219"/>
      <c r="E260" s="219"/>
      <c r="F260" s="219"/>
      <c r="G260" s="219"/>
      <c r="H260" s="219"/>
      <c r="I260" s="219"/>
      <c r="J260" s="219"/>
      <c r="K260" s="219"/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  <c r="AO260" s="219"/>
      <c r="AP260" s="219"/>
      <c r="AQ260" s="219"/>
      <c r="AR260" s="219"/>
      <c r="AS260" s="219"/>
      <c r="AT260" s="219"/>
      <c r="AU260" s="219"/>
      <c r="AV260" s="219"/>
      <c r="AW260" s="219"/>
      <c r="AX260" s="219"/>
      <c r="AY260" s="219"/>
      <c r="AZ260" s="219"/>
      <c r="BA260" s="219"/>
      <c r="BB260" s="219"/>
      <c r="BC260" s="219"/>
      <c r="BD260" s="219"/>
      <c r="BE260" s="219"/>
      <c r="BF260" s="219"/>
      <c r="BG260" s="219"/>
      <c r="BH260" s="219"/>
      <c r="BI260" s="219"/>
      <c r="BJ260" s="219"/>
      <c r="BK260" s="219"/>
      <c r="BL260" s="219"/>
      <c r="BM260" s="219"/>
    </row>
    <row r="261" spans="1:65">
      <c r="A261" s="219"/>
      <c r="B261" s="219"/>
      <c r="C261" s="219"/>
      <c r="D261" s="219"/>
      <c r="E261" s="219"/>
      <c r="F261" s="219"/>
      <c r="G261" s="219"/>
      <c r="H261" s="219"/>
      <c r="I261" s="219"/>
      <c r="J261" s="219"/>
      <c r="K261" s="219"/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19"/>
      <c r="AL261" s="219"/>
      <c r="AM261" s="219"/>
      <c r="AN261" s="219"/>
      <c r="AO261" s="219"/>
      <c r="AP261" s="219"/>
      <c r="AQ261" s="219"/>
      <c r="AR261" s="219"/>
      <c r="AS261" s="219"/>
      <c r="AT261" s="219"/>
      <c r="AU261" s="219"/>
      <c r="AV261" s="219"/>
      <c r="AW261" s="219"/>
      <c r="AX261" s="219"/>
      <c r="AY261" s="219"/>
      <c r="AZ261" s="219"/>
      <c r="BA261" s="219"/>
      <c r="BB261" s="219"/>
      <c r="BC261" s="219"/>
      <c r="BD261" s="219"/>
      <c r="BE261" s="219"/>
      <c r="BF261" s="219"/>
      <c r="BG261" s="219"/>
      <c r="BH261" s="219"/>
      <c r="BI261" s="219"/>
      <c r="BJ261" s="219"/>
      <c r="BK261" s="219"/>
      <c r="BL261" s="219"/>
      <c r="BM261" s="219"/>
    </row>
    <row r="262" spans="1:65">
      <c r="A262" s="219"/>
      <c r="B262" s="219"/>
      <c r="C262" s="219"/>
      <c r="D262" s="219"/>
      <c r="E262" s="219"/>
      <c r="F262" s="219"/>
      <c r="G262" s="219"/>
      <c r="H262" s="219"/>
      <c r="I262" s="219"/>
      <c r="J262" s="219"/>
      <c r="K262" s="219"/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19"/>
      <c r="AL262" s="219"/>
      <c r="AM262" s="219"/>
      <c r="AN262" s="219"/>
      <c r="AO262" s="219"/>
      <c r="AP262" s="219"/>
      <c r="AQ262" s="219"/>
      <c r="AR262" s="219"/>
      <c r="AS262" s="219"/>
      <c r="AT262" s="219"/>
      <c r="AU262" s="219"/>
      <c r="AV262" s="219"/>
      <c r="AW262" s="219"/>
      <c r="AX262" s="219"/>
      <c r="AY262" s="219"/>
      <c r="AZ262" s="219"/>
      <c r="BA262" s="219"/>
      <c r="BB262" s="219"/>
      <c r="BC262" s="219"/>
      <c r="BD262" s="219"/>
      <c r="BE262" s="219"/>
      <c r="BF262" s="219"/>
      <c r="BG262" s="219"/>
      <c r="BH262" s="219"/>
      <c r="BI262" s="219"/>
      <c r="BJ262" s="219"/>
      <c r="BK262" s="219"/>
      <c r="BL262" s="219"/>
      <c r="BM262" s="219"/>
    </row>
    <row r="263" spans="1:65">
      <c r="A263" s="219"/>
      <c r="B263" s="219"/>
      <c r="C263" s="219"/>
      <c r="D263" s="219"/>
      <c r="E263" s="219"/>
      <c r="F263" s="219"/>
      <c r="G263" s="219"/>
      <c r="H263" s="219"/>
      <c r="I263" s="219"/>
      <c r="J263" s="219"/>
      <c r="K263" s="219"/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19"/>
      <c r="AL263" s="219"/>
      <c r="AM263" s="219"/>
      <c r="AN263" s="219"/>
      <c r="AO263" s="219"/>
      <c r="AP263" s="219"/>
      <c r="AQ263" s="219"/>
      <c r="AR263" s="219"/>
      <c r="AS263" s="219"/>
      <c r="AT263" s="219"/>
      <c r="AU263" s="219"/>
      <c r="AV263" s="219"/>
      <c r="AW263" s="219"/>
      <c r="AX263" s="219"/>
      <c r="AY263" s="219"/>
      <c r="AZ263" s="219"/>
      <c r="BA263" s="219"/>
      <c r="BB263" s="219"/>
      <c r="BC263" s="219"/>
      <c r="BD263" s="219"/>
      <c r="BE263" s="219"/>
      <c r="BF263" s="219"/>
      <c r="BG263" s="219"/>
      <c r="BH263" s="219"/>
      <c r="BI263" s="219"/>
      <c r="BJ263" s="219"/>
      <c r="BK263" s="219"/>
      <c r="BL263" s="219"/>
      <c r="BM263" s="219"/>
    </row>
    <row r="264" spans="1:65">
      <c r="A264" s="219"/>
      <c r="B264" s="219"/>
      <c r="C264" s="219"/>
      <c r="D264" s="219"/>
      <c r="E264" s="219"/>
      <c r="F264" s="219"/>
      <c r="G264" s="219"/>
      <c r="H264" s="219"/>
      <c r="I264" s="219"/>
      <c r="J264" s="219"/>
      <c r="K264" s="219"/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19"/>
      <c r="AL264" s="219"/>
      <c r="AM264" s="219"/>
      <c r="AN264" s="219"/>
      <c r="AO264" s="219"/>
      <c r="AP264" s="219"/>
      <c r="AQ264" s="219"/>
      <c r="AR264" s="219"/>
      <c r="AS264" s="219"/>
      <c r="AT264" s="219"/>
      <c r="AU264" s="219"/>
      <c r="AV264" s="219"/>
      <c r="AW264" s="219"/>
      <c r="AX264" s="219"/>
      <c r="AY264" s="219"/>
      <c r="AZ264" s="219"/>
      <c r="BA264" s="219"/>
      <c r="BB264" s="219"/>
      <c r="BC264" s="219"/>
      <c r="BD264" s="219"/>
      <c r="BE264" s="219"/>
      <c r="BF264" s="219"/>
      <c r="BG264" s="219"/>
      <c r="BH264" s="219"/>
      <c r="BI264" s="219"/>
      <c r="BJ264" s="219"/>
      <c r="BK264" s="219"/>
      <c r="BL264" s="219"/>
      <c r="BM264" s="219"/>
    </row>
    <row r="265" spans="1:65">
      <c r="A265" s="219"/>
      <c r="B265" s="219"/>
      <c r="C265" s="219"/>
      <c r="D265" s="219"/>
      <c r="E265" s="219"/>
      <c r="F265" s="219"/>
      <c r="G265" s="219"/>
      <c r="H265" s="219"/>
      <c r="I265" s="219"/>
      <c r="J265" s="219"/>
      <c r="K265" s="219"/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19"/>
      <c r="AQ265" s="219"/>
      <c r="AR265" s="219"/>
      <c r="AS265" s="219"/>
      <c r="AT265" s="219"/>
      <c r="AU265" s="219"/>
      <c r="AV265" s="219"/>
      <c r="AW265" s="219"/>
      <c r="AX265" s="219"/>
      <c r="AY265" s="219"/>
      <c r="AZ265" s="219"/>
      <c r="BA265" s="219"/>
      <c r="BB265" s="219"/>
      <c r="BC265" s="219"/>
      <c r="BD265" s="219"/>
      <c r="BE265" s="219"/>
      <c r="BF265" s="219"/>
      <c r="BG265" s="219"/>
      <c r="BH265" s="219"/>
      <c r="BI265" s="219"/>
      <c r="BJ265" s="219"/>
      <c r="BK265" s="219"/>
      <c r="BL265" s="219"/>
      <c r="BM265" s="219"/>
    </row>
    <row r="266" spans="1:65">
      <c r="A266" s="219"/>
      <c r="B266" s="219"/>
      <c r="C266" s="219"/>
      <c r="D266" s="219"/>
      <c r="E266" s="219"/>
      <c r="F266" s="219"/>
      <c r="G266" s="219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19"/>
      <c r="AL266" s="219"/>
      <c r="AM266" s="219"/>
      <c r="AN266" s="219"/>
      <c r="AO266" s="219"/>
      <c r="AP266" s="219"/>
      <c r="AQ266" s="219"/>
      <c r="AR266" s="219"/>
      <c r="AS266" s="219"/>
      <c r="AT266" s="219"/>
      <c r="AU266" s="219"/>
      <c r="AV266" s="219"/>
      <c r="AW266" s="219"/>
      <c r="AX266" s="219"/>
      <c r="AY266" s="219"/>
      <c r="AZ266" s="219"/>
      <c r="BA266" s="219"/>
      <c r="BB266" s="219"/>
      <c r="BC266" s="219"/>
      <c r="BD266" s="219"/>
      <c r="BE266" s="219"/>
      <c r="BF266" s="219"/>
      <c r="BG266" s="219"/>
      <c r="BH266" s="219"/>
      <c r="BI266" s="219"/>
      <c r="BJ266" s="219"/>
      <c r="BK266" s="219"/>
      <c r="BL266" s="219"/>
      <c r="BM266" s="219"/>
    </row>
    <row r="267" spans="1:65">
      <c r="A267" s="219"/>
      <c r="B267" s="219"/>
      <c r="C267" s="219"/>
      <c r="D267" s="219"/>
      <c r="E267" s="219"/>
      <c r="F267" s="219"/>
      <c r="G267" s="219"/>
      <c r="H267" s="219"/>
      <c r="I267" s="219"/>
      <c r="J267" s="219"/>
      <c r="K267" s="219"/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219"/>
      <c r="AR267" s="219"/>
      <c r="AS267" s="219"/>
      <c r="AT267" s="219"/>
      <c r="AU267" s="219"/>
      <c r="AV267" s="219"/>
      <c r="AW267" s="219"/>
      <c r="AX267" s="219"/>
      <c r="AY267" s="219"/>
      <c r="AZ267" s="219"/>
      <c r="BA267" s="219"/>
      <c r="BB267" s="219"/>
      <c r="BC267" s="219"/>
      <c r="BD267" s="219"/>
      <c r="BE267" s="219"/>
      <c r="BF267" s="219"/>
      <c r="BG267" s="219"/>
      <c r="BH267" s="219"/>
      <c r="BI267" s="219"/>
      <c r="BJ267" s="219"/>
      <c r="BK267" s="219"/>
      <c r="BL267" s="219"/>
      <c r="BM267" s="219"/>
    </row>
    <row r="268" spans="1:65">
      <c r="A268" s="219"/>
      <c r="B268" s="219"/>
      <c r="C268" s="219"/>
      <c r="D268" s="219"/>
      <c r="E268" s="219"/>
      <c r="F268" s="219"/>
      <c r="G268" s="219"/>
      <c r="H268" s="219"/>
      <c r="I268" s="219"/>
      <c r="J268" s="219"/>
      <c r="K268" s="219"/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  <c r="AO268" s="219"/>
      <c r="AP268" s="219"/>
      <c r="AQ268" s="219"/>
      <c r="AR268" s="219"/>
      <c r="AS268" s="219"/>
      <c r="AT268" s="219"/>
      <c r="AU268" s="219"/>
      <c r="AV268" s="219"/>
      <c r="AW268" s="219"/>
      <c r="AX268" s="219"/>
      <c r="AY268" s="219"/>
      <c r="AZ268" s="219"/>
      <c r="BA268" s="219"/>
      <c r="BB268" s="219"/>
      <c r="BC268" s="219"/>
      <c r="BD268" s="219"/>
      <c r="BE268" s="219"/>
      <c r="BF268" s="219"/>
      <c r="BG268" s="219"/>
      <c r="BH268" s="219"/>
      <c r="BI268" s="219"/>
      <c r="BJ268" s="219"/>
      <c r="BK268" s="219"/>
      <c r="BL268" s="219"/>
      <c r="BM268" s="219"/>
    </row>
    <row r="269" spans="1:65">
      <c r="A269" s="219"/>
      <c r="B269" s="219"/>
      <c r="C269" s="219"/>
      <c r="D269" s="219"/>
      <c r="E269" s="219"/>
      <c r="F269" s="219"/>
      <c r="G269" s="219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219"/>
      <c r="AV269" s="219"/>
      <c r="AW269" s="219"/>
      <c r="AX269" s="219"/>
      <c r="AY269" s="219"/>
      <c r="AZ269" s="219"/>
      <c r="BA269" s="219"/>
      <c r="BB269" s="219"/>
      <c r="BC269" s="219"/>
      <c r="BD269" s="219"/>
      <c r="BE269" s="219"/>
      <c r="BF269" s="219"/>
      <c r="BG269" s="219"/>
      <c r="BH269" s="219"/>
      <c r="BI269" s="219"/>
      <c r="BJ269" s="219"/>
      <c r="BK269" s="219"/>
      <c r="BL269" s="219"/>
      <c r="BM269" s="219"/>
    </row>
    <row r="270" spans="1:65">
      <c r="A270" s="219"/>
      <c r="B270" s="219"/>
      <c r="C270" s="219"/>
      <c r="D270" s="219"/>
      <c r="E270" s="219"/>
      <c r="F270" s="219"/>
      <c r="G270" s="219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  <c r="AO270" s="219"/>
      <c r="AP270" s="219"/>
      <c r="AQ270" s="219"/>
      <c r="AR270" s="219"/>
      <c r="AS270" s="219"/>
      <c r="AT270" s="219"/>
      <c r="AU270" s="219"/>
      <c r="AV270" s="219"/>
      <c r="AW270" s="219"/>
      <c r="AX270" s="219"/>
      <c r="AY270" s="219"/>
      <c r="AZ270" s="219"/>
      <c r="BA270" s="219"/>
      <c r="BB270" s="219"/>
      <c r="BC270" s="219"/>
      <c r="BD270" s="219"/>
      <c r="BE270" s="219"/>
      <c r="BF270" s="219"/>
      <c r="BG270" s="219"/>
      <c r="BH270" s="219"/>
      <c r="BI270" s="219"/>
      <c r="BJ270" s="219"/>
      <c r="BK270" s="219"/>
      <c r="BL270" s="219"/>
      <c r="BM270" s="219"/>
    </row>
    <row r="271" spans="1:65">
      <c r="A271" s="219"/>
      <c r="B271" s="219"/>
      <c r="C271" s="219"/>
      <c r="D271" s="219"/>
      <c r="E271" s="219"/>
      <c r="F271" s="219"/>
      <c r="G271" s="219"/>
      <c r="H271" s="219"/>
      <c r="I271" s="219"/>
      <c r="J271" s="219"/>
      <c r="K271" s="219"/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219"/>
      <c r="AR271" s="219"/>
      <c r="AS271" s="219"/>
      <c r="AT271" s="219"/>
      <c r="AU271" s="219"/>
      <c r="AV271" s="219"/>
      <c r="AW271" s="219"/>
      <c r="AX271" s="219"/>
      <c r="AY271" s="219"/>
      <c r="AZ271" s="219"/>
      <c r="BA271" s="219"/>
      <c r="BB271" s="219"/>
      <c r="BC271" s="219"/>
      <c r="BD271" s="219"/>
      <c r="BE271" s="219"/>
      <c r="BF271" s="219"/>
      <c r="BG271" s="219"/>
      <c r="BH271" s="219"/>
      <c r="BI271" s="219"/>
      <c r="BJ271" s="219"/>
      <c r="BK271" s="219"/>
      <c r="BL271" s="219"/>
      <c r="BM271" s="219"/>
    </row>
    <row r="272" spans="1:65">
      <c r="A272" s="219"/>
      <c r="B272" s="219"/>
      <c r="C272" s="219"/>
      <c r="D272" s="219"/>
      <c r="E272" s="219"/>
      <c r="F272" s="219"/>
      <c r="G272" s="219"/>
      <c r="H272" s="219"/>
      <c r="I272" s="219"/>
      <c r="J272" s="219"/>
      <c r="K272" s="219"/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  <c r="AO272" s="219"/>
      <c r="AP272" s="219"/>
      <c r="AQ272" s="219"/>
      <c r="AR272" s="219"/>
      <c r="AS272" s="219"/>
      <c r="AT272" s="219"/>
      <c r="AU272" s="219"/>
      <c r="AV272" s="219"/>
      <c r="AW272" s="219"/>
      <c r="AX272" s="219"/>
      <c r="AY272" s="219"/>
      <c r="AZ272" s="219"/>
      <c r="BA272" s="219"/>
      <c r="BB272" s="219"/>
      <c r="BC272" s="219"/>
      <c r="BD272" s="219"/>
      <c r="BE272" s="219"/>
      <c r="BF272" s="219"/>
      <c r="BG272" s="219"/>
      <c r="BH272" s="219"/>
      <c r="BI272" s="219"/>
      <c r="BJ272" s="219"/>
      <c r="BK272" s="219"/>
      <c r="BL272" s="219"/>
      <c r="BM272" s="219"/>
    </row>
    <row r="273" spans="1:65">
      <c r="A273" s="219"/>
      <c r="B273" s="219"/>
      <c r="C273" s="219"/>
      <c r="D273" s="219"/>
      <c r="E273" s="219"/>
      <c r="F273" s="219"/>
      <c r="G273" s="219"/>
      <c r="H273" s="219"/>
      <c r="I273" s="219"/>
      <c r="J273" s="219"/>
      <c r="K273" s="219"/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  <c r="AO273" s="219"/>
      <c r="AP273" s="219"/>
      <c r="AQ273" s="219"/>
      <c r="AR273" s="219"/>
      <c r="AS273" s="219"/>
      <c r="AT273" s="219"/>
      <c r="AU273" s="219"/>
      <c r="AV273" s="219"/>
      <c r="AW273" s="219"/>
      <c r="AX273" s="219"/>
      <c r="AY273" s="219"/>
      <c r="AZ273" s="219"/>
      <c r="BA273" s="219"/>
      <c r="BB273" s="219"/>
      <c r="BC273" s="219"/>
      <c r="BD273" s="219"/>
      <c r="BE273" s="219"/>
      <c r="BF273" s="219"/>
      <c r="BG273" s="219"/>
      <c r="BH273" s="219"/>
      <c r="BI273" s="219"/>
      <c r="BJ273" s="219"/>
      <c r="BK273" s="219"/>
      <c r="BL273" s="219"/>
      <c r="BM273" s="219"/>
    </row>
    <row r="274" spans="1:65">
      <c r="A274" s="219"/>
      <c r="B274" s="219"/>
      <c r="C274" s="219"/>
      <c r="D274" s="219"/>
      <c r="E274" s="219"/>
      <c r="F274" s="219"/>
      <c r="G274" s="219"/>
      <c r="H274" s="219"/>
      <c r="I274" s="219"/>
      <c r="J274" s="219"/>
      <c r="K274" s="219"/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19"/>
      <c r="AL274" s="219"/>
      <c r="AM274" s="219"/>
      <c r="AN274" s="219"/>
      <c r="AO274" s="219"/>
      <c r="AP274" s="219"/>
      <c r="AQ274" s="219"/>
      <c r="AR274" s="219"/>
      <c r="AS274" s="219"/>
      <c r="AT274" s="219"/>
      <c r="AU274" s="219"/>
      <c r="AV274" s="219"/>
      <c r="AW274" s="219"/>
      <c r="AX274" s="219"/>
      <c r="AY274" s="219"/>
      <c r="AZ274" s="219"/>
      <c r="BA274" s="219"/>
      <c r="BB274" s="219"/>
      <c r="BC274" s="219"/>
      <c r="BD274" s="219"/>
      <c r="BE274" s="219"/>
      <c r="BF274" s="219"/>
      <c r="BG274" s="219"/>
      <c r="BH274" s="219"/>
      <c r="BI274" s="219"/>
      <c r="BJ274" s="219"/>
      <c r="BK274" s="219"/>
      <c r="BL274" s="219"/>
      <c r="BM274" s="219"/>
    </row>
    <row r="275" spans="1:65">
      <c r="A275" s="219"/>
      <c r="B275" s="219"/>
      <c r="C275" s="219"/>
      <c r="D275" s="219"/>
      <c r="E275" s="219"/>
      <c r="F275" s="219"/>
      <c r="G275" s="219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  <c r="AO275" s="219"/>
      <c r="AP275" s="219"/>
      <c r="AQ275" s="219"/>
      <c r="AR275" s="219"/>
      <c r="AS275" s="219"/>
      <c r="AT275" s="219"/>
      <c r="AU275" s="219"/>
      <c r="AV275" s="219"/>
      <c r="AW275" s="219"/>
      <c r="AX275" s="219"/>
      <c r="AY275" s="219"/>
      <c r="AZ275" s="219"/>
      <c r="BA275" s="219"/>
      <c r="BB275" s="219"/>
      <c r="BC275" s="219"/>
      <c r="BD275" s="219"/>
      <c r="BE275" s="219"/>
      <c r="BF275" s="219"/>
      <c r="BG275" s="219"/>
      <c r="BH275" s="219"/>
      <c r="BI275" s="219"/>
      <c r="BJ275" s="219"/>
      <c r="BK275" s="219"/>
      <c r="BL275" s="219"/>
      <c r="BM275" s="219"/>
    </row>
    <row r="276" spans="1:65">
      <c r="A276" s="219"/>
      <c r="B276" s="219"/>
      <c r="C276" s="219"/>
      <c r="D276" s="219"/>
      <c r="E276" s="219"/>
      <c r="F276" s="219"/>
      <c r="G276" s="219"/>
      <c r="H276" s="219"/>
      <c r="I276" s="219"/>
      <c r="J276" s="219"/>
      <c r="K276" s="219"/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  <c r="AO276" s="219"/>
      <c r="AP276" s="219"/>
      <c r="AQ276" s="219"/>
      <c r="AR276" s="219"/>
      <c r="AS276" s="219"/>
      <c r="AT276" s="219"/>
      <c r="AU276" s="219"/>
      <c r="AV276" s="219"/>
      <c r="AW276" s="219"/>
      <c r="AX276" s="219"/>
      <c r="AY276" s="219"/>
      <c r="AZ276" s="219"/>
      <c r="BA276" s="219"/>
      <c r="BB276" s="219"/>
      <c r="BC276" s="219"/>
      <c r="BD276" s="219"/>
      <c r="BE276" s="219"/>
      <c r="BF276" s="219"/>
      <c r="BG276" s="219"/>
      <c r="BH276" s="219"/>
      <c r="BI276" s="219"/>
      <c r="BJ276" s="219"/>
      <c r="BK276" s="219"/>
      <c r="BL276" s="219"/>
      <c r="BM276" s="219"/>
    </row>
    <row r="277" spans="1:65">
      <c r="A277" s="219"/>
      <c r="B277" s="219"/>
      <c r="C277" s="219"/>
      <c r="D277" s="219"/>
      <c r="E277" s="219"/>
      <c r="F277" s="219"/>
      <c r="G277" s="219"/>
      <c r="H277" s="219"/>
      <c r="I277" s="219"/>
      <c r="J277" s="219"/>
      <c r="K277" s="219"/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  <c r="AO277" s="219"/>
      <c r="AP277" s="219"/>
      <c r="AQ277" s="219"/>
      <c r="AR277" s="219"/>
      <c r="AS277" s="219"/>
      <c r="AT277" s="219"/>
      <c r="AU277" s="219"/>
      <c r="AV277" s="219"/>
      <c r="AW277" s="219"/>
      <c r="AX277" s="219"/>
      <c r="AY277" s="219"/>
      <c r="AZ277" s="219"/>
      <c r="BA277" s="219"/>
      <c r="BB277" s="219"/>
      <c r="BC277" s="219"/>
      <c r="BD277" s="219"/>
      <c r="BE277" s="219"/>
      <c r="BF277" s="219"/>
      <c r="BG277" s="219"/>
      <c r="BH277" s="219"/>
      <c r="BI277" s="219"/>
      <c r="BJ277" s="219"/>
      <c r="BK277" s="219"/>
      <c r="BL277" s="219"/>
      <c r="BM277" s="219"/>
    </row>
    <row r="278" spans="1:65">
      <c r="A278" s="219"/>
      <c r="B278" s="219"/>
      <c r="C278" s="219"/>
      <c r="D278" s="219"/>
      <c r="E278" s="219"/>
      <c r="F278" s="219"/>
      <c r="G278" s="219"/>
      <c r="H278" s="219"/>
      <c r="I278" s="219"/>
      <c r="J278" s="219"/>
      <c r="K278" s="219"/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19"/>
      <c r="AL278" s="219"/>
      <c r="AM278" s="219"/>
      <c r="AN278" s="219"/>
      <c r="AO278" s="219"/>
      <c r="AP278" s="219"/>
      <c r="AQ278" s="219"/>
      <c r="AR278" s="219"/>
      <c r="AS278" s="219"/>
      <c r="AT278" s="219"/>
      <c r="AU278" s="219"/>
      <c r="AV278" s="219"/>
      <c r="AW278" s="219"/>
      <c r="AX278" s="219"/>
      <c r="AY278" s="219"/>
      <c r="AZ278" s="219"/>
      <c r="BA278" s="219"/>
      <c r="BB278" s="219"/>
      <c r="BC278" s="219"/>
      <c r="BD278" s="219"/>
      <c r="BE278" s="219"/>
      <c r="BF278" s="219"/>
      <c r="BG278" s="219"/>
      <c r="BH278" s="219"/>
      <c r="BI278" s="219"/>
      <c r="BJ278" s="219"/>
      <c r="BK278" s="219"/>
      <c r="BL278" s="219"/>
      <c r="BM278" s="219"/>
    </row>
    <row r="279" spans="1:65">
      <c r="A279" s="219"/>
      <c r="B279" s="219"/>
      <c r="C279" s="219"/>
      <c r="D279" s="219"/>
      <c r="E279" s="219"/>
      <c r="F279" s="219"/>
      <c r="G279" s="219"/>
      <c r="H279" s="219"/>
      <c r="I279" s="219"/>
      <c r="J279" s="219"/>
      <c r="K279" s="219"/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19"/>
      <c r="AL279" s="219"/>
      <c r="AM279" s="219"/>
      <c r="AN279" s="219"/>
      <c r="AO279" s="219"/>
      <c r="AP279" s="219"/>
      <c r="AQ279" s="219"/>
      <c r="AR279" s="219"/>
      <c r="AS279" s="219"/>
      <c r="AT279" s="219"/>
      <c r="AU279" s="219"/>
      <c r="AV279" s="219"/>
      <c r="AW279" s="219"/>
      <c r="AX279" s="219"/>
      <c r="AY279" s="219"/>
      <c r="AZ279" s="219"/>
      <c r="BA279" s="219"/>
      <c r="BB279" s="219"/>
      <c r="BC279" s="219"/>
      <c r="BD279" s="219"/>
      <c r="BE279" s="219"/>
      <c r="BF279" s="219"/>
      <c r="BG279" s="219"/>
      <c r="BH279" s="219"/>
      <c r="BI279" s="219"/>
      <c r="BJ279" s="219"/>
      <c r="BK279" s="219"/>
      <c r="BL279" s="219"/>
      <c r="BM279" s="219"/>
    </row>
    <row r="280" spans="1:65">
      <c r="A280" s="219"/>
      <c r="B280" s="219"/>
      <c r="C280" s="219"/>
      <c r="D280" s="219"/>
      <c r="E280" s="219"/>
      <c r="F280" s="219"/>
      <c r="G280" s="219"/>
      <c r="H280" s="219"/>
      <c r="I280" s="219"/>
      <c r="J280" s="219"/>
      <c r="K280" s="219"/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  <c r="AO280" s="219"/>
      <c r="AP280" s="219"/>
      <c r="AQ280" s="219"/>
      <c r="AR280" s="219"/>
      <c r="AS280" s="219"/>
      <c r="AT280" s="219"/>
      <c r="AU280" s="219"/>
      <c r="AV280" s="219"/>
      <c r="AW280" s="219"/>
      <c r="AX280" s="219"/>
      <c r="AY280" s="219"/>
      <c r="AZ280" s="219"/>
      <c r="BA280" s="219"/>
      <c r="BB280" s="219"/>
      <c r="BC280" s="219"/>
      <c r="BD280" s="219"/>
      <c r="BE280" s="219"/>
      <c r="BF280" s="219"/>
      <c r="BG280" s="219"/>
      <c r="BH280" s="219"/>
      <c r="BI280" s="219"/>
      <c r="BJ280" s="219"/>
      <c r="BK280" s="219"/>
      <c r="BL280" s="219"/>
      <c r="BM280" s="219"/>
    </row>
    <row r="281" spans="1:65">
      <c r="A281" s="219"/>
      <c r="B281" s="219"/>
      <c r="C281" s="219"/>
      <c r="D281" s="219"/>
      <c r="E281" s="219"/>
      <c r="F281" s="219"/>
      <c r="G281" s="219"/>
      <c r="H281" s="219"/>
      <c r="I281" s="219"/>
      <c r="J281" s="219"/>
      <c r="K281" s="219"/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19"/>
      <c r="AL281" s="219"/>
      <c r="AM281" s="219"/>
      <c r="AN281" s="219"/>
      <c r="AO281" s="219"/>
      <c r="AP281" s="219"/>
      <c r="AQ281" s="219"/>
      <c r="AR281" s="219"/>
      <c r="AS281" s="219"/>
      <c r="AT281" s="219"/>
      <c r="AU281" s="219"/>
      <c r="AV281" s="219"/>
      <c r="AW281" s="219"/>
      <c r="AX281" s="219"/>
      <c r="AY281" s="219"/>
      <c r="AZ281" s="219"/>
      <c r="BA281" s="219"/>
      <c r="BB281" s="219"/>
      <c r="BC281" s="219"/>
      <c r="BD281" s="219"/>
      <c r="BE281" s="219"/>
      <c r="BF281" s="219"/>
      <c r="BG281" s="219"/>
      <c r="BH281" s="219"/>
      <c r="BI281" s="219"/>
      <c r="BJ281" s="219"/>
      <c r="BK281" s="219"/>
      <c r="BL281" s="219"/>
      <c r="BM281" s="219"/>
    </row>
    <row r="282" spans="1:65">
      <c r="A282" s="219"/>
      <c r="B282" s="219"/>
      <c r="C282" s="219"/>
      <c r="D282" s="219"/>
      <c r="E282" s="219"/>
      <c r="F282" s="219"/>
      <c r="G282" s="219"/>
      <c r="H282" s="219"/>
      <c r="I282" s="219"/>
      <c r="J282" s="219"/>
      <c r="K282" s="219"/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19"/>
      <c r="AL282" s="219"/>
      <c r="AM282" s="219"/>
      <c r="AN282" s="219"/>
      <c r="AO282" s="219"/>
      <c r="AP282" s="219"/>
      <c r="AQ282" s="219"/>
      <c r="AR282" s="219"/>
      <c r="AS282" s="219"/>
      <c r="AT282" s="219"/>
      <c r="AU282" s="219"/>
      <c r="AV282" s="219"/>
      <c r="AW282" s="219"/>
      <c r="AX282" s="219"/>
      <c r="AY282" s="219"/>
      <c r="AZ282" s="219"/>
      <c r="BA282" s="219"/>
      <c r="BB282" s="219"/>
      <c r="BC282" s="219"/>
      <c r="BD282" s="219"/>
      <c r="BE282" s="219"/>
      <c r="BF282" s="219"/>
      <c r="BG282" s="219"/>
      <c r="BH282" s="219"/>
      <c r="BI282" s="219"/>
      <c r="BJ282" s="219"/>
      <c r="BK282" s="219"/>
      <c r="BL282" s="219"/>
      <c r="BM282" s="219"/>
    </row>
    <row r="283" spans="1:65">
      <c r="A283" s="219"/>
      <c r="B283" s="219"/>
      <c r="C283" s="219"/>
      <c r="D283" s="219"/>
      <c r="E283" s="219"/>
      <c r="F283" s="219"/>
      <c r="G283" s="219"/>
      <c r="H283" s="219"/>
      <c r="I283" s="219"/>
      <c r="J283" s="219"/>
      <c r="K283" s="219"/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19"/>
      <c r="AL283" s="219"/>
      <c r="AM283" s="219"/>
      <c r="AN283" s="219"/>
      <c r="AO283" s="219"/>
      <c r="AP283" s="219"/>
      <c r="AQ283" s="219"/>
      <c r="AR283" s="219"/>
      <c r="AS283" s="219"/>
      <c r="AT283" s="219"/>
      <c r="AU283" s="219"/>
      <c r="AV283" s="219"/>
      <c r="AW283" s="219"/>
      <c r="AX283" s="219"/>
      <c r="AY283" s="219"/>
      <c r="AZ283" s="219"/>
      <c r="BA283" s="219"/>
      <c r="BB283" s="219"/>
      <c r="BC283" s="219"/>
      <c r="BD283" s="219"/>
      <c r="BE283" s="219"/>
      <c r="BF283" s="219"/>
      <c r="BG283" s="219"/>
      <c r="BH283" s="219"/>
      <c r="BI283" s="219"/>
      <c r="BJ283" s="219"/>
      <c r="BK283" s="219"/>
      <c r="BL283" s="219"/>
      <c r="BM283" s="219"/>
    </row>
    <row r="284" spans="1:65">
      <c r="A284" s="219"/>
      <c r="B284" s="219"/>
      <c r="C284" s="219"/>
      <c r="D284" s="219"/>
      <c r="E284" s="219"/>
      <c r="F284" s="219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19"/>
      <c r="AL284" s="219"/>
      <c r="AM284" s="219"/>
      <c r="AN284" s="219"/>
      <c r="AO284" s="219"/>
      <c r="AP284" s="219"/>
      <c r="AQ284" s="219"/>
      <c r="AR284" s="219"/>
      <c r="AS284" s="219"/>
      <c r="AT284" s="219"/>
      <c r="AU284" s="219"/>
      <c r="AV284" s="219"/>
      <c r="AW284" s="219"/>
      <c r="AX284" s="219"/>
      <c r="AY284" s="219"/>
      <c r="AZ284" s="219"/>
      <c r="BA284" s="219"/>
      <c r="BB284" s="219"/>
      <c r="BC284" s="219"/>
      <c r="BD284" s="219"/>
      <c r="BE284" s="219"/>
      <c r="BF284" s="219"/>
      <c r="BG284" s="219"/>
      <c r="BH284" s="219"/>
      <c r="BI284" s="219"/>
      <c r="BJ284" s="219"/>
      <c r="BK284" s="219"/>
      <c r="BL284" s="219"/>
      <c r="BM284" s="219"/>
    </row>
    <row r="285" spans="1:65">
      <c r="A285" s="219"/>
      <c r="B285" s="219"/>
      <c r="C285" s="219"/>
      <c r="D285" s="219"/>
      <c r="E285" s="219"/>
      <c r="F285" s="219"/>
      <c r="G285" s="219"/>
      <c r="H285" s="219"/>
      <c r="I285" s="219"/>
      <c r="J285" s="219"/>
      <c r="K285" s="219"/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19"/>
      <c r="AL285" s="219"/>
      <c r="AM285" s="219"/>
      <c r="AN285" s="219"/>
      <c r="AO285" s="219"/>
      <c r="AP285" s="219"/>
      <c r="AQ285" s="219"/>
      <c r="AR285" s="219"/>
      <c r="AS285" s="219"/>
      <c r="AT285" s="219"/>
      <c r="AU285" s="219"/>
      <c r="AV285" s="219"/>
      <c r="AW285" s="219"/>
      <c r="AX285" s="219"/>
      <c r="AY285" s="219"/>
      <c r="AZ285" s="219"/>
      <c r="BA285" s="219"/>
      <c r="BB285" s="219"/>
      <c r="BC285" s="219"/>
      <c r="BD285" s="219"/>
      <c r="BE285" s="219"/>
      <c r="BF285" s="219"/>
      <c r="BG285" s="219"/>
      <c r="BH285" s="219"/>
      <c r="BI285" s="219"/>
      <c r="BJ285" s="219"/>
      <c r="BK285" s="219"/>
      <c r="BL285" s="219"/>
      <c r="BM285" s="219"/>
    </row>
    <row r="286" spans="1:65">
      <c r="A286" s="219"/>
      <c r="B286" s="219"/>
      <c r="C286" s="219"/>
      <c r="D286" s="219"/>
      <c r="E286" s="219"/>
      <c r="F286" s="219"/>
      <c r="G286" s="219"/>
      <c r="H286" s="219"/>
      <c r="I286" s="219"/>
      <c r="J286" s="219"/>
      <c r="K286" s="219"/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19"/>
      <c r="AL286" s="219"/>
      <c r="AM286" s="219"/>
      <c r="AN286" s="219"/>
      <c r="AO286" s="219"/>
      <c r="AP286" s="219"/>
      <c r="AQ286" s="219"/>
      <c r="AR286" s="219"/>
      <c r="AS286" s="219"/>
      <c r="AT286" s="219"/>
      <c r="AU286" s="219"/>
      <c r="AV286" s="219"/>
      <c r="AW286" s="219"/>
      <c r="AX286" s="219"/>
      <c r="AY286" s="219"/>
      <c r="AZ286" s="219"/>
      <c r="BA286" s="219"/>
      <c r="BB286" s="219"/>
      <c r="BC286" s="219"/>
      <c r="BD286" s="219"/>
      <c r="BE286" s="219"/>
      <c r="BF286" s="219"/>
      <c r="BG286" s="219"/>
      <c r="BH286" s="219"/>
      <c r="BI286" s="219"/>
      <c r="BJ286" s="219"/>
      <c r="BK286" s="219"/>
      <c r="BL286" s="219"/>
      <c r="BM286" s="219"/>
    </row>
    <row r="287" spans="1:65">
      <c r="A287" s="219"/>
      <c r="B287" s="219"/>
      <c r="C287" s="219"/>
      <c r="D287" s="219"/>
      <c r="E287" s="219"/>
      <c r="F287" s="219"/>
      <c r="G287" s="219"/>
      <c r="H287" s="219"/>
      <c r="I287" s="219"/>
      <c r="J287" s="219"/>
      <c r="K287" s="219"/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19"/>
      <c r="AL287" s="219"/>
      <c r="AM287" s="219"/>
      <c r="AN287" s="219"/>
      <c r="AO287" s="219"/>
      <c r="AP287" s="219"/>
      <c r="AQ287" s="219"/>
      <c r="AR287" s="219"/>
      <c r="AS287" s="219"/>
      <c r="AT287" s="219"/>
      <c r="AU287" s="219"/>
      <c r="AV287" s="219"/>
      <c r="AW287" s="219"/>
      <c r="AX287" s="219"/>
      <c r="AY287" s="219"/>
      <c r="AZ287" s="219"/>
      <c r="BA287" s="219"/>
      <c r="BB287" s="219"/>
      <c r="BC287" s="219"/>
      <c r="BD287" s="219"/>
      <c r="BE287" s="219"/>
      <c r="BF287" s="219"/>
      <c r="BG287" s="219"/>
      <c r="BH287" s="219"/>
      <c r="BI287" s="219"/>
      <c r="BJ287" s="219"/>
      <c r="BK287" s="219"/>
      <c r="BL287" s="219"/>
      <c r="BM287" s="219"/>
    </row>
    <row r="288" spans="1:65">
      <c r="A288" s="219"/>
      <c r="B288" s="219"/>
      <c r="C288" s="219"/>
      <c r="D288" s="219"/>
      <c r="E288" s="219"/>
      <c r="F288" s="219"/>
      <c r="G288" s="219"/>
      <c r="H288" s="219"/>
      <c r="I288" s="219"/>
      <c r="J288" s="219"/>
      <c r="K288" s="219"/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19"/>
      <c r="AL288" s="219"/>
      <c r="AM288" s="219"/>
      <c r="AN288" s="219"/>
      <c r="AO288" s="219"/>
      <c r="AP288" s="219"/>
      <c r="AQ288" s="219"/>
      <c r="AR288" s="219"/>
      <c r="AS288" s="219"/>
      <c r="AT288" s="219"/>
      <c r="AU288" s="219"/>
      <c r="AV288" s="219"/>
      <c r="AW288" s="219"/>
      <c r="AX288" s="219"/>
      <c r="AY288" s="219"/>
      <c r="AZ288" s="219"/>
      <c r="BA288" s="219"/>
      <c r="BB288" s="219"/>
      <c r="BC288" s="219"/>
      <c r="BD288" s="219"/>
      <c r="BE288" s="219"/>
      <c r="BF288" s="219"/>
      <c r="BG288" s="219"/>
      <c r="BH288" s="219"/>
      <c r="BI288" s="219"/>
      <c r="BJ288" s="219"/>
      <c r="BK288" s="219"/>
      <c r="BL288" s="219"/>
      <c r="BM288" s="219"/>
    </row>
    <row r="289" spans="1:65">
      <c r="A289" s="219"/>
      <c r="B289" s="219"/>
      <c r="C289" s="219"/>
      <c r="D289" s="219"/>
      <c r="E289" s="219"/>
      <c r="F289" s="219"/>
      <c r="G289" s="219"/>
      <c r="H289" s="219"/>
      <c r="I289" s="219"/>
      <c r="J289" s="219"/>
      <c r="K289" s="219"/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19"/>
      <c r="AL289" s="219"/>
      <c r="AM289" s="219"/>
      <c r="AN289" s="219"/>
      <c r="AO289" s="219"/>
      <c r="AP289" s="219"/>
      <c r="AQ289" s="219"/>
      <c r="AR289" s="219"/>
      <c r="AS289" s="219"/>
      <c r="AT289" s="219"/>
      <c r="AU289" s="219"/>
      <c r="AV289" s="219"/>
      <c r="AW289" s="219"/>
      <c r="AX289" s="219"/>
      <c r="AY289" s="219"/>
      <c r="AZ289" s="219"/>
      <c r="BA289" s="219"/>
      <c r="BB289" s="219"/>
      <c r="BC289" s="219"/>
      <c r="BD289" s="219"/>
      <c r="BE289" s="219"/>
      <c r="BF289" s="219"/>
      <c r="BG289" s="219"/>
      <c r="BH289" s="219"/>
      <c r="BI289" s="219"/>
      <c r="BJ289" s="219"/>
      <c r="BK289" s="219"/>
      <c r="BL289" s="219"/>
      <c r="BM289" s="219"/>
    </row>
    <row r="290" spans="1:65">
      <c r="A290" s="219"/>
      <c r="B290" s="219"/>
      <c r="C290" s="219"/>
      <c r="D290" s="219"/>
      <c r="E290" s="219"/>
      <c r="F290" s="219"/>
      <c r="G290" s="219"/>
      <c r="H290" s="219"/>
      <c r="I290" s="219"/>
      <c r="J290" s="219"/>
      <c r="K290" s="219"/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19"/>
      <c r="AL290" s="219"/>
      <c r="AM290" s="219"/>
      <c r="AN290" s="219"/>
      <c r="AO290" s="219"/>
      <c r="AP290" s="219"/>
      <c r="AQ290" s="219"/>
      <c r="AR290" s="219"/>
      <c r="AS290" s="219"/>
      <c r="AT290" s="219"/>
      <c r="AU290" s="219"/>
      <c r="AV290" s="219"/>
      <c r="AW290" s="219"/>
      <c r="AX290" s="219"/>
      <c r="AY290" s="219"/>
      <c r="AZ290" s="219"/>
      <c r="BA290" s="219"/>
      <c r="BB290" s="219"/>
      <c r="BC290" s="219"/>
      <c r="BD290" s="219"/>
      <c r="BE290" s="219"/>
      <c r="BF290" s="219"/>
      <c r="BG290" s="219"/>
      <c r="BH290" s="219"/>
      <c r="BI290" s="219"/>
      <c r="BJ290" s="219"/>
      <c r="BK290" s="219"/>
      <c r="BL290" s="219"/>
      <c r="BM290" s="219"/>
    </row>
    <row r="291" spans="1:65">
      <c r="A291" s="219"/>
      <c r="B291" s="219"/>
      <c r="C291" s="219"/>
      <c r="D291" s="219"/>
      <c r="E291" s="219"/>
      <c r="F291" s="219"/>
      <c r="G291" s="219"/>
      <c r="H291" s="219"/>
      <c r="I291" s="219"/>
      <c r="J291" s="219"/>
      <c r="K291" s="219"/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19"/>
      <c r="AL291" s="219"/>
      <c r="AM291" s="219"/>
      <c r="AN291" s="219"/>
      <c r="AO291" s="219"/>
      <c r="AP291" s="219"/>
      <c r="AQ291" s="219"/>
      <c r="AR291" s="219"/>
      <c r="AS291" s="219"/>
      <c r="AT291" s="219"/>
      <c r="AU291" s="219"/>
      <c r="AV291" s="219"/>
      <c r="AW291" s="219"/>
      <c r="AX291" s="219"/>
      <c r="AY291" s="219"/>
      <c r="AZ291" s="219"/>
      <c r="BA291" s="219"/>
      <c r="BB291" s="219"/>
      <c r="BC291" s="219"/>
      <c r="BD291" s="219"/>
      <c r="BE291" s="219"/>
      <c r="BF291" s="219"/>
      <c r="BG291" s="219"/>
      <c r="BH291" s="219"/>
      <c r="BI291" s="219"/>
      <c r="BJ291" s="219"/>
      <c r="BK291" s="219"/>
      <c r="BL291" s="219"/>
      <c r="BM291" s="219"/>
    </row>
    <row r="292" spans="1:65">
      <c r="A292" s="219"/>
      <c r="B292" s="219"/>
      <c r="C292" s="219"/>
      <c r="D292" s="219"/>
      <c r="E292" s="219"/>
      <c r="F292" s="219"/>
      <c r="G292" s="219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19"/>
      <c r="AL292" s="219"/>
      <c r="AM292" s="219"/>
      <c r="AN292" s="219"/>
      <c r="AO292" s="219"/>
      <c r="AP292" s="219"/>
      <c r="AQ292" s="219"/>
      <c r="AR292" s="219"/>
      <c r="AS292" s="219"/>
      <c r="AT292" s="219"/>
      <c r="AU292" s="219"/>
      <c r="AV292" s="219"/>
      <c r="AW292" s="219"/>
      <c r="AX292" s="219"/>
      <c r="AY292" s="219"/>
      <c r="AZ292" s="219"/>
      <c r="BA292" s="219"/>
      <c r="BB292" s="219"/>
      <c r="BC292" s="219"/>
      <c r="BD292" s="219"/>
      <c r="BE292" s="219"/>
      <c r="BF292" s="219"/>
      <c r="BG292" s="219"/>
      <c r="BH292" s="219"/>
      <c r="BI292" s="219"/>
      <c r="BJ292" s="219"/>
      <c r="BK292" s="219"/>
      <c r="BL292" s="219"/>
      <c r="BM292" s="219"/>
    </row>
    <row r="293" spans="1:65">
      <c r="A293" s="219"/>
      <c r="B293" s="219"/>
      <c r="C293" s="219"/>
      <c r="D293" s="219"/>
      <c r="E293" s="219"/>
      <c r="F293" s="219"/>
      <c r="G293" s="219"/>
      <c r="H293" s="219"/>
      <c r="I293" s="219"/>
      <c r="J293" s="219"/>
      <c r="K293" s="219"/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19"/>
      <c r="AL293" s="219"/>
      <c r="AM293" s="219"/>
      <c r="AN293" s="219"/>
      <c r="AO293" s="219"/>
      <c r="AP293" s="219"/>
      <c r="AQ293" s="219"/>
      <c r="AR293" s="219"/>
      <c r="AS293" s="219"/>
      <c r="AT293" s="219"/>
      <c r="AU293" s="219"/>
      <c r="AV293" s="219"/>
      <c r="AW293" s="219"/>
      <c r="AX293" s="219"/>
      <c r="AY293" s="219"/>
      <c r="AZ293" s="219"/>
      <c r="BA293" s="219"/>
      <c r="BB293" s="219"/>
      <c r="BC293" s="219"/>
      <c r="BD293" s="219"/>
      <c r="BE293" s="219"/>
      <c r="BF293" s="219"/>
      <c r="BG293" s="219"/>
      <c r="BH293" s="219"/>
      <c r="BI293" s="219"/>
      <c r="BJ293" s="219"/>
      <c r="BK293" s="219"/>
      <c r="BL293" s="219"/>
      <c r="BM293" s="219"/>
    </row>
    <row r="294" spans="1:65">
      <c r="A294" s="219"/>
      <c r="B294" s="219"/>
      <c r="C294" s="219"/>
      <c r="D294" s="219"/>
      <c r="E294" s="219"/>
      <c r="F294" s="219"/>
      <c r="G294" s="219"/>
      <c r="H294" s="219"/>
      <c r="I294" s="219"/>
      <c r="J294" s="219"/>
      <c r="K294" s="219"/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19"/>
      <c r="AL294" s="219"/>
      <c r="AM294" s="219"/>
      <c r="AN294" s="219"/>
      <c r="AO294" s="219"/>
      <c r="AP294" s="219"/>
      <c r="AQ294" s="219"/>
      <c r="AR294" s="219"/>
      <c r="AS294" s="219"/>
      <c r="AT294" s="219"/>
      <c r="AU294" s="219"/>
      <c r="AV294" s="219"/>
      <c r="AW294" s="219"/>
      <c r="AX294" s="219"/>
      <c r="AY294" s="219"/>
      <c r="AZ294" s="219"/>
      <c r="BA294" s="219"/>
      <c r="BB294" s="219"/>
      <c r="BC294" s="219"/>
      <c r="BD294" s="219"/>
      <c r="BE294" s="219"/>
      <c r="BF294" s="219"/>
      <c r="BG294" s="219"/>
      <c r="BH294" s="219"/>
      <c r="BI294" s="219"/>
      <c r="BJ294" s="219"/>
      <c r="BK294" s="219"/>
      <c r="BL294" s="219"/>
      <c r="BM294" s="219"/>
    </row>
    <row r="295" spans="1:65">
      <c r="A295" s="219"/>
      <c r="B295" s="219"/>
      <c r="C295" s="219"/>
      <c r="D295" s="219"/>
      <c r="E295" s="219"/>
      <c r="F295" s="219"/>
      <c r="G295" s="219"/>
      <c r="H295" s="219"/>
      <c r="I295" s="219"/>
      <c r="J295" s="219"/>
      <c r="K295" s="219"/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19"/>
      <c r="AL295" s="219"/>
      <c r="AM295" s="219"/>
      <c r="AN295" s="219"/>
      <c r="AO295" s="219"/>
      <c r="AP295" s="219"/>
      <c r="AQ295" s="219"/>
      <c r="AR295" s="219"/>
      <c r="AS295" s="219"/>
      <c r="AT295" s="219"/>
      <c r="AU295" s="219"/>
      <c r="AV295" s="219"/>
      <c r="AW295" s="219"/>
      <c r="AX295" s="219"/>
      <c r="AY295" s="219"/>
      <c r="AZ295" s="219"/>
      <c r="BA295" s="219"/>
      <c r="BB295" s="219"/>
      <c r="BC295" s="219"/>
      <c r="BD295" s="219"/>
      <c r="BE295" s="219"/>
      <c r="BF295" s="219"/>
      <c r="BG295" s="219"/>
      <c r="BH295" s="219"/>
      <c r="BI295" s="219"/>
      <c r="BJ295" s="219"/>
      <c r="BK295" s="219"/>
      <c r="BL295" s="219"/>
      <c r="BM295" s="219"/>
    </row>
    <row r="296" spans="1:65">
      <c r="A296" s="219"/>
      <c r="B296" s="219"/>
      <c r="C296" s="219"/>
      <c r="D296" s="219"/>
      <c r="E296" s="219"/>
      <c r="F296" s="219"/>
      <c r="G296" s="219"/>
      <c r="H296" s="219"/>
      <c r="I296" s="219"/>
      <c r="J296" s="219"/>
      <c r="K296" s="219"/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19"/>
      <c r="AL296" s="219"/>
      <c r="AM296" s="219"/>
      <c r="AN296" s="219"/>
      <c r="AO296" s="219"/>
      <c r="AP296" s="219"/>
      <c r="AQ296" s="219"/>
      <c r="AR296" s="219"/>
      <c r="AS296" s="219"/>
      <c r="AT296" s="219"/>
      <c r="AU296" s="219"/>
      <c r="AV296" s="219"/>
      <c r="AW296" s="219"/>
      <c r="AX296" s="219"/>
      <c r="AY296" s="219"/>
      <c r="AZ296" s="219"/>
      <c r="BA296" s="219"/>
      <c r="BB296" s="219"/>
      <c r="BC296" s="219"/>
      <c r="BD296" s="219"/>
      <c r="BE296" s="219"/>
      <c r="BF296" s="219"/>
      <c r="BG296" s="219"/>
      <c r="BH296" s="219"/>
      <c r="BI296" s="219"/>
      <c r="BJ296" s="219"/>
      <c r="BK296" s="219"/>
      <c r="BL296" s="219"/>
      <c r="BM296" s="219"/>
    </row>
    <row r="297" spans="1:65">
      <c r="A297" s="219"/>
      <c r="B297" s="219"/>
      <c r="C297" s="219"/>
      <c r="D297" s="219"/>
      <c r="E297" s="219"/>
      <c r="F297" s="219"/>
      <c r="G297" s="219"/>
      <c r="H297" s="219"/>
      <c r="I297" s="219"/>
      <c r="J297" s="219"/>
      <c r="K297" s="219"/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219"/>
      <c r="AR297" s="219"/>
      <c r="AS297" s="219"/>
      <c r="AT297" s="219"/>
      <c r="AU297" s="219"/>
      <c r="AV297" s="219"/>
      <c r="AW297" s="219"/>
      <c r="AX297" s="219"/>
      <c r="AY297" s="219"/>
      <c r="AZ297" s="219"/>
      <c r="BA297" s="219"/>
      <c r="BB297" s="219"/>
      <c r="BC297" s="219"/>
      <c r="BD297" s="219"/>
      <c r="BE297" s="219"/>
      <c r="BF297" s="219"/>
      <c r="BG297" s="219"/>
      <c r="BH297" s="219"/>
      <c r="BI297" s="219"/>
      <c r="BJ297" s="219"/>
      <c r="BK297" s="219"/>
      <c r="BL297" s="219"/>
      <c r="BM297" s="219"/>
    </row>
    <row r="298" spans="1:65">
      <c r="A298" s="219"/>
      <c r="B298" s="219"/>
      <c r="C298" s="219"/>
      <c r="D298" s="219"/>
      <c r="E298" s="219"/>
      <c r="F298" s="219"/>
      <c r="G298" s="219"/>
      <c r="H298" s="219"/>
      <c r="I298" s="219"/>
      <c r="J298" s="219"/>
      <c r="K298" s="219"/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  <c r="AO298" s="219"/>
      <c r="AP298" s="219"/>
      <c r="AQ298" s="219"/>
      <c r="AR298" s="219"/>
      <c r="AS298" s="219"/>
      <c r="AT298" s="219"/>
      <c r="AU298" s="219"/>
      <c r="AV298" s="219"/>
      <c r="AW298" s="219"/>
      <c r="AX298" s="219"/>
      <c r="AY298" s="219"/>
      <c r="AZ298" s="219"/>
      <c r="BA298" s="219"/>
      <c r="BB298" s="219"/>
      <c r="BC298" s="219"/>
      <c r="BD298" s="219"/>
      <c r="BE298" s="219"/>
      <c r="BF298" s="219"/>
      <c r="BG298" s="219"/>
      <c r="BH298" s="219"/>
      <c r="BI298" s="219"/>
      <c r="BJ298" s="219"/>
      <c r="BK298" s="219"/>
      <c r="BL298" s="219"/>
      <c r="BM298" s="219"/>
    </row>
    <row r="299" spans="1:65">
      <c r="A299" s="219"/>
      <c r="B299" s="219"/>
      <c r="C299" s="219"/>
      <c r="D299" s="219"/>
      <c r="E299" s="219"/>
      <c r="F299" s="219"/>
      <c r="G299" s="219"/>
      <c r="H299" s="219"/>
      <c r="I299" s="219"/>
      <c r="J299" s="219"/>
      <c r="K299" s="219"/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  <c r="AO299" s="219"/>
      <c r="AP299" s="219"/>
      <c r="AQ299" s="219"/>
      <c r="AR299" s="219"/>
      <c r="AS299" s="219"/>
      <c r="AT299" s="219"/>
      <c r="AU299" s="219"/>
      <c r="AV299" s="219"/>
      <c r="AW299" s="219"/>
      <c r="AX299" s="219"/>
      <c r="AY299" s="219"/>
      <c r="AZ299" s="219"/>
      <c r="BA299" s="219"/>
      <c r="BB299" s="219"/>
      <c r="BC299" s="219"/>
      <c r="BD299" s="219"/>
      <c r="BE299" s="219"/>
      <c r="BF299" s="219"/>
      <c r="BG299" s="219"/>
      <c r="BH299" s="219"/>
      <c r="BI299" s="219"/>
      <c r="BJ299" s="219"/>
      <c r="BK299" s="219"/>
      <c r="BL299" s="219"/>
      <c r="BM299" s="219"/>
    </row>
    <row r="300" spans="1:65">
      <c r="A300" s="219"/>
      <c r="B300" s="219"/>
      <c r="C300" s="219"/>
      <c r="D300" s="219"/>
      <c r="E300" s="219"/>
      <c r="F300" s="219"/>
      <c r="G300" s="219"/>
      <c r="H300" s="219"/>
      <c r="I300" s="219"/>
      <c r="J300" s="219"/>
      <c r="K300" s="219"/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  <c r="AO300" s="219"/>
      <c r="AP300" s="219"/>
      <c r="AQ300" s="219"/>
      <c r="AR300" s="219"/>
      <c r="AS300" s="219"/>
      <c r="AT300" s="219"/>
      <c r="AU300" s="219"/>
      <c r="AV300" s="219"/>
      <c r="AW300" s="219"/>
      <c r="AX300" s="219"/>
      <c r="AY300" s="219"/>
      <c r="AZ300" s="219"/>
      <c r="BA300" s="219"/>
      <c r="BB300" s="219"/>
      <c r="BC300" s="219"/>
      <c r="BD300" s="219"/>
      <c r="BE300" s="219"/>
      <c r="BF300" s="219"/>
      <c r="BG300" s="219"/>
      <c r="BH300" s="219"/>
      <c r="BI300" s="219"/>
      <c r="BJ300" s="219"/>
      <c r="BK300" s="219"/>
      <c r="BL300" s="219"/>
      <c r="BM300" s="219"/>
    </row>
    <row r="301" spans="1:65">
      <c r="A301" s="219"/>
      <c r="B301" s="219"/>
      <c r="C301" s="219"/>
      <c r="D301" s="219"/>
      <c r="E301" s="219"/>
      <c r="F301" s="219"/>
      <c r="G301" s="219"/>
      <c r="H301" s="219"/>
      <c r="I301" s="219"/>
      <c r="J301" s="219"/>
      <c r="K301" s="219"/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  <c r="AO301" s="219"/>
      <c r="AP301" s="219"/>
      <c r="AQ301" s="219"/>
      <c r="AR301" s="219"/>
      <c r="AS301" s="219"/>
      <c r="AT301" s="219"/>
      <c r="AU301" s="219"/>
      <c r="AV301" s="219"/>
      <c r="AW301" s="219"/>
      <c r="AX301" s="219"/>
      <c r="AY301" s="219"/>
      <c r="AZ301" s="219"/>
      <c r="BA301" s="219"/>
      <c r="BB301" s="219"/>
      <c r="BC301" s="219"/>
      <c r="BD301" s="219"/>
      <c r="BE301" s="219"/>
      <c r="BF301" s="219"/>
      <c r="BG301" s="219"/>
      <c r="BH301" s="219"/>
      <c r="BI301" s="219"/>
      <c r="BJ301" s="219"/>
      <c r="BK301" s="219"/>
      <c r="BL301" s="219"/>
      <c r="BM301" s="219"/>
    </row>
    <row r="302" spans="1:65">
      <c r="A302" s="219"/>
      <c r="B302" s="219"/>
      <c r="C302" s="219"/>
      <c r="D302" s="219"/>
      <c r="E302" s="219"/>
      <c r="F302" s="219"/>
      <c r="G302" s="219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  <c r="AO302" s="219"/>
      <c r="AP302" s="219"/>
      <c r="AQ302" s="219"/>
      <c r="AR302" s="219"/>
      <c r="AS302" s="219"/>
      <c r="AT302" s="219"/>
      <c r="AU302" s="219"/>
      <c r="AV302" s="219"/>
      <c r="AW302" s="219"/>
      <c r="AX302" s="219"/>
      <c r="AY302" s="219"/>
      <c r="AZ302" s="219"/>
      <c r="BA302" s="219"/>
      <c r="BB302" s="219"/>
      <c r="BC302" s="219"/>
      <c r="BD302" s="219"/>
      <c r="BE302" s="219"/>
      <c r="BF302" s="219"/>
      <c r="BG302" s="219"/>
      <c r="BH302" s="219"/>
      <c r="BI302" s="219"/>
      <c r="BJ302" s="219"/>
      <c r="BK302" s="219"/>
      <c r="BL302" s="219"/>
      <c r="BM302" s="219"/>
    </row>
    <row r="303" spans="1:65">
      <c r="A303" s="219"/>
      <c r="B303" s="219"/>
      <c r="C303" s="219"/>
      <c r="D303" s="219"/>
      <c r="E303" s="219"/>
      <c r="F303" s="219"/>
      <c r="G303" s="219"/>
      <c r="H303" s="219"/>
      <c r="I303" s="219"/>
      <c r="J303" s="219"/>
      <c r="K303" s="219"/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  <c r="AO303" s="219"/>
      <c r="AP303" s="219"/>
      <c r="AQ303" s="219"/>
      <c r="AR303" s="219"/>
      <c r="AS303" s="219"/>
      <c r="AT303" s="219"/>
      <c r="AU303" s="219"/>
      <c r="AV303" s="219"/>
      <c r="AW303" s="219"/>
      <c r="AX303" s="219"/>
      <c r="AY303" s="219"/>
      <c r="AZ303" s="219"/>
      <c r="BA303" s="219"/>
      <c r="BB303" s="219"/>
      <c r="BC303" s="219"/>
      <c r="BD303" s="219"/>
      <c r="BE303" s="219"/>
      <c r="BF303" s="219"/>
      <c r="BG303" s="219"/>
      <c r="BH303" s="219"/>
      <c r="BI303" s="219"/>
      <c r="BJ303" s="219"/>
      <c r="BK303" s="219"/>
      <c r="BL303" s="219"/>
      <c r="BM303" s="219"/>
    </row>
    <row r="304" spans="1:65">
      <c r="A304" s="219"/>
      <c r="B304" s="219"/>
      <c r="C304" s="219"/>
      <c r="D304" s="219"/>
      <c r="E304" s="219"/>
      <c r="F304" s="219"/>
      <c r="G304" s="219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  <c r="AO304" s="219"/>
      <c r="AP304" s="219"/>
      <c r="AQ304" s="219"/>
      <c r="AR304" s="219"/>
      <c r="AS304" s="219"/>
      <c r="AT304" s="219"/>
      <c r="AU304" s="219"/>
      <c r="AV304" s="219"/>
      <c r="AW304" s="219"/>
      <c r="AX304" s="219"/>
      <c r="AY304" s="219"/>
      <c r="AZ304" s="219"/>
      <c r="BA304" s="219"/>
      <c r="BB304" s="219"/>
      <c r="BC304" s="219"/>
      <c r="BD304" s="219"/>
      <c r="BE304" s="219"/>
      <c r="BF304" s="219"/>
      <c r="BG304" s="219"/>
      <c r="BH304" s="219"/>
      <c r="BI304" s="219"/>
      <c r="BJ304" s="219"/>
      <c r="BK304" s="219"/>
      <c r="BL304" s="219"/>
      <c r="BM304" s="219"/>
    </row>
    <row r="305" spans="1:65">
      <c r="A305" s="219"/>
      <c r="B305" s="219"/>
      <c r="C305" s="219"/>
      <c r="D305" s="219"/>
      <c r="E305" s="219"/>
      <c r="F305" s="219"/>
      <c r="G305" s="219"/>
      <c r="H305" s="219"/>
      <c r="I305" s="219"/>
      <c r="J305" s="219"/>
      <c r="K305" s="219"/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  <c r="AO305" s="219"/>
      <c r="AP305" s="219"/>
      <c r="AQ305" s="219"/>
      <c r="AR305" s="219"/>
      <c r="AS305" s="219"/>
      <c r="AT305" s="219"/>
      <c r="AU305" s="219"/>
      <c r="AV305" s="219"/>
      <c r="AW305" s="219"/>
      <c r="AX305" s="219"/>
      <c r="AY305" s="219"/>
      <c r="AZ305" s="219"/>
      <c r="BA305" s="219"/>
      <c r="BB305" s="219"/>
      <c r="BC305" s="219"/>
      <c r="BD305" s="219"/>
      <c r="BE305" s="219"/>
      <c r="BF305" s="219"/>
      <c r="BG305" s="219"/>
      <c r="BH305" s="219"/>
      <c r="BI305" s="219"/>
      <c r="BJ305" s="219"/>
      <c r="BK305" s="219"/>
      <c r="BL305" s="219"/>
      <c r="BM305" s="219"/>
    </row>
    <row r="306" spans="1:65">
      <c r="A306" s="219"/>
      <c r="B306" s="219"/>
      <c r="C306" s="219"/>
      <c r="D306" s="219"/>
      <c r="E306" s="219"/>
      <c r="F306" s="219"/>
      <c r="G306" s="219"/>
      <c r="H306" s="219"/>
      <c r="I306" s="219"/>
      <c r="J306" s="219"/>
      <c r="K306" s="219"/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  <c r="AO306" s="219"/>
      <c r="AP306" s="219"/>
      <c r="AQ306" s="219"/>
      <c r="AR306" s="219"/>
      <c r="AS306" s="219"/>
      <c r="AT306" s="219"/>
      <c r="AU306" s="219"/>
      <c r="AV306" s="219"/>
      <c r="AW306" s="219"/>
      <c r="AX306" s="219"/>
      <c r="AY306" s="219"/>
      <c r="AZ306" s="219"/>
      <c r="BA306" s="219"/>
      <c r="BB306" s="219"/>
      <c r="BC306" s="219"/>
      <c r="BD306" s="219"/>
      <c r="BE306" s="219"/>
      <c r="BF306" s="219"/>
      <c r="BG306" s="219"/>
      <c r="BH306" s="219"/>
      <c r="BI306" s="219"/>
      <c r="BJ306" s="219"/>
      <c r="BK306" s="219"/>
      <c r="BL306" s="219"/>
      <c r="BM306" s="219"/>
    </row>
    <row r="307" spans="1:65">
      <c r="A307" s="219"/>
      <c r="B307" s="219"/>
      <c r="C307" s="219"/>
      <c r="D307" s="219"/>
      <c r="E307" s="219"/>
      <c r="F307" s="219"/>
      <c r="G307" s="219"/>
      <c r="H307" s="219"/>
      <c r="I307" s="219"/>
      <c r="J307" s="219"/>
      <c r="K307" s="219"/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  <c r="AO307" s="219"/>
      <c r="AP307" s="219"/>
      <c r="AQ307" s="219"/>
      <c r="AR307" s="219"/>
      <c r="AS307" s="219"/>
      <c r="AT307" s="219"/>
      <c r="AU307" s="219"/>
      <c r="AV307" s="219"/>
      <c r="AW307" s="219"/>
      <c r="AX307" s="219"/>
      <c r="AY307" s="219"/>
      <c r="AZ307" s="219"/>
      <c r="BA307" s="219"/>
      <c r="BB307" s="219"/>
      <c r="BC307" s="219"/>
      <c r="BD307" s="219"/>
      <c r="BE307" s="219"/>
      <c r="BF307" s="219"/>
      <c r="BG307" s="219"/>
      <c r="BH307" s="219"/>
      <c r="BI307" s="219"/>
      <c r="BJ307" s="219"/>
      <c r="BK307" s="219"/>
      <c r="BL307" s="219"/>
      <c r="BM307" s="219"/>
    </row>
    <row r="308" spans="1:65">
      <c r="A308" s="219"/>
      <c r="B308" s="219"/>
      <c r="C308" s="219"/>
      <c r="D308" s="219"/>
      <c r="E308" s="219"/>
      <c r="F308" s="219"/>
      <c r="G308" s="219"/>
      <c r="H308" s="219"/>
      <c r="I308" s="219"/>
      <c r="J308" s="219"/>
      <c r="K308" s="219"/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  <c r="AO308" s="219"/>
      <c r="AP308" s="219"/>
      <c r="AQ308" s="219"/>
      <c r="AR308" s="219"/>
      <c r="AS308" s="219"/>
      <c r="AT308" s="219"/>
      <c r="AU308" s="219"/>
      <c r="AV308" s="219"/>
      <c r="AW308" s="219"/>
      <c r="AX308" s="219"/>
      <c r="AY308" s="219"/>
      <c r="AZ308" s="219"/>
      <c r="BA308" s="219"/>
      <c r="BB308" s="219"/>
      <c r="BC308" s="219"/>
      <c r="BD308" s="219"/>
      <c r="BE308" s="219"/>
      <c r="BF308" s="219"/>
      <c r="BG308" s="219"/>
      <c r="BH308" s="219"/>
      <c r="BI308" s="219"/>
      <c r="BJ308" s="219"/>
      <c r="BK308" s="219"/>
      <c r="BL308" s="219"/>
      <c r="BM308" s="219"/>
    </row>
    <row r="309" spans="1:65">
      <c r="A309" s="219"/>
      <c r="B309" s="219"/>
      <c r="C309" s="219"/>
      <c r="D309" s="219"/>
      <c r="E309" s="219"/>
      <c r="F309" s="219"/>
      <c r="G309" s="219"/>
      <c r="H309" s="219"/>
      <c r="I309" s="219"/>
      <c r="J309" s="219"/>
      <c r="K309" s="219"/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  <c r="AO309" s="219"/>
      <c r="AP309" s="219"/>
      <c r="AQ309" s="219"/>
      <c r="AR309" s="219"/>
      <c r="AS309" s="219"/>
      <c r="AT309" s="219"/>
      <c r="AU309" s="219"/>
      <c r="AV309" s="219"/>
      <c r="AW309" s="219"/>
      <c r="AX309" s="219"/>
      <c r="AY309" s="219"/>
      <c r="AZ309" s="219"/>
      <c r="BA309" s="219"/>
      <c r="BB309" s="219"/>
      <c r="BC309" s="219"/>
      <c r="BD309" s="219"/>
      <c r="BE309" s="219"/>
      <c r="BF309" s="219"/>
      <c r="BG309" s="219"/>
      <c r="BH309" s="219"/>
      <c r="BI309" s="219"/>
      <c r="BJ309" s="219"/>
      <c r="BK309" s="219"/>
      <c r="BL309" s="219"/>
      <c r="BM309" s="219"/>
    </row>
    <row r="310" spans="1:65">
      <c r="A310" s="219"/>
      <c r="B310" s="219"/>
      <c r="C310" s="219"/>
      <c r="D310" s="219"/>
      <c r="E310" s="219"/>
      <c r="F310" s="219"/>
      <c r="G310" s="219"/>
      <c r="H310" s="219"/>
      <c r="I310" s="219"/>
      <c r="J310" s="219"/>
      <c r="K310" s="219"/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  <c r="AO310" s="219"/>
      <c r="AP310" s="219"/>
      <c r="AQ310" s="219"/>
      <c r="AR310" s="219"/>
      <c r="AS310" s="219"/>
      <c r="AT310" s="219"/>
      <c r="AU310" s="219"/>
      <c r="AV310" s="219"/>
      <c r="AW310" s="219"/>
      <c r="AX310" s="219"/>
      <c r="AY310" s="219"/>
      <c r="AZ310" s="219"/>
      <c r="BA310" s="219"/>
      <c r="BB310" s="219"/>
      <c r="BC310" s="219"/>
      <c r="BD310" s="219"/>
      <c r="BE310" s="219"/>
      <c r="BF310" s="219"/>
      <c r="BG310" s="219"/>
      <c r="BH310" s="219"/>
      <c r="BI310" s="219"/>
      <c r="BJ310" s="219"/>
      <c r="BK310" s="219"/>
      <c r="BL310" s="219"/>
      <c r="BM310" s="219"/>
    </row>
    <row r="311" spans="1:65">
      <c r="A311" s="219"/>
      <c r="B311" s="219"/>
      <c r="C311" s="219"/>
      <c r="D311" s="219"/>
      <c r="E311" s="219"/>
      <c r="F311" s="219"/>
      <c r="G311" s="219"/>
      <c r="H311" s="219"/>
      <c r="I311" s="219"/>
      <c r="J311" s="219"/>
      <c r="K311" s="219"/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219"/>
      <c r="AV311" s="219"/>
      <c r="AW311" s="219"/>
      <c r="AX311" s="219"/>
      <c r="AY311" s="219"/>
      <c r="AZ311" s="219"/>
      <c r="BA311" s="219"/>
      <c r="BB311" s="219"/>
      <c r="BC311" s="219"/>
      <c r="BD311" s="219"/>
      <c r="BE311" s="219"/>
      <c r="BF311" s="219"/>
      <c r="BG311" s="219"/>
      <c r="BH311" s="219"/>
      <c r="BI311" s="219"/>
      <c r="BJ311" s="219"/>
      <c r="BK311" s="219"/>
      <c r="BL311" s="219"/>
      <c r="BM311" s="219"/>
    </row>
    <row r="312" spans="1:65">
      <c r="A312" s="219"/>
      <c r="B312" s="219"/>
      <c r="C312" s="219"/>
      <c r="D312" s="219"/>
      <c r="E312" s="219"/>
      <c r="F312" s="219"/>
      <c r="G312" s="219"/>
      <c r="H312" s="219"/>
      <c r="I312" s="219"/>
      <c r="J312" s="219"/>
      <c r="K312" s="219"/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  <c r="AO312" s="219"/>
      <c r="AP312" s="219"/>
      <c r="AQ312" s="219"/>
      <c r="AR312" s="219"/>
      <c r="AS312" s="219"/>
      <c r="AT312" s="219"/>
      <c r="AU312" s="219"/>
      <c r="AV312" s="219"/>
      <c r="AW312" s="219"/>
      <c r="AX312" s="219"/>
      <c r="AY312" s="219"/>
      <c r="AZ312" s="219"/>
      <c r="BA312" s="219"/>
      <c r="BB312" s="219"/>
      <c r="BC312" s="219"/>
      <c r="BD312" s="219"/>
      <c r="BE312" s="219"/>
      <c r="BF312" s="219"/>
      <c r="BG312" s="219"/>
      <c r="BH312" s="219"/>
      <c r="BI312" s="219"/>
      <c r="BJ312" s="219"/>
      <c r="BK312" s="219"/>
      <c r="BL312" s="219"/>
      <c r="BM312" s="219"/>
    </row>
    <row r="313" spans="1:65">
      <c r="A313" s="219"/>
      <c r="B313" s="219"/>
      <c r="C313" s="219"/>
      <c r="D313" s="219"/>
      <c r="E313" s="219"/>
      <c r="F313" s="219"/>
      <c r="G313" s="219"/>
      <c r="H313" s="219"/>
      <c r="I313" s="219"/>
      <c r="J313" s="219"/>
      <c r="K313" s="219"/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  <c r="AO313" s="219"/>
      <c r="AP313" s="219"/>
      <c r="AQ313" s="219"/>
      <c r="AR313" s="219"/>
      <c r="AS313" s="219"/>
      <c r="AT313" s="219"/>
      <c r="AU313" s="219"/>
      <c r="AV313" s="219"/>
      <c r="AW313" s="219"/>
      <c r="AX313" s="219"/>
      <c r="AY313" s="219"/>
      <c r="AZ313" s="219"/>
      <c r="BA313" s="219"/>
      <c r="BB313" s="219"/>
      <c r="BC313" s="219"/>
      <c r="BD313" s="219"/>
      <c r="BE313" s="219"/>
      <c r="BF313" s="219"/>
      <c r="BG313" s="219"/>
      <c r="BH313" s="219"/>
      <c r="BI313" s="219"/>
      <c r="BJ313" s="219"/>
      <c r="BK313" s="219"/>
      <c r="BL313" s="219"/>
      <c r="BM313" s="219"/>
    </row>
    <row r="314" spans="1:65">
      <c r="A314" s="219"/>
      <c r="B314" s="219"/>
      <c r="C314" s="219"/>
      <c r="D314" s="219"/>
      <c r="E314" s="219"/>
      <c r="F314" s="219"/>
      <c r="G314" s="219"/>
      <c r="H314" s="219"/>
      <c r="I314" s="219"/>
      <c r="J314" s="219"/>
      <c r="K314" s="219"/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19"/>
      <c r="AL314" s="219"/>
      <c r="AM314" s="219"/>
      <c r="AN314" s="219"/>
      <c r="AO314" s="219"/>
      <c r="AP314" s="219"/>
      <c r="AQ314" s="219"/>
      <c r="AR314" s="219"/>
      <c r="AS314" s="219"/>
      <c r="AT314" s="219"/>
      <c r="AU314" s="219"/>
      <c r="AV314" s="219"/>
      <c r="AW314" s="219"/>
      <c r="AX314" s="219"/>
      <c r="AY314" s="219"/>
      <c r="AZ314" s="219"/>
      <c r="BA314" s="219"/>
      <c r="BB314" s="219"/>
      <c r="BC314" s="219"/>
      <c r="BD314" s="219"/>
      <c r="BE314" s="219"/>
      <c r="BF314" s="219"/>
      <c r="BG314" s="219"/>
      <c r="BH314" s="219"/>
      <c r="BI314" s="219"/>
      <c r="BJ314" s="219"/>
      <c r="BK314" s="219"/>
      <c r="BL314" s="219"/>
      <c r="BM314" s="219"/>
    </row>
    <row r="315" spans="1:65">
      <c r="A315" s="219"/>
      <c r="B315" s="219"/>
      <c r="C315" s="219"/>
      <c r="D315" s="219"/>
      <c r="E315" s="219"/>
      <c r="F315" s="219"/>
      <c r="G315" s="219"/>
      <c r="H315" s="219"/>
      <c r="I315" s="219"/>
      <c r="J315" s="219"/>
      <c r="K315" s="219"/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19"/>
      <c r="Z315" s="219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19"/>
      <c r="AL315" s="219"/>
      <c r="AM315" s="219"/>
      <c r="AN315" s="219"/>
      <c r="AO315" s="219"/>
      <c r="AP315" s="219"/>
      <c r="AQ315" s="219"/>
      <c r="AR315" s="219"/>
      <c r="AS315" s="219"/>
      <c r="AT315" s="219"/>
      <c r="AU315" s="219"/>
      <c r="AV315" s="219"/>
      <c r="AW315" s="219"/>
      <c r="AX315" s="219"/>
      <c r="AY315" s="219"/>
      <c r="AZ315" s="219"/>
      <c r="BA315" s="219"/>
      <c r="BB315" s="219"/>
      <c r="BC315" s="219"/>
      <c r="BD315" s="219"/>
      <c r="BE315" s="219"/>
      <c r="BF315" s="219"/>
      <c r="BG315" s="219"/>
      <c r="BH315" s="219"/>
      <c r="BI315" s="219"/>
      <c r="BJ315" s="219"/>
      <c r="BK315" s="219"/>
      <c r="BL315" s="219"/>
      <c r="BM315" s="219"/>
    </row>
    <row r="316" spans="1:65">
      <c r="A316" s="219"/>
      <c r="B316" s="219"/>
      <c r="C316" s="219"/>
      <c r="D316" s="219"/>
      <c r="E316" s="219"/>
      <c r="F316" s="219"/>
      <c r="G316" s="219"/>
      <c r="H316" s="219"/>
      <c r="I316" s="219"/>
      <c r="J316" s="219"/>
      <c r="K316" s="219"/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19"/>
      <c r="Z316" s="219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19"/>
      <c r="AL316" s="219"/>
      <c r="AM316" s="219"/>
      <c r="AN316" s="219"/>
      <c r="AO316" s="219"/>
      <c r="AP316" s="219"/>
      <c r="AQ316" s="219"/>
      <c r="AR316" s="219"/>
      <c r="AS316" s="219"/>
      <c r="AT316" s="219"/>
      <c r="AU316" s="219"/>
      <c r="AV316" s="219"/>
      <c r="AW316" s="219"/>
      <c r="AX316" s="219"/>
      <c r="AY316" s="219"/>
      <c r="AZ316" s="219"/>
      <c r="BA316" s="219"/>
      <c r="BB316" s="219"/>
      <c r="BC316" s="219"/>
      <c r="BD316" s="219"/>
      <c r="BE316" s="219"/>
      <c r="BF316" s="219"/>
      <c r="BG316" s="219"/>
      <c r="BH316" s="219"/>
      <c r="BI316" s="219"/>
      <c r="BJ316" s="219"/>
      <c r="BK316" s="219"/>
      <c r="BL316" s="219"/>
      <c r="BM316" s="219"/>
    </row>
    <row r="317" spans="1:65">
      <c r="A317" s="219"/>
      <c r="B317" s="219"/>
      <c r="C317" s="219"/>
      <c r="D317" s="219"/>
      <c r="E317" s="219"/>
      <c r="F317" s="219"/>
      <c r="G317" s="219"/>
      <c r="H317" s="219"/>
      <c r="I317" s="219"/>
      <c r="J317" s="219"/>
      <c r="K317" s="219"/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19"/>
      <c r="AL317" s="219"/>
      <c r="AM317" s="219"/>
      <c r="AN317" s="219"/>
      <c r="AO317" s="219"/>
      <c r="AP317" s="219"/>
      <c r="AQ317" s="219"/>
      <c r="AR317" s="219"/>
      <c r="AS317" s="219"/>
      <c r="AT317" s="219"/>
      <c r="AU317" s="219"/>
      <c r="AV317" s="219"/>
      <c r="AW317" s="219"/>
      <c r="AX317" s="219"/>
      <c r="AY317" s="219"/>
      <c r="AZ317" s="219"/>
      <c r="BA317" s="219"/>
      <c r="BB317" s="219"/>
      <c r="BC317" s="219"/>
      <c r="BD317" s="219"/>
      <c r="BE317" s="219"/>
      <c r="BF317" s="219"/>
      <c r="BG317" s="219"/>
      <c r="BH317" s="219"/>
      <c r="BI317" s="219"/>
      <c r="BJ317" s="219"/>
      <c r="BK317" s="219"/>
      <c r="BL317" s="219"/>
      <c r="BM317" s="219"/>
    </row>
    <row r="318" spans="1:65">
      <c r="A318" s="219"/>
      <c r="B318" s="219"/>
      <c r="C318" s="219"/>
      <c r="D318" s="219"/>
      <c r="E318" s="219"/>
      <c r="F318" s="219"/>
      <c r="G318" s="219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  <c r="AO318" s="219"/>
      <c r="AP318" s="219"/>
      <c r="AQ318" s="219"/>
      <c r="AR318" s="219"/>
      <c r="AS318" s="219"/>
      <c r="AT318" s="219"/>
      <c r="AU318" s="219"/>
      <c r="AV318" s="219"/>
      <c r="AW318" s="219"/>
      <c r="AX318" s="219"/>
      <c r="AY318" s="219"/>
      <c r="AZ318" s="219"/>
      <c r="BA318" s="219"/>
      <c r="BB318" s="219"/>
      <c r="BC318" s="219"/>
      <c r="BD318" s="219"/>
      <c r="BE318" s="219"/>
      <c r="BF318" s="219"/>
      <c r="BG318" s="219"/>
      <c r="BH318" s="219"/>
      <c r="BI318" s="219"/>
      <c r="BJ318" s="219"/>
      <c r="BK318" s="219"/>
      <c r="BL318" s="219"/>
      <c r="BM318" s="219"/>
    </row>
    <row r="319" spans="1:65">
      <c r="A319" s="219"/>
      <c r="B319" s="219"/>
      <c r="C319" s="219"/>
      <c r="D319" s="219"/>
      <c r="E319" s="219"/>
      <c r="F319" s="219"/>
      <c r="G319" s="219"/>
      <c r="H319" s="219"/>
      <c r="I319" s="219"/>
      <c r="J319" s="219"/>
      <c r="K319" s="219"/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  <c r="AO319" s="219"/>
      <c r="AP319" s="219"/>
      <c r="AQ319" s="219"/>
      <c r="AR319" s="219"/>
      <c r="AS319" s="219"/>
      <c r="AT319" s="219"/>
      <c r="AU319" s="219"/>
      <c r="AV319" s="219"/>
      <c r="AW319" s="219"/>
      <c r="AX319" s="219"/>
      <c r="AY319" s="219"/>
      <c r="AZ319" s="219"/>
      <c r="BA319" s="219"/>
      <c r="BB319" s="219"/>
      <c r="BC319" s="219"/>
      <c r="BD319" s="219"/>
      <c r="BE319" s="219"/>
      <c r="BF319" s="219"/>
      <c r="BG319" s="219"/>
      <c r="BH319" s="219"/>
      <c r="BI319" s="219"/>
      <c r="BJ319" s="219"/>
      <c r="BK319" s="219"/>
      <c r="BL319" s="219"/>
      <c r="BM319" s="219"/>
    </row>
    <row r="320" spans="1:65">
      <c r="A320" s="219"/>
      <c r="B320" s="219"/>
      <c r="C320" s="219"/>
      <c r="D320" s="219"/>
      <c r="E320" s="219"/>
      <c r="F320" s="219"/>
      <c r="G320" s="219"/>
      <c r="H320" s="219"/>
      <c r="I320" s="219"/>
      <c r="J320" s="219"/>
      <c r="K320" s="219"/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19"/>
      <c r="Z320" s="219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19"/>
      <c r="AL320" s="219"/>
      <c r="AM320" s="219"/>
      <c r="AN320" s="219"/>
      <c r="AO320" s="219"/>
      <c r="AP320" s="219"/>
      <c r="AQ320" s="219"/>
      <c r="AR320" s="219"/>
      <c r="AS320" s="219"/>
      <c r="AT320" s="219"/>
      <c r="AU320" s="219"/>
      <c r="AV320" s="219"/>
      <c r="AW320" s="219"/>
      <c r="AX320" s="219"/>
      <c r="AY320" s="219"/>
      <c r="AZ320" s="219"/>
      <c r="BA320" s="219"/>
      <c r="BB320" s="219"/>
      <c r="BC320" s="219"/>
      <c r="BD320" s="219"/>
      <c r="BE320" s="219"/>
      <c r="BF320" s="219"/>
      <c r="BG320" s="219"/>
      <c r="BH320" s="219"/>
      <c r="BI320" s="219"/>
      <c r="BJ320" s="219"/>
      <c r="BK320" s="219"/>
      <c r="BL320" s="219"/>
      <c r="BM320" s="219"/>
    </row>
    <row r="321" spans="1:65">
      <c r="A321" s="219"/>
      <c r="B321" s="219"/>
      <c r="C321" s="219"/>
      <c r="D321" s="219"/>
      <c r="E321" s="219"/>
      <c r="F321" s="219"/>
      <c r="G321" s="219"/>
      <c r="H321" s="219"/>
      <c r="I321" s="219"/>
      <c r="J321" s="219"/>
      <c r="K321" s="219"/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19"/>
      <c r="Z321" s="219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19"/>
      <c r="AL321" s="219"/>
      <c r="AM321" s="219"/>
      <c r="AN321" s="219"/>
      <c r="AO321" s="219"/>
      <c r="AP321" s="219"/>
      <c r="AQ321" s="219"/>
      <c r="AR321" s="219"/>
      <c r="AS321" s="219"/>
      <c r="AT321" s="219"/>
      <c r="AU321" s="219"/>
      <c r="AV321" s="219"/>
      <c r="AW321" s="219"/>
      <c r="AX321" s="219"/>
      <c r="AY321" s="219"/>
      <c r="AZ321" s="219"/>
      <c r="BA321" s="219"/>
      <c r="BB321" s="219"/>
      <c r="BC321" s="219"/>
      <c r="BD321" s="219"/>
      <c r="BE321" s="219"/>
      <c r="BF321" s="219"/>
      <c r="BG321" s="219"/>
      <c r="BH321" s="219"/>
      <c r="BI321" s="219"/>
      <c r="BJ321" s="219"/>
      <c r="BK321" s="219"/>
      <c r="BL321" s="219"/>
      <c r="BM321" s="219"/>
    </row>
    <row r="322" spans="1:65">
      <c r="A322" s="219"/>
      <c r="B322" s="219"/>
      <c r="C322" s="219"/>
      <c r="D322" s="219"/>
      <c r="E322" s="219"/>
      <c r="F322" s="219"/>
      <c r="G322" s="219"/>
      <c r="H322" s="219"/>
      <c r="I322" s="219"/>
      <c r="J322" s="219"/>
      <c r="K322" s="219"/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19"/>
      <c r="AL322" s="219"/>
      <c r="AM322" s="219"/>
      <c r="AN322" s="219"/>
      <c r="AO322" s="219"/>
      <c r="AP322" s="219"/>
      <c r="AQ322" s="219"/>
      <c r="AR322" s="219"/>
      <c r="AS322" s="219"/>
      <c r="AT322" s="219"/>
      <c r="AU322" s="219"/>
      <c r="AV322" s="219"/>
      <c r="AW322" s="219"/>
      <c r="AX322" s="219"/>
      <c r="AY322" s="219"/>
      <c r="AZ322" s="219"/>
      <c r="BA322" s="219"/>
      <c r="BB322" s="219"/>
      <c r="BC322" s="219"/>
      <c r="BD322" s="219"/>
      <c r="BE322" s="219"/>
      <c r="BF322" s="219"/>
      <c r="BG322" s="219"/>
      <c r="BH322" s="219"/>
      <c r="BI322" s="219"/>
      <c r="BJ322" s="219"/>
      <c r="BK322" s="219"/>
      <c r="BL322" s="219"/>
      <c r="BM322" s="219"/>
    </row>
    <row r="323" spans="1:65">
      <c r="A323" s="219"/>
      <c r="B323" s="219"/>
      <c r="C323" s="219"/>
      <c r="D323" s="219"/>
      <c r="E323" s="219"/>
      <c r="F323" s="219"/>
      <c r="G323" s="219"/>
      <c r="H323" s="219"/>
      <c r="I323" s="219"/>
      <c r="J323" s="219"/>
      <c r="K323" s="219"/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19"/>
      <c r="Z323" s="219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19"/>
      <c r="AL323" s="219"/>
      <c r="AM323" s="219"/>
      <c r="AN323" s="219"/>
      <c r="AO323" s="219"/>
      <c r="AP323" s="219"/>
      <c r="AQ323" s="219"/>
      <c r="AR323" s="219"/>
      <c r="AS323" s="219"/>
      <c r="AT323" s="219"/>
      <c r="AU323" s="219"/>
      <c r="AV323" s="219"/>
      <c r="AW323" s="219"/>
      <c r="AX323" s="219"/>
      <c r="AY323" s="219"/>
      <c r="AZ323" s="219"/>
      <c r="BA323" s="219"/>
      <c r="BB323" s="219"/>
      <c r="BC323" s="219"/>
      <c r="BD323" s="219"/>
      <c r="BE323" s="219"/>
      <c r="BF323" s="219"/>
      <c r="BG323" s="219"/>
      <c r="BH323" s="219"/>
      <c r="BI323" s="219"/>
      <c r="BJ323" s="219"/>
      <c r="BK323" s="219"/>
      <c r="BL323" s="219"/>
      <c r="BM323" s="219"/>
    </row>
    <row r="324" spans="1:65">
      <c r="A324" s="219"/>
      <c r="B324" s="219"/>
      <c r="C324" s="219"/>
      <c r="D324" s="219"/>
      <c r="E324" s="219"/>
      <c r="F324" s="219"/>
      <c r="G324" s="219"/>
      <c r="H324" s="219"/>
      <c r="I324" s="219"/>
      <c r="J324" s="219"/>
      <c r="K324" s="219"/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19"/>
      <c r="AL324" s="219"/>
      <c r="AM324" s="219"/>
      <c r="AN324" s="219"/>
      <c r="AO324" s="219"/>
      <c r="AP324" s="219"/>
      <c r="AQ324" s="219"/>
      <c r="AR324" s="219"/>
      <c r="AS324" s="219"/>
      <c r="AT324" s="219"/>
      <c r="AU324" s="219"/>
      <c r="AV324" s="219"/>
      <c r="AW324" s="219"/>
      <c r="AX324" s="219"/>
      <c r="AY324" s="219"/>
      <c r="AZ324" s="219"/>
      <c r="BA324" s="219"/>
      <c r="BB324" s="219"/>
      <c r="BC324" s="219"/>
      <c r="BD324" s="219"/>
      <c r="BE324" s="219"/>
      <c r="BF324" s="219"/>
      <c r="BG324" s="219"/>
      <c r="BH324" s="219"/>
      <c r="BI324" s="219"/>
      <c r="BJ324" s="219"/>
      <c r="BK324" s="219"/>
      <c r="BL324" s="219"/>
      <c r="BM324" s="219"/>
    </row>
    <row r="325" spans="1:65">
      <c r="A325" s="219"/>
      <c r="B325" s="219"/>
      <c r="C325" s="219"/>
      <c r="D325" s="219"/>
      <c r="E325" s="219"/>
      <c r="F325" s="219"/>
      <c r="G325" s="219"/>
      <c r="H325" s="219"/>
      <c r="I325" s="219"/>
      <c r="J325" s="219"/>
      <c r="K325" s="219"/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19"/>
      <c r="AL325" s="219"/>
      <c r="AM325" s="219"/>
      <c r="AN325" s="219"/>
      <c r="AO325" s="219"/>
      <c r="AP325" s="219"/>
      <c r="AQ325" s="219"/>
      <c r="AR325" s="219"/>
      <c r="AS325" s="219"/>
      <c r="AT325" s="219"/>
      <c r="AU325" s="219"/>
      <c r="AV325" s="219"/>
      <c r="AW325" s="219"/>
      <c r="AX325" s="219"/>
      <c r="AY325" s="219"/>
      <c r="AZ325" s="219"/>
      <c r="BA325" s="219"/>
      <c r="BB325" s="219"/>
      <c r="BC325" s="219"/>
      <c r="BD325" s="219"/>
      <c r="BE325" s="219"/>
      <c r="BF325" s="219"/>
      <c r="BG325" s="219"/>
      <c r="BH325" s="219"/>
      <c r="BI325" s="219"/>
      <c r="BJ325" s="219"/>
      <c r="BK325" s="219"/>
      <c r="BL325" s="219"/>
      <c r="BM325" s="219"/>
    </row>
    <row r="326" spans="1:65">
      <c r="A326" s="219"/>
      <c r="B326" s="219"/>
      <c r="C326" s="219"/>
      <c r="D326" s="219"/>
      <c r="E326" s="219"/>
      <c r="F326" s="219"/>
      <c r="G326" s="219"/>
      <c r="H326" s="219"/>
      <c r="I326" s="219"/>
      <c r="J326" s="219"/>
      <c r="K326" s="219"/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19"/>
      <c r="AL326" s="219"/>
      <c r="AM326" s="219"/>
      <c r="AN326" s="219"/>
      <c r="AO326" s="219"/>
      <c r="AP326" s="219"/>
      <c r="AQ326" s="219"/>
      <c r="AR326" s="219"/>
      <c r="AS326" s="219"/>
      <c r="AT326" s="219"/>
      <c r="AU326" s="219"/>
      <c r="AV326" s="219"/>
      <c r="AW326" s="219"/>
      <c r="AX326" s="219"/>
      <c r="AY326" s="219"/>
      <c r="AZ326" s="219"/>
      <c r="BA326" s="219"/>
      <c r="BB326" s="219"/>
      <c r="BC326" s="219"/>
      <c r="BD326" s="219"/>
      <c r="BE326" s="219"/>
      <c r="BF326" s="219"/>
      <c r="BG326" s="219"/>
      <c r="BH326" s="219"/>
      <c r="BI326" s="219"/>
      <c r="BJ326" s="219"/>
      <c r="BK326" s="219"/>
      <c r="BL326" s="219"/>
      <c r="BM326" s="219"/>
    </row>
    <row r="327" spans="1:65">
      <c r="A327" s="219"/>
      <c r="B327" s="219"/>
      <c r="C327" s="219"/>
      <c r="D327" s="219"/>
      <c r="E327" s="219"/>
      <c r="F327" s="219"/>
      <c r="G327" s="219"/>
      <c r="H327" s="219"/>
      <c r="I327" s="219"/>
      <c r="J327" s="219"/>
      <c r="K327" s="219"/>
      <c r="L327" s="219"/>
      <c r="M327" s="219"/>
      <c r="N327" s="219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19"/>
      <c r="AL327" s="219"/>
      <c r="AM327" s="219"/>
      <c r="AN327" s="219"/>
      <c r="AO327" s="219"/>
      <c r="AP327" s="219"/>
      <c r="AQ327" s="219"/>
      <c r="AR327" s="219"/>
      <c r="AS327" s="219"/>
      <c r="AT327" s="219"/>
      <c r="AU327" s="219"/>
      <c r="AV327" s="219"/>
      <c r="AW327" s="219"/>
      <c r="AX327" s="219"/>
      <c r="AY327" s="219"/>
      <c r="AZ327" s="219"/>
      <c r="BA327" s="219"/>
      <c r="BB327" s="219"/>
      <c r="BC327" s="219"/>
      <c r="BD327" s="219"/>
      <c r="BE327" s="219"/>
      <c r="BF327" s="219"/>
      <c r="BG327" s="219"/>
      <c r="BH327" s="219"/>
      <c r="BI327" s="219"/>
      <c r="BJ327" s="219"/>
      <c r="BK327" s="219"/>
      <c r="BL327" s="219"/>
      <c r="BM327" s="219"/>
    </row>
    <row r="328" spans="1:65">
      <c r="A328" s="219"/>
      <c r="B328" s="219"/>
      <c r="C328" s="219"/>
      <c r="D328" s="219"/>
      <c r="E328" s="219"/>
      <c r="F328" s="219"/>
      <c r="G328" s="219"/>
      <c r="H328" s="219"/>
      <c r="I328" s="219"/>
      <c r="J328" s="219"/>
      <c r="K328" s="219"/>
      <c r="L328" s="219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19"/>
      <c r="AL328" s="219"/>
      <c r="AM328" s="219"/>
      <c r="AN328" s="219"/>
      <c r="AO328" s="219"/>
      <c r="AP328" s="219"/>
      <c r="AQ328" s="219"/>
      <c r="AR328" s="219"/>
      <c r="AS328" s="219"/>
      <c r="AT328" s="219"/>
      <c r="AU328" s="219"/>
      <c r="AV328" s="219"/>
      <c r="AW328" s="219"/>
      <c r="AX328" s="219"/>
      <c r="AY328" s="219"/>
      <c r="AZ328" s="219"/>
      <c r="BA328" s="219"/>
      <c r="BB328" s="219"/>
      <c r="BC328" s="219"/>
      <c r="BD328" s="219"/>
      <c r="BE328" s="219"/>
      <c r="BF328" s="219"/>
      <c r="BG328" s="219"/>
      <c r="BH328" s="219"/>
      <c r="BI328" s="219"/>
      <c r="BJ328" s="219"/>
      <c r="BK328" s="219"/>
      <c r="BL328" s="219"/>
      <c r="BM328" s="219"/>
    </row>
    <row r="329" spans="1:65">
      <c r="A329" s="219"/>
      <c r="B329" s="219"/>
      <c r="C329" s="219"/>
      <c r="D329" s="219"/>
      <c r="E329" s="219"/>
      <c r="F329" s="219"/>
      <c r="G329" s="219"/>
      <c r="H329" s="219"/>
      <c r="I329" s="219"/>
      <c r="J329" s="219"/>
      <c r="K329" s="219"/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19"/>
      <c r="Z329" s="219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19"/>
      <c r="AL329" s="219"/>
      <c r="AM329" s="219"/>
      <c r="AN329" s="219"/>
      <c r="AO329" s="219"/>
      <c r="AP329" s="219"/>
      <c r="AQ329" s="219"/>
      <c r="AR329" s="219"/>
      <c r="AS329" s="219"/>
      <c r="AT329" s="219"/>
      <c r="AU329" s="219"/>
      <c r="AV329" s="219"/>
      <c r="AW329" s="219"/>
      <c r="AX329" s="219"/>
      <c r="AY329" s="219"/>
      <c r="AZ329" s="219"/>
      <c r="BA329" s="219"/>
      <c r="BB329" s="219"/>
      <c r="BC329" s="219"/>
      <c r="BD329" s="219"/>
      <c r="BE329" s="219"/>
      <c r="BF329" s="219"/>
      <c r="BG329" s="219"/>
      <c r="BH329" s="219"/>
      <c r="BI329" s="219"/>
      <c r="BJ329" s="219"/>
      <c r="BK329" s="219"/>
      <c r="BL329" s="219"/>
      <c r="BM329" s="219"/>
    </row>
    <row r="330" spans="1:65">
      <c r="A330" s="219"/>
      <c r="B330" s="219"/>
      <c r="C330" s="219"/>
      <c r="D330" s="219"/>
      <c r="E330" s="219"/>
      <c r="F330" s="219"/>
      <c r="G330" s="219"/>
      <c r="H330" s="219"/>
      <c r="I330" s="219"/>
      <c r="J330" s="219"/>
      <c r="K330" s="219"/>
      <c r="L330" s="219"/>
      <c r="M330" s="219"/>
      <c r="N330" s="219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19"/>
      <c r="Z330" s="219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19"/>
      <c r="AL330" s="219"/>
      <c r="AM330" s="219"/>
      <c r="AN330" s="219"/>
      <c r="AO330" s="219"/>
      <c r="AP330" s="219"/>
      <c r="AQ330" s="219"/>
      <c r="AR330" s="219"/>
      <c r="AS330" s="219"/>
      <c r="AT330" s="219"/>
      <c r="AU330" s="219"/>
      <c r="AV330" s="219"/>
      <c r="AW330" s="219"/>
      <c r="AX330" s="219"/>
      <c r="AY330" s="219"/>
      <c r="AZ330" s="219"/>
      <c r="BA330" s="219"/>
      <c r="BB330" s="219"/>
      <c r="BC330" s="219"/>
      <c r="BD330" s="219"/>
      <c r="BE330" s="219"/>
      <c r="BF330" s="219"/>
      <c r="BG330" s="219"/>
      <c r="BH330" s="219"/>
      <c r="BI330" s="219"/>
      <c r="BJ330" s="219"/>
      <c r="BK330" s="219"/>
      <c r="BL330" s="219"/>
      <c r="BM330" s="219"/>
    </row>
    <row r="331" spans="1:65">
      <c r="A331" s="219"/>
      <c r="B331" s="219"/>
      <c r="C331" s="219"/>
      <c r="D331" s="219"/>
      <c r="E331" s="219"/>
      <c r="F331" s="219"/>
      <c r="G331" s="219"/>
      <c r="H331" s="219"/>
      <c r="I331" s="219"/>
      <c r="J331" s="219"/>
      <c r="K331" s="219"/>
      <c r="L331" s="219"/>
      <c r="M331" s="219"/>
      <c r="N331" s="219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19"/>
      <c r="Z331" s="219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19"/>
      <c r="AL331" s="219"/>
      <c r="AM331" s="219"/>
      <c r="AN331" s="219"/>
      <c r="AO331" s="219"/>
      <c r="AP331" s="219"/>
      <c r="AQ331" s="219"/>
      <c r="AR331" s="219"/>
      <c r="AS331" s="219"/>
      <c r="AT331" s="219"/>
      <c r="AU331" s="219"/>
      <c r="AV331" s="219"/>
      <c r="AW331" s="219"/>
      <c r="AX331" s="219"/>
      <c r="AY331" s="219"/>
      <c r="AZ331" s="219"/>
      <c r="BA331" s="219"/>
      <c r="BB331" s="219"/>
      <c r="BC331" s="219"/>
      <c r="BD331" s="219"/>
      <c r="BE331" s="219"/>
      <c r="BF331" s="219"/>
      <c r="BG331" s="219"/>
      <c r="BH331" s="219"/>
      <c r="BI331" s="219"/>
      <c r="BJ331" s="219"/>
      <c r="BK331" s="219"/>
      <c r="BL331" s="219"/>
      <c r="BM331" s="219"/>
    </row>
    <row r="332" spans="1:65">
      <c r="A332" s="219"/>
      <c r="B332" s="219"/>
      <c r="C332" s="219"/>
      <c r="D332" s="219"/>
      <c r="E332" s="219"/>
      <c r="F332" s="219"/>
      <c r="G332" s="219"/>
      <c r="H332" s="219"/>
      <c r="I332" s="219"/>
      <c r="J332" s="219"/>
      <c r="K332" s="219"/>
      <c r="L332" s="219"/>
      <c r="M332" s="219"/>
      <c r="N332" s="219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19"/>
      <c r="Z332" s="219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19"/>
      <c r="AL332" s="219"/>
      <c r="AM332" s="219"/>
      <c r="AN332" s="219"/>
      <c r="AO332" s="219"/>
      <c r="AP332" s="219"/>
      <c r="AQ332" s="219"/>
      <c r="AR332" s="219"/>
      <c r="AS332" s="219"/>
      <c r="AT332" s="219"/>
      <c r="AU332" s="219"/>
      <c r="AV332" s="219"/>
      <c r="AW332" s="219"/>
      <c r="AX332" s="219"/>
      <c r="AY332" s="219"/>
      <c r="AZ332" s="219"/>
      <c r="BA332" s="219"/>
      <c r="BB332" s="219"/>
      <c r="BC332" s="219"/>
      <c r="BD332" s="219"/>
      <c r="BE332" s="219"/>
      <c r="BF332" s="219"/>
      <c r="BG332" s="219"/>
      <c r="BH332" s="219"/>
      <c r="BI332" s="219"/>
      <c r="BJ332" s="219"/>
      <c r="BK332" s="219"/>
      <c r="BL332" s="219"/>
      <c r="BM332" s="219"/>
    </row>
    <row r="333" spans="1:65">
      <c r="A333" s="219"/>
      <c r="B333" s="219"/>
      <c r="C333" s="219"/>
      <c r="D333" s="219"/>
      <c r="E333" s="219"/>
      <c r="F333" s="219"/>
      <c r="G333" s="219"/>
      <c r="H333" s="219"/>
      <c r="I333" s="219"/>
      <c r="J333" s="219"/>
      <c r="K333" s="219"/>
      <c r="L333" s="219"/>
      <c r="M333" s="219"/>
      <c r="N333" s="219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19"/>
      <c r="Z333" s="219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19"/>
      <c r="AL333" s="219"/>
      <c r="AM333" s="219"/>
      <c r="AN333" s="219"/>
      <c r="AO333" s="219"/>
      <c r="AP333" s="219"/>
      <c r="AQ333" s="219"/>
      <c r="AR333" s="219"/>
      <c r="AS333" s="219"/>
      <c r="AT333" s="219"/>
      <c r="AU333" s="219"/>
      <c r="AV333" s="219"/>
      <c r="AW333" s="219"/>
      <c r="AX333" s="219"/>
      <c r="AY333" s="219"/>
      <c r="AZ333" s="219"/>
      <c r="BA333" s="219"/>
      <c r="BB333" s="219"/>
      <c r="BC333" s="219"/>
      <c r="BD333" s="219"/>
      <c r="BE333" s="219"/>
      <c r="BF333" s="219"/>
      <c r="BG333" s="219"/>
      <c r="BH333" s="219"/>
      <c r="BI333" s="219"/>
      <c r="BJ333" s="219"/>
      <c r="BK333" s="219"/>
      <c r="BL333" s="219"/>
      <c r="BM333" s="219"/>
    </row>
    <row r="334" spans="1:65">
      <c r="A334" s="219"/>
      <c r="B334" s="219"/>
      <c r="C334" s="219"/>
      <c r="D334" s="219"/>
      <c r="E334" s="219"/>
      <c r="F334" s="219"/>
      <c r="G334" s="219"/>
      <c r="H334" s="219"/>
      <c r="I334" s="219"/>
      <c r="J334" s="219"/>
      <c r="K334" s="219"/>
      <c r="L334" s="219"/>
      <c r="M334" s="219"/>
      <c r="N334" s="219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19"/>
      <c r="Z334" s="219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19"/>
      <c r="AL334" s="219"/>
      <c r="AM334" s="219"/>
      <c r="AN334" s="219"/>
      <c r="AO334" s="219"/>
      <c r="AP334" s="219"/>
      <c r="AQ334" s="219"/>
      <c r="AR334" s="219"/>
      <c r="AS334" s="219"/>
      <c r="AT334" s="219"/>
      <c r="AU334" s="219"/>
      <c r="AV334" s="219"/>
      <c r="AW334" s="219"/>
      <c r="AX334" s="219"/>
      <c r="AY334" s="219"/>
      <c r="AZ334" s="219"/>
      <c r="BA334" s="219"/>
      <c r="BB334" s="219"/>
      <c r="BC334" s="219"/>
      <c r="BD334" s="219"/>
      <c r="BE334" s="219"/>
      <c r="BF334" s="219"/>
      <c r="BG334" s="219"/>
      <c r="BH334" s="219"/>
      <c r="BI334" s="219"/>
      <c r="BJ334" s="219"/>
      <c r="BK334" s="219"/>
      <c r="BL334" s="219"/>
      <c r="BM334" s="219"/>
    </row>
    <row r="335" spans="1:65">
      <c r="A335" s="219"/>
      <c r="B335" s="219"/>
      <c r="C335" s="219"/>
      <c r="D335" s="219"/>
      <c r="E335" s="219"/>
      <c r="F335" s="219"/>
      <c r="G335" s="219"/>
      <c r="H335" s="219"/>
      <c r="I335" s="219"/>
      <c r="J335" s="219"/>
      <c r="K335" s="219"/>
      <c r="L335" s="219"/>
      <c r="M335" s="219"/>
      <c r="N335" s="219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19"/>
      <c r="Z335" s="219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19"/>
      <c r="AL335" s="219"/>
      <c r="AM335" s="219"/>
      <c r="AN335" s="219"/>
      <c r="AO335" s="219"/>
      <c r="AP335" s="219"/>
      <c r="AQ335" s="219"/>
      <c r="AR335" s="219"/>
      <c r="AS335" s="219"/>
      <c r="AT335" s="219"/>
      <c r="AU335" s="219"/>
      <c r="AV335" s="219"/>
      <c r="AW335" s="219"/>
      <c r="AX335" s="219"/>
      <c r="AY335" s="219"/>
      <c r="AZ335" s="219"/>
      <c r="BA335" s="219"/>
      <c r="BB335" s="219"/>
      <c r="BC335" s="219"/>
      <c r="BD335" s="219"/>
      <c r="BE335" s="219"/>
      <c r="BF335" s="219"/>
      <c r="BG335" s="219"/>
      <c r="BH335" s="219"/>
      <c r="BI335" s="219"/>
      <c r="BJ335" s="219"/>
      <c r="BK335" s="219"/>
      <c r="BL335" s="219"/>
      <c r="BM335" s="219"/>
    </row>
    <row r="336" spans="1:65">
      <c r="A336" s="219"/>
      <c r="B336" s="219"/>
      <c r="C336" s="219"/>
      <c r="D336" s="219"/>
      <c r="E336" s="219"/>
      <c r="F336" s="219"/>
      <c r="G336" s="219"/>
      <c r="H336" s="219"/>
      <c r="I336" s="219"/>
      <c r="J336" s="219"/>
      <c r="K336" s="219"/>
      <c r="L336" s="219"/>
      <c r="M336" s="219"/>
      <c r="N336" s="219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19"/>
      <c r="Z336" s="219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19"/>
      <c r="AL336" s="219"/>
      <c r="AM336" s="219"/>
      <c r="AN336" s="219"/>
      <c r="AO336" s="219"/>
      <c r="AP336" s="219"/>
      <c r="AQ336" s="219"/>
      <c r="AR336" s="219"/>
      <c r="AS336" s="219"/>
      <c r="AT336" s="219"/>
      <c r="AU336" s="219"/>
      <c r="AV336" s="219"/>
      <c r="AW336" s="219"/>
      <c r="AX336" s="219"/>
      <c r="AY336" s="219"/>
      <c r="AZ336" s="219"/>
      <c r="BA336" s="219"/>
      <c r="BB336" s="219"/>
      <c r="BC336" s="219"/>
      <c r="BD336" s="219"/>
      <c r="BE336" s="219"/>
      <c r="BF336" s="219"/>
      <c r="BG336" s="219"/>
      <c r="BH336" s="219"/>
      <c r="BI336" s="219"/>
      <c r="BJ336" s="219"/>
      <c r="BK336" s="219"/>
      <c r="BL336" s="219"/>
      <c r="BM336" s="219"/>
    </row>
    <row r="337" spans="1:65">
      <c r="A337" s="219"/>
      <c r="B337" s="219"/>
      <c r="C337" s="219"/>
      <c r="D337" s="219"/>
      <c r="E337" s="219"/>
      <c r="F337" s="219"/>
      <c r="G337" s="219"/>
      <c r="H337" s="219"/>
      <c r="I337" s="219"/>
      <c r="J337" s="219"/>
      <c r="K337" s="219"/>
      <c r="L337" s="219"/>
      <c r="M337" s="219"/>
      <c r="N337" s="219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19"/>
      <c r="Z337" s="219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19"/>
      <c r="AL337" s="219"/>
      <c r="AM337" s="219"/>
      <c r="AN337" s="219"/>
      <c r="AO337" s="219"/>
      <c r="AP337" s="219"/>
      <c r="AQ337" s="219"/>
      <c r="AR337" s="219"/>
      <c r="AS337" s="219"/>
      <c r="AT337" s="219"/>
      <c r="AU337" s="219"/>
      <c r="AV337" s="219"/>
      <c r="AW337" s="219"/>
      <c r="AX337" s="219"/>
      <c r="AY337" s="219"/>
      <c r="AZ337" s="219"/>
      <c r="BA337" s="219"/>
      <c r="BB337" s="219"/>
      <c r="BC337" s="219"/>
      <c r="BD337" s="219"/>
      <c r="BE337" s="219"/>
      <c r="BF337" s="219"/>
      <c r="BG337" s="219"/>
      <c r="BH337" s="219"/>
      <c r="BI337" s="219"/>
      <c r="BJ337" s="219"/>
      <c r="BK337" s="219"/>
      <c r="BL337" s="219"/>
      <c r="BM337" s="219"/>
    </row>
    <row r="338" spans="1:65">
      <c r="A338" s="219"/>
      <c r="B338" s="219"/>
      <c r="C338" s="219"/>
      <c r="D338" s="219"/>
      <c r="E338" s="219"/>
      <c r="F338" s="219"/>
      <c r="G338" s="219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19"/>
      <c r="Z338" s="219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19"/>
      <c r="AL338" s="219"/>
      <c r="AM338" s="219"/>
      <c r="AN338" s="219"/>
      <c r="AO338" s="219"/>
      <c r="AP338" s="219"/>
      <c r="AQ338" s="219"/>
      <c r="AR338" s="219"/>
      <c r="AS338" s="219"/>
      <c r="AT338" s="219"/>
      <c r="AU338" s="219"/>
      <c r="AV338" s="219"/>
      <c r="AW338" s="219"/>
      <c r="AX338" s="219"/>
      <c r="AY338" s="219"/>
      <c r="AZ338" s="219"/>
      <c r="BA338" s="219"/>
      <c r="BB338" s="219"/>
      <c r="BC338" s="219"/>
      <c r="BD338" s="219"/>
      <c r="BE338" s="219"/>
      <c r="BF338" s="219"/>
      <c r="BG338" s="219"/>
      <c r="BH338" s="219"/>
      <c r="BI338" s="219"/>
      <c r="BJ338" s="219"/>
      <c r="BK338" s="219"/>
      <c r="BL338" s="219"/>
      <c r="BM338" s="219"/>
    </row>
    <row r="339" spans="1:65">
      <c r="A339" s="219"/>
      <c r="B339" s="219"/>
      <c r="C339" s="219"/>
      <c r="D339" s="219"/>
      <c r="E339" s="219"/>
      <c r="F339" s="219"/>
      <c r="G339" s="219"/>
      <c r="H339" s="219"/>
      <c r="I339" s="219"/>
      <c r="J339" s="219"/>
      <c r="K339" s="219"/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19"/>
      <c r="AL339" s="219"/>
      <c r="AM339" s="219"/>
      <c r="AN339" s="219"/>
      <c r="AO339" s="219"/>
      <c r="AP339" s="219"/>
      <c r="AQ339" s="219"/>
      <c r="AR339" s="219"/>
      <c r="AS339" s="219"/>
      <c r="AT339" s="219"/>
      <c r="AU339" s="219"/>
      <c r="AV339" s="219"/>
      <c r="AW339" s="219"/>
      <c r="AX339" s="219"/>
      <c r="AY339" s="219"/>
      <c r="AZ339" s="219"/>
      <c r="BA339" s="219"/>
      <c r="BB339" s="219"/>
      <c r="BC339" s="219"/>
      <c r="BD339" s="219"/>
      <c r="BE339" s="219"/>
      <c r="BF339" s="219"/>
      <c r="BG339" s="219"/>
      <c r="BH339" s="219"/>
      <c r="BI339" s="219"/>
      <c r="BJ339" s="219"/>
      <c r="BK339" s="219"/>
      <c r="BL339" s="219"/>
      <c r="BM339" s="219"/>
    </row>
    <row r="340" spans="1:65">
      <c r="A340" s="219"/>
      <c r="B340" s="219"/>
      <c r="C340" s="219"/>
      <c r="D340" s="219"/>
      <c r="E340" s="219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19"/>
      <c r="Z340" s="219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19"/>
      <c r="AL340" s="219"/>
      <c r="AM340" s="219"/>
      <c r="AN340" s="219"/>
      <c r="AO340" s="219"/>
      <c r="AP340" s="219"/>
      <c r="AQ340" s="219"/>
      <c r="AR340" s="219"/>
      <c r="AS340" s="219"/>
      <c r="AT340" s="219"/>
      <c r="AU340" s="219"/>
      <c r="AV340" s="219"/>
      <c r="AW340" s="219"/>
      <c r="AX340" s="219"/>
      <c r="AY340" s="219"/>
      <c r="AZ340" s="219"/>
      <c r="BA340" s="219"/>
      <c r="BB340" s="219"/>
      <c r="BC340" s="219"/>
      <c r="BD340" s="219"/>
      <c r="BE340" s="219"/>
      <c r="BF340" s="219"/>
      <c r="BG340" s="219"/>
      <c r="BH340" s="219"/>
      <c r="BI340" s="219"/>
      <c r="BJ340" s="219"/>
      <c r="BK340" s="219"/>
      <c r="BL340" s="219"/>
      <c r="BM340" s="219"/>
    </row>
    <row r="341" spans="1:65">
      <c r="A341" s="219"/>
      <c r="B341" s="219"/>
      <c r="C341" s="219"/>
      <c r="D341" s="219"/>
      <c r="E341" s="219"/>
      <c r="F341" s="219"/>
      <c r="G341" s="219"/>
      <c r="H341" s="219"/>
      <c r="I341" s="219"/>
      <c r="J341" s="219"/>
      <c r="K341" s="219"/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19"/>
      <c r="Z341" s="219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19"/>
      <c r="AL341" s="219"/>
      <c r="AM341" s="219"/>
      <c r="AN341" s="219"/>
      <c r="AO341" s="219"/>
      <c r="AP341" s="219"/>
      <c r="AQ341" s="219"/>
      <c r="AR341" s="219"/>
      <c r="AS341" s="219"/>
      <c r="AT341" s="219"/>
      <c r="AU341" s="219"/>
      <c r="AV341" s="219"/>
      <c r="AW341" s="219"/>
      <c r="AX341" s="219"/>
      <c r="AY341" s="219"/>
      <c r="AZ341" s="219"/>
      <c r="BA341" s="219"/>
      <c r="BB341" s="219"/>
      <c r="BC341" s="219"/>
      <c r="BD341" s="219"/>
      <c r="BE341" s="219"/>
      <c r="BF341" s="219"/>
      <c r="BG341" s="219"/>
      <c r="BH341" s="219"/>
      <c r="BI341" s="219"/>
      <c r="BJ341" s="219"/>
      <c r="BK341" s="219"/>
      <c r="BL341" s="219"/>
      <c r="BM341" s="219"/>
    </row>
    <row r="342" spans="1:65">
      <c r="A342" s="219"/>
      <c r="B342" s="219"/>
      <c r="C342" s="219"/>
      <c r="D342" s="219"/>
      <c r="E342" s="219"/>
      <c r="F342" s="219"/>
      <c r="G342" s="219"/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19"/>
      <c r="Z342" s="219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19"/>
      <c r="AL342" s="219"/>
      <c r="AM342" s="219"/>
      <c r="AN342" s="219"/>
      <c r="AO342" s="219"/>
      <c r="AP342" s="219"/>
      <c r="AQ342" s="219"/>
      <c r="AR342" s="219"/>
      <c r="AS342" s="219"/>
      <c r="AT342" s="219"/>
      <c r="AU342" s="219"/>
      <c r="AV342" s="219"/>
      <c r="AW342" s="219"/>
      <c r="AX342" s="219"/>
      <c r="AY342" s="219"/>
      <c r="AZ342" s="219"/>
      <c r="BA342" s="219"/>
      <c r="BB342" s="219"/>
      <c r="BC342" s="219"/>
      <c r="BD342" s="219"/>
      <c r="BE342" s="219"/>
      <c r="BF342" s="219"/>
      <c r="BG342" s="219"/>
      <c r="BH342" s="219"/>
      <c r="BI342" s="219"/>
      <c r="BJ342" s="219"/>
      <c r="BK342" s="219"/>
      <c r="BL342" s="219"/>
      <c r="BM342" s="219"/>
    </row>
    <row r="343" spans="1:65">
      <c r="A343" s="219"/>
      <c r="B343" s="219"/>
      <c r="C343" s="219"/>
      <c r="D343" s="219"/>
      <c r="E343" s="219"/>
      <c r="F343" s="219"/>
      <c r="G343" s="219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19"/>
      <c r="Z343" s="219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19"/>
      <c r="AL343" s="219"/>
      <c r="AM343" s="219"/>
      <c r="AN343" s="219"/>
      <c r="AO343" s="219"/>
      <c r="AP343" s="219"/>
      <c r="AQ343" s="219"/>
      <c r="AR343" s="219"/>
      <c r="AS343" s="219"/>
      <c r="AT343" s="219"/>
      <c r="AU343" s="219"/>
      <c r="AV343" s="219"/>
      <c r="AW343" s="219"/>
      <c r="AX343" s="219"/>
      <c r="AY343" s="219"/>
      <c r="AZ343" s="219"/>
      <c r="BA343" s="219"/>
      <c r="BB343" s="219"/>
      <c r="BC343" s="219"/>
      <c r="BD343" s="219"/>
      <c r="BE343" s="219"/>
      <c r="BF343" s="219"/>
      <c r="BG343" s="219"/>
      <c r="BH343" s="219"/>
      <c r="BI343" s="219"/>
      <c r="BJ343" s="219"/>
      <c r="BK343" s="219"/>
      <c r="BL343" s="219"/>
      <c r="BM343" s="219"/>
    </row>
    <row r="344" spans="1:65">
      <c r="A344" s="219"/>
      <c r="B344" s="219"/>
      <c r="C344" s="219"/>
      <c r="D344" s="219"/>
      <c r="E344" s="219"/>
      <c r="F344" s="219"/>
      <c r="G344" s="219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19"/>
      <c r="Z344" s="219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19"/>
      <c r="AL344" s="219"/>
      <c r="AM344" s="219"/>
      <c r="AN344" s="219"/>
      <c r="AO344" s="219"/>
      <c r="AP344" s="219"/>
      <c r="AQ344" s="219"/>
      <c r="AR344" s="219"/>
      <c r="AS344" s="219"/>
      <c r="AT344" s="219"/>
      <c r="AU344" s="219"/>
      <c r="AV344" s="219"/>
      <c r="AW344" s="219"/>
      <c r="AX344" s="219"/>
      <c r="AY344" s="219"/>
      <c r="AZ344" s="219"/>
      <c r="BA344" s="219"/>
      <c r="BB344" s="219"/>
      <c r="BC344" s="219"/>
      <c r="BD344" s="219"/>
      <c r="BE344" s="219"/>
      <c r="BF344" s="219"/>
      <c r="BG344" s="219"/>
      <c r="BH344" s="219"/>
      <c r="BI344" s="219"/>
      <c r="BJ344" s="219"/>
      <c r="BK344" s="219"/>
      <c r="BL344" s="219"/>
      <c r="BM344" s="219"/>
    </row>
    <row r="345" spans="1:65">
      <c r="A345" s="219"/>
      <c r="B345" s="219"/>
      <c r="C345" s="219"/>
      <c r="D345" s="219"/>
      <c r="E345" s="219"/>
      <c r="F345" s="219"/>
      <c r="G345" s="219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19"/>
      <c r="Z345" s="219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19"/>
      <c r="AL345" s="219"/>
      <c r="AM345" s="219"/>
      <c r="AN345" s="219"/>
      <c r="AO345" s="219"/>
      <c r="AP345" s="219"/>
      <c r="AQ345" s="219"/>
      <c r="AR345" s="219"/>
      <c r="AS345" s="219"/>
      <c r="AT345" s="219"/>
      <c r="AU345" s="219"/>
      <c r="AV345" s="219"/>
      <c r="AW345" s="219"/>
      <c r="AX345" s="219"/>
      <c r="AY345" s="219"/>
      <c r="AZ345" s="219"/>
      <c r="BA345" s="219"/>
      <c r="BB345" s="219"/>
      <c r="BC345" s="219"/>
      <c r="BD345" s="219"/>
      <c r="BE345" s="219"/>
      <c r="BF345" s="219"/>
      <c r="BG345" s="219"/>
      <c r="BH345" s="219"/>
      <c r="BI345" s="219"/>
      <c r="BJ345" s="219"/>
      <c r="BK345" s="219"/>
      <c r="BL345" s="219"/>
      <c r="BM345" s="219"/>
    </row>
    <row r="346" spans="1:65">
      <c r="A346" s="219"/>
      <c r="B346" s="219"/>
      <c r="C346" s="219"/>
      <c r="D346" s="219"/>
      <c r="E346" s="219"/>
      <c r="F346" s="219"/>
      <c r="G346" s="219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19"/>
      <c r="Z346" s="219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19"/>
      <c r="AL346" s="219"/>
      <c r="AM346" s="219"/>
      <c r="AN346" s="219"/>
      <c r="AO346" s="219"/>
      <c r="AP346" s="219"/>
      <c r="AQ346" s="219"/>
      <c r="AR346" s="219"/>
      <c r="AS346" s="219"/>
      <c r="AT346" s="219"/>
      <c r="AU346" s="219"/>
      <c r="AV346" s="219"/>
      <c r="AW346" s="219"/>
      <c r="AX346" s="219"/>
      <c r="AY346" s="219"/>
      <c r="AZ346" s="219"/>
      <c r="BA346" s="219"/>
      <c r="BB346" s="219"/>
      <c r="BC346" s="219"/>
      <c r="BD346" s="219"/>
      <c r="BE346" s="219"/>
      <c r="BF346" s="219"/>
      <c r="BG346" s="219"/>
      <c r="BH346" s="219"/>
      <c r="BI346" s="219"/>
      <c r="BJ346" s="219"/>
      <c r="BK346" s="219"/>
      <c r="BL346" s="219"/>
      <c r="BM346" s="219"/>
    </row>
    <row r="347" spans="1:65">
      <c r="A347" s="219"/>
      <c r="B347" s="219"/>
      <c r="C347" s="219"/>
      <c r="D347" s="219"/>
      <c r="E347" s="219"/>
      <c r="F347" s="219"/>
      <c r="G347" s="219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19"/>
      <c r="Z347" s="219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19"/>
      <c r="AL347" s="219"/>
      <c r="AM347" s="219"/>
      <c r="AN347" s="219"/>
      <c r="AO347" s="219"/>
      <c r="AP347" s="219"/>
      <c r="AQ347" s="219"/>
      <c r="AR347" s="219"/>
      <c r="AS347" s="219"/>
      <c r="AT347" s="219"/>
      <c r="AU347" s="219"/>
      <c r="AV347" s="219"/>
      <c r="AW347" s="219"/>
      <c r="AX347" s="219"/>
      <c r="AY347" s="219"/>
      <c r="AZ347" s="219"/>
      <c r="BA347" s="219"/>
      <c r="BB347" s="219"/>
      <c r="BC347" s="219"/>
      <c r="BD347" s="219"/>
      <c r="BE347" s="219"/>
      <c r="BF347" s="219"/>
      <c r="BG347" s="219"/>
      <c r="BH347" s="219"/>
      <c r="BI347" s="219"/>
      <c r="BJ347" s="219"/>
      <c r="BK347" s="219"/>
      <c r="BL347" s="219"/>
      <c r="BM347" s="219"/>
    </row>
    <row r="348" spans="1:65">
      <c r="A348" s="219"/>
      <c r="B348" s="219"/>
      <c r="C348" s="219"/>
      <c r="D348" s="219"/>
      <c r="E348" s="219"/>
      <c r="F348" s="219"/>
      <c r="G348" s="219"/>
      <c r="H348" s="219"/>
      <c r="I348" s="219"/>
      <c r="J348" s="219"/>
      <c r="K348" s="219"/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19"/>
      <c r="Z348" s="219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19"/>
      <c r="AL348" s="219"/>
      <c r="AM348" s="219"/>
      <c r="AN348" s="219"/>
      <c r="AO348" s="219"/>
      <c r="AP348" s="219"/>
      <c r="AQ348" s="219"/>
      <c r="AR348" s="219"/>
      <c r="AS348" s="219"/>
      <c r="AT348" s="219"/>
      <c r="AU348" s="219"/>
      <c r="AV348" s="219"/>
      <c r="AW348" s="219"/>
      <c r="AX348" s="219"/>
      <c r="AY348" s="219"/>
      <c r="AZ348" s="219"/>
      <c r="BA348" s="219"/>
      <c r="BB348" s="219"/>
      <c r="BC348" s="219"/>
      <c r="BD348" s="219"/>
      <c r="BE348" s="219"/>
      <c r="BF348" s="219"/>
      <c r="BG348" s="219"/>
      <c r="BH348" s="219"/>
      <c r="BI348" s="219"/>
      <c r="BJ348" s="219"/>
      <c r="BK348" s="219"/>
      <c r="BL348" s="219"/>
      <c r="BM348" s="219"/>
    </row>
    <row r="349" spans="1:65">
      <c r="A349" s="219"/>
      <c r="B349" s="219"/>
      <c r="C349" s="219"/>
      <c r="D349" s="219"/>
      <c r="E349" s="219"/>
      <c r="F349" s="219"/>
      <c r="G349" s="219"/>
      <c r="H349" s="219"/>
      <c r="I349" s="219"/>
      <c r="J349" s="219"/>
      <c r="K349" s="219"/>
      <c r="L349" s="219"/>
      <c r="M349" s="219"/>
      <c r="N349" s="219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19"/>
      <c r="Z349" s="219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19"/>
      <c r="AL349" s="219"/>
      <c r="AM349" s="219"/>
      <c r="AN349" s="219"/>
      <c r="AO349" s="219"/>
      <c r="AP349" s="219"/>
      <c r="AQ349" s="219"/>
      <c r="AR349" s="219"/>
      <c r="AS349" s="219"/>
      <c r="AT349" s="219"/>
      <c r="AU349" s="219"/>
      <c r="AV349" s="219"/>
      <c r="AW349" s="219"/>
      <c r="AX349" s="219"/>
      <c r="AY349" s="219"/>
      <c r="AZ349" s="219"/>
      <c r="BA349" s="219"/>
      <c r="BB349" s="219"/>
      <c r="BC349" s="219"/>
      <c r="BD349" s="219"/>
      <c r="BE349" s="219"/>
      <c r="BF349" s="219"/>
      <c r="BG349" s="219"/>
      <c r="BH349" s="219"/>
      <c r="BI349" s="219"/>
      <c r="BJ349" s="219"/>
      <c r="BK349" s="219"/>
      <c r="BL349" s="219"/>
      <c r="BM349" s="219"/>
    </row>
    <row r="350" spans="1:65">
      <c r="A350" s="219"/>
      <c r="B350" s="219"/>
      <c r="C350" s="219"/>
      <c r="D350" s="219"/>
      <c r="E350" s="219"/>
      <c r="F350" s="219"/>
      <c r="G350" s="219"/>
      <c r="H350" s="219"/>
      <c r="I350" s="219"/>
      <c r="J350" s="219"/>
      <c r="K350" s="219"/>
      <c r="L350" s="219"/>
      <c r="M350" s="219"/>
      <c r="N350" s="219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19"/>
      <c r="Z350" s="219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19"/>
      <c r="AL350" s="219"/>
      <c r="AM350" s="219"/>
      <c r="AN350" s="219"/>
      <c r="AO350" s="219"/>
      <c r="AP350" s="219"/>
      <c r="AQ350" s="219"/>
      <c r="AR350" s="219"/>
      <c r="AS350" s="219"/>
      <c r="AT350" s="219"/>
      <c r="AU350" s="219"/>
      <c r="AV350" s="219"/>
      <c r="AW350" s="219"/>
      <c r="AX350" s="219"/>
      <c r="AY350" s="219"/>
      <c r="AZ350" s="219"/>
      <c r="BA350" s="219"/>
      <c r="BB350" s="219"/>
      <c r="BC350" s="219"/>
      <c r="BD350" s="219"/>
      <c r="BE350" s="219"/>
      <c r="BF350" s="219"/>
      <c r="BG350" s="219"/>
      <c r="BH350" s="219"/>
      <c r="BI350" s="219"/>
      <c r="BJ350" s="219"/>
      <c r="BK350" s="219"/>
      <c r="BL350" s="219"/>
      <c r="BM350" s="219"/>
    </row>
    <row r="351" spans="1:65">
      <c r="A351" s="219"/>
      <c r="B351" s="219"/>
      <c r="C351" s="219"/>
      <c r="D351" s="219"/>
      <c r="E351" s="219"/>
      <c r="F351" s="219"/>
      <c r="G351" s="219"/>
      <c r="H351" s="219"/>
      <c r="I351" s="219"/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19"/>
      <c r="AL351" s="219"/>
      <c r="AM351" s="219"/>
      <c r="AN351" s="219"/>
      <c r="AO351" s="219"/>
      <c r="AP351" s="219"/>
      <c r="AQ351" s="219"/>
      <c r="AR351" s="219"/>
      <c r="AS351" s="219"/>
      <c r="AT351" s="219"/>
      <c r="AU351" s="219"/>
      <c r="AV351" s="219"/>
      <c r="AW351" s="219"/>
      <c r="AX351" s="219"/>
      <c r="AY351" s="219"/>
      <c r="AZ351" s="219"/>
      <c r="BA351" s="219"/>
      <c r="BB351" s="219"/>
      <c r="BC351" s="219"/>
      <c r="BD351" s="219"/>
      <c r="BE351" s="219"/>
      <c r="BF351" s="219"/>
      <c r="BG351" s="219"/>
      <c r="BH351" s="219"/>
      <c r="BI351" s="219"/>
      <c r="BJ351" s="219"/>
      <c r="BK351" s="219"/>
      <c r="BL351" s="219"/>
      <c r="BM351" s="219"/>
    </row>
    <row r="352" spans="1:65">
      <c r="A352" s="219"/>
      <c r="B352" s="219"/>
      <c r="C352" s="219"/>
      <c r="D352" s="219"/>
      <c r="E352" s="219"/>
      <c r="F352" s="219"/>
      <c r="G352" s="219"/>
      <c r="H352" s="219"/>
      <c r="I352" s="219"/>
      <c r="J352" s="219"/>
      <c r="K352" s="219"/>
      <c r="L352" s="219"/>
      <c r="M352" s="219"/>
      <c r="N352" s="219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19"/>
      <c r="Z352" s="219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19"/>
      <c r="AL352" s="219"/>
      <c r="AM352" s="219"/>
      <c r="AN352" s="219"/>
      <c r="AO352" s="219"/>
      <c r="AP352" s="219"/>
      <c r="AQ352" s="219"/>
      <c r="AR352" s="219"/>
      <c r="AS352" s="219"/>
      <c r="AT352" s="219"/>
      <c r="AU352" s="219"/>
      <c r="AV352" s="219"/>
      <c r="AW352" s="219"/>
      <c r="AX352" s="219"/>
      <c r="AY352" s="219"/>
      <c r="AZ352" s="219"/>
      <c r="BA352" s="219"/>
      <c r="BB352" s="219"/>
      <c r="BC352" s="219"/>
      <c r="BD352" s="219"/>
      <c r="BE352" s="219"/>
      <c r="BF352" s="219"/>
      <c r="BG352" s="219"/>
      <c r="BH352" s="219"/>
      <c r="BI352" s="219"/>
      <c r="BJ352" s="219"/>
      <c r="BK352" s="219"/>
      <c r="BL352" s="219"/>
      <c r="BM352" s="219"/>
    </row>
    <row r="353" spans="1:65">
      <c r="A353" s="219"/>
      <c r="B353" s="219"/>
      <c r="C353" s="219"/>
      <c r="D353" s="219"/>
      <c r="E353" s="219"/>
      <c r="F353" s="219"/>
      <c r="G353" s="219"/>
      <c r="H353" s="219"/>
      <c r="I353" s="219"/>
      <c r="J353" s="219"/>
      <c r="K353" s="219"/>
      <c r="L353" s="219"/>
      <c r="M353" s="219"/>
      <c r="N353" s="219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19"/>
      <c r="Z353" s="219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19"/>
      <c r="AL353" s="219"/>
      <c r="AM353" s="219"/>
      <c r="AN353" s="219"/>
      <c r="AO353" s="219"/>
      <c r="AP353" s="219"/>
      <c r="AQ353" s="219"/>
      <c r="AR353" s="219"/>
      <c r="AS353" s="219"/>
      <c r="AT353" s="219"/>
      <c r="AU353" s="219"/>
      <c r="AV353" s="219"/>
      <c r="AW353" s="219"/>
      <c r="AX353" s="219"/>
      <c r="AY353" s="219"/>
      <c r="AZ353" s="219"/>
      <c r="BA353" s="219"/>
      <c r="BB353" s="219"/>
      <c r="BC353" s="219"/>
      <c r="BD353" s="219"/>
      <c r="BE353" s="219"/>
      <c r="BF353" s="219"/>
      <c r="BG353" s="219"/>
      <c r="BH353" s="219"/>
      <c r="BI353" s="219"/>
      <c r="BJ353" s="219"/>
      <c r="BK353" s="219"/>
      <c r="BL353" s="219"/>
      <c r="BM353" s="219"/>
    </row>
    <row r="354" spans="1:65">
      <c r="A354" s="219"/>
      <c r="B354" s="219"/>
      <c r="C354" s="219"/>
      <c r="D354" s="219"/>
      <c r="E354" s="219"/>
      <c r="F354" s="219"/>
      <c r="G354" s="219"/>
      <c r="H354" s="219"/>
      <c r="I354" s="219"/>
      <c r="J354" s="219"/>
      <c r="K354" s="219"/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19"/>
      <c r="Z354" s="219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19"/>
      <c r="AL354" s="219"/>
      <c r="AM354" s="219"/>
      <c r="AN354" s="219"/>
      <c r="AO354" s="219"/>
      <c r="AP354" s="219"/>
      <c r="AQ354" s="219"/>
      <c r="AR354" s="219"/>
      <c r="AS354" s="219"/>
      <c r="AT354" s="219"/>
      <c r="AU354" s="219"/>
      <c r="AV354" s="219"/>
      <c r="AW354" s="219"/>
      <c r="AX354" s="219"/>
      <c r="AY354" s="219"/>
      <c r="AZ354" s="219"/>
      <c r="BA354" s="219"/>
      <c r="BB354" s="219"/>
      <c r="BC354" s="219"/>
      <c r="BD354" s="219"/>
      <c r="BE354" s="219"/>
      <c r="BF354" s="219"/>
      <c r="BG354" s="219"/>
      <c r="BH354" s="219"/>
      <c r="BI354" s="219"/>
      <c r="BJ354" s="219"/>
      <c r="BK354" s="219"/>
      <c r="BL354" s="219"/>
      <c r="BM354" s="219"/>
    </row>
    <row r="355" spans="1:65">
      <c r="A355" s="219"/>
      <c r="B355" s="219"/>
      <c r="C355" s="219"/>
      <c r="D355" s="219"/>
      <c r="E355" s="219"/>
      <c r="F355" s="219"/>
      <c r="G355" s="219"/>
      <c r="H355" s="219"/>
      <c r="I355" s="219"/>
      <c r="J355" s="219"/>
      <c r="K355" s="219"/>
      <c r="L355" s="219"/>
      <c r="M355" s="219"/>
      <c r="N355" s="219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19"/>
      <c r="Z355" s="219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19"/>
      <c r="AL355" s="219"/>
      <c r="AM355" s="219"/>
      <c r="AN355" s="219"/>
      <c r="AO355" s="219"/>
      <c r="AP355" s="219"/>
      <c r="AQ355" s="219"/>
      <c r="AR355" s="219"/>
      <c r="AS355" s="219"/>
      <c r="AT355" s="219"/>
      <c r="AU355" s="219"/>
      <c r="AV355" s="219"/>
      <c r="AW355" s="219"/>
      <c r="AX355" s="219"/>
      <c r="AY355" s="219"/>
      <c r="AZ355" s="219"/>
      <c r="BA355" s="219"/>
      <c r="BB355" s="219"/>
      <c r="BC355" s="219"/>
      <c r="BD355" s="219"/>
      <c r="BE355" s="219"/>
      <c r="BF355" s="219"/>
      <c r="BG355" s="219"/>
      <c r="BH355" s="219"/>
      <c r="BI355" s="219"/>
      <c r="BJ355" s="219"/>
      <c r="BK355" s="219"/>
      <c r="BL355" s="219"/>
      <c r="BM355" s="219"/>
    </row>
    <row r="356" spans="1:65">
      <c r="A356" s="219"/>
      <c r="B356" s="219"/>
      <c r="C356" s="219"/>
      <c r="D356" s="219"/>
      <c r="E356" s="219"/>
      <c r="F356" s="219"/>
      <c r="G356" s="219"/>
      <c r="H356" s="219"/>
      <c r="I356" s="219"/>
      <c r="J356" s="219"/>
      <c r="K356" s="219"/>
      <c r="L356" s="219"/>
      <c r="M356" s="219"/>
      <c r="N356" s="219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19"/>
      <c r="Z356" s="219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19"/>
      <c r="AL356" s="219"/>
      <c r="AM356" s="219"/>
      <c r="AN356" s="219"/>
      <c r="AO356" s="219"/>
      <c r="AP356" s="219"/>
      <c r="AQ356" s="219"/>
      <c r="AR356" s="219"/>
      <c r="AS356" s="219"/>
      <c r="AT356" s="219"/>
      <c r="AU356" s="219"/>
      <c r="AV356" s="219"/>
      <c r="AW356" s="219"/>
      <c r="AX356" s="219"/>
      <c r="AY356" s="219"/>
      <c r="AZ356" s="219"/>
      <c r="BA356" s="219"/>
      <c r="BB356" s="219"/>
      <c r="BC356" s="219"/>
      <c r="BD356" s="219"/>
      <c r="BE356" s="219"/>
      <c r="BF356" s="219"/>
      <c r="BG356" s="219"/>
      <c r="BH356" s="219"/>
      <c r="BI356" s="219"/>
      <c r="BJ356" s="219"/>
      <c r="BK356" s="219"/>
      <c r="BL356" s="219"/>
      <c r="BM356" s="219"/>
    </row>
    <row r="357" spans="1:65">
      <c r="A357" s="219"/>
      <c r="B357" s="219"/>
      <c r="C357" s="219"/>
      <c r="D357" s="219"/>
      <c r="E357" s="219"/>
      <c r="F357" s="219"/>
      <c r="G357" s="219"/>
      <c r="H357" s="219"/>
      <c r="I357" s="219"/>
      <c r="J357" s="219"/>
      <c r="K357" s="219"/>
      <c r="L357" s="219"/>
      <c r="M357" s="219"/>
      <c r="N357" s="219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19"/>
      <c r="Z357" s="219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19"/>
      <c r="AL357" s="219"/>
      <c r="AM357" s="219"/>
      <c r="AN357" s="219"/>
      <c r="AO357" s="219"/>
      <c r="AP357" s="219"/>
      <c r="AQ357" s="219"/>
      <c r="AR357" s="219"/>
      <c r="AS357" s="219"/>
      <c r="AT357" s="219"/>
      <c r="AU357" s="219"/>
      <c r="AV357" s="219"/>
      <c r="AW357" s="219"/>
      <c r="AX357" s="219"/>
      <c r="AY357" s="219"/>
      <c r="AZ357" s="219"/>
      <c r="BA357" s="219"/>
      <c r="BB357" s="219"/>
      <c r="BC357" s="219"/>
      <c r="BD357" s="219"/>
      <c r="BE357" s="219"/>
      <c r="BF357" s="219"/>
      <c r="BG357" s="219"/>
      <c r="BH357" s="219"/>
      <c r="BI357" s="219"/>
      <c r="BJ357" s="219"/>
      <c r="BK357" s="219"/>
      <c r="BL357" s="219"/>
      <c r="BM357" s="219"/>
    </row>
    <row r="358" spans="1:65">
      <c r="A358" s="219"/>
      <c r="B358" s="219"/>
      <c r="C358" s="219"/>
      <c r="D358" s="219"/>
      <c r="E358" s="219"/>
      <c r="F358" s="219"/>
      <c r="G358" s="219"/>
      <c r="H358" s="219"/>
      <c r="I358" s="219"/>
      <c r="J358" s="219"/>
      <c r="K358" s="219"/>
      <c r="L358" s="219"/>
      <c r="M358" s="219"/>
      <c r="N358" s="219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19"/>
      <c r="Z358" s="219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19"/>
      <c r="AL358" s="219"/>
      <c r="AM358" s="219"/>
      <c r="AN358" s="219"/>
      <c r="AO358" s="219"/>
      <c r="AP358" s="219"/>
      <c r="AQ358" s="219"/>
      <c r="AR358" s="219"/>
      <c r="AS358" s="219"/>
      <c r="AT358" s="219"/>
      <c r="AU358" s="219"/>
      <c r="AV358" s="219"/>
      <c r="AW358" s="219"/>
      <c r="AX358" s="219"/>
      <c r="AY358" s="219"/>
      <c r="AZ358" s="219"/>
      <c r="BA358" s="219"/>
      <c r="BB358" s="219"/>
      <c r="BC358" s="219"/>
      <c r="BD358" s="219"/>
      <c r="BE358" s="219"/>
      <c r="BF358" s="219"/>
      <c r="BG358" s="219"/>
      <c r="BH358" s="219"/>
      <c r="BI358" s="219"/>
      <c r="BJ358" s="219"/>
      <c r="BK358" s="219"/>
      <c r="BL358" s="219"/>
      <c r="BM358" s="219"/>
    </row>
    <row r="359" spans="1:65">
      <c r="A359" s="219"/>
      <c r="B359" s="219"/>
      <c r="C359" s="219"/>
      <c r="D359" s="219"/>
      <c r="E359" s="219"/>
      <c r="F359" s="219"/>
      <c r="G359" s="219"/>
      <c r="H359" s="219"/>
      <c r="I359" s="219"/>
      <c r="J359" s="219"/>
      <c r="K359" s="219"/>
      <c r="L359" s="219"/>
      <c r="M359" s="219"/>
      <c r="N359" s="219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19"/>
      <c r="Z359" s="219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19"/>
      <c r="AL359" s="219"/>
      <c r="AM359" s="219"/>
      <c r="AN359" s="219"/>
      <c r="AO359" s="219"/>
      <c r="AP359" s="219"/>
      <c r="AQ359" s="219"/>
      <c r="AR359" s="219"/>
      <c r="AS359" s="219"/>
      <c r="AT359" s="219"/>
      <c r="AU359" s="219"/>
      <c r="AV359" s="219"/>
      <c r="AW359" s="219"/>
      <c r="AX359" s="219"/>
      <c r="AY359" s="219"/>
      <c r="AZ359" s="219"/>
      <c r="BA359" s="219"/>
      <c r="BB359" s="219"/>
      <c r="BC359" s="219"/>
      <c r="BD359" s="219"/>
      <c r="BE359" s="219"/>
      <c r="BF359" s="219"/>
      <c r="BG359" s="219"/>
      <c r="BH359" s="219"/>
      <c r="BI359" s="219"/>
      <c r="BJ359" s="219"/>
      <c r="BK359" s="219"/>
      <c r="BL359" s="219"/>
      <c r="BM359" s="219"/>
    </row>
    <row r="360" spans="1:65">
      <c r="A360" s="219"/>
      <c r="B360" s="219"/>
      <c r="C360" s="219"/>
      <c r="D360" s="219"/>
      <c r="E360" s="219"/>
      <c r="F360" s="219"/>
      <c r="G360" s="219"/>
      <c r="H360" s="219"/>
      <c r="I360" s="219"/>
      <c r="J360" s="219"/>
      <c r="K360" s="219"/>
      <c r="L360" s="219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19"/>
      <c r="AL360" s="219"/>
      <c r="AM360" s="219"/>
      <c r="AN360" s="219"/>
      <c r="AO360" s="219"/>
      <c r="AP360" s="219"/>
      <c r="AQ360" s="219"/>
      <c r="AR360" s="219"/>
      <c r="AS360" s="219"/>
      <c r="AT360" s="219"/>
      <c r="AU360" s="219"/>
      <c r="AV360" s="219"/>
      <c r="AW360" s="219"/>
      <c r="AX360" s="219"/>
      <c r="AY360" s="219"/>
      <c r="AZ360" s="219"/>
      <c r="BA360" s="219"/>
      <c r="BB360" s="219"/>
      <c r="BC360" s="219"/>
      <c r="BD360" s="219"/>
      <c r="BE360" s="219"/>
      <c r="BF360" s="219"/>
      <c r="BG360" s="219"/>
      <c r="BH360" s="219"/>
      <c r="BI360" s="219"/>
      <c r="BJ360" s="219"/>
      <c r="BK360" s="219"/>
      <c r="BL360" s="219"/>
      <c r="BM360" s="219"/>
    </row>
    <row r="361" spans="1:65">
      <c r="A361" s="219"/>
      <c r="B361" s="219"/>
      <c r="C361" s="219"/>
      <c r="D361" s="219"/>
      <c r="E361" s="219"/>
      <c r="F361" s="219"/>
      <c r="G361" s="219"/>
      <c r="H361" s="219"/>
      <c r="I361" s="219"/>
      <c r="J361" s="219"/>
      <c r="K361" s="219"/>
      <c r="L361" s="219"/>
      <c r="M361" s="219"/>
      <c r="N361" s="219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19"/>
      <c r="Z361" s="219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19"/>
      <c r="AL361" s="219"/>
      <c r="AM361" s="219"/>
      <c r="AN361" s="219"/>
      <c r="AO361" s="219"/>
      <c r="AP361" s="219"/>
      <c r="AQ361" s="219"/>
      <c r="AR361" s="219"/>
      <c r="AS361" s="219"/>
      <c r="AT361" s="219"/>
      <c r="AU361" s="219"/>
      <c r="AV361" s="219"/>
      <c r="AW361" s="219"/>
      <c r="AX361" s="219"/>
      <c r="AY361" s="219"/>
      <c r="AZ361" s="219"/>
      <c r="BA361" s="219"/>
      <c r="BB361" s="219"/>
      <c r="BC361" s="219"/>
      <c r="BD361" s="219"/>
      <c r="BE361" s="219"/>
      <c r="BF361" s="219"/>
      <c r="BG361" s="219"/>
      <c r="BH361" s="219"/>
      <c r="BI361" s="219"/>
      <c r="BJ361" s="219"/>
      <c r="BK361" s="219"/>
      <c r="BL361" s="219"/>
      <c r="BM361" s="219"/>
    </row>
    <row r="362" spans="1:65">
      <c r="A362" s="219"/>
      <c r="B362" s="219"/>
      <c r="C362" s="219"/>
      <c r="D362" s="219"/>
      <c r="E362" s="219"/>
      <c r="F362" s="219"/>
      <c r="G362" s="219"/>
      <c r="H362" s="219"/>
      <c r="I362" s="219"/>
      <c r="J362" s="219"/>
      <c r="K362" s="219"/>
      <c r="L362" s="219"/>
      <c r="M362" s="219"/>
      <c r="N362" s="219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19"/>
      <c r="Z362" s="219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19"/>
      <c r="AL362" s="219"/>
      <c r="AM362" s="219"/>
      <c r="AN362" s="219"/>
      <c r="AO362" s="219"/>
      <c r="AP362" s="219"/>
      <c r="AQ362" s="219"/>
      <c r="AR362" s="219"/>
      <c r="AS362" s="219"/>
      <c r="AT362" s="219"/>
      <c r="AU362" s="219"/>
      <c r="AV362" s="219"/>
      <c r="AW362" s="219"/>
      <c r="AX362" s="219"/>
      <c r="AY362" s="219"/>
      <c r="AZ362" s="219"/>
      <c r="BA362" s="219"/>
      <c r="BB362" s="219"/>
      <c r="BC362" s="219"/>
      <c r="BD362" s="219"/>
      <c r="BE362" s="219"/>
      <c r="BF362" s="219"/>
      <c r="BG362" s="219"/>
      <c r="BH362" s="219"/>
      <c r="BI362" s="219"/>
      <c r="BJ362" s="219"/>
      <c r="BK362" s="219"/>
      <c r="BL362" s="219"/>
      <c r="BM362" s="219"/>
    </row>
    <row r="363" spans="1:65">
      <c r="A363" s="219"/>
      <c r="B363" s="219"/>
      <c r="C363" s="219"/>
      <c r="D363" s="219"/>
      <c r="E363" s="219"/>
      <c r="F363" s="219"/>
      <c r="G363" s="219"/>
      <c r="H363" s="219"/>
      <c r="I363" s="219"/>
      <c r="J363" s="219"/>
      <c r="K363" s="219"/>
      <c r="L363" s="219"/>
      <c r="M363" s="219"/>
      <c r="N363" s="219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19"/>
      <c r="Z363" s="219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19"/>
      <c r="AL363" s="219"/>
      <c r="AM363" s="219"/>
      <c r="AN363" s="219"/>
      <c r="AO363" s="219"/>
      <c r="AP363" s="219"/>
      <c r="AQ363" s="219"/>
      <c r="AR363" s="219"/>
      <c r="AS363" s="219"/>
      <c r="AT363" s="219"/>
      <c r="AU363" s="219"/>
      <c r="AV363" s="219"/>
      <c r="AW363" s="219"/>
      <c r="AX363" s="219"/>
      <c r="AY363" s="219"/>
      <c r="AZ363" s="219"/>
      <c r="BA363" s="219"/>
      <c r="BB363" s="219"/>
      <c r="BC363" s="219"/>
      <c r="BD363" s="219"/>
      <c r="BE363" s="219"/>
      <c r="BF363" s="219"/>
      <c r="BG363" s="219"/>
      <c r="BH363" s="219"/>
      <c r="BI363" s="219"/>
      <c r="BJ363" s="219"/>
      <c r="BK363" s="219"/>
      <c r="BL363" s="219"/>
      <c r="BM363" s="219"/>
    </row>
    <row r="364" spans="1:65">
      <c r="A364" s="219"/>
      <c r="B364" s="219"/>
      <c r="C364" s="219"/>
      <c r="D364" s="219"/>
      <c r="E364" s="219"/>
      <c r="F364" s="219"/>
      <c r="G364" s="219"/>
      <c r="H364" s="219"/>
      <c r="I364" s="219"/>
      <c r="J364" s="219"/>
      <c r="K364" s="219"/>
      <c r="L364" s="219"/>
      <c r="M364" s="219"/>
      <c r="N364" s="219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19"/>
      <c r="Z364" s="219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19"/>
      <c r="AL364" s="219"/>
      <c r="AM364" s="219"/>
      <c r="AN364" s="219"/>
      <c r="AO364" s="219"/>
      <c r="AP364" s="219"/>
      <c r="AQ364" s="219"/>
      <c r="AR364" s="219"/>
      <c r="AS364" s="219"/>
      <c r="AT364" s="219"/>
      <c r="AU364" s="219"/>
      <c r="AV364" s="219"/>
      <c r="AW364" s="219"/>
      <c r="AX364" s="219"/>
      <c r="AY364" s="219"/>
      <c r="AZ364" s="219"/>
      <c r="BA364" s="219"/>
      <c r="BB364" s="219"/>
      <c r="BC364" s="219"/>
      <c r="BD364" s="219"/>
      <c r="BE364" s="219"/>
      <c r="BF364" s="219"/>
      <c r="BG364" s="219"/>
      <c r="BH364" s="219"/>
      <c r="BI364" s="219"/>
      <c r="BJ364" s="219"/>
      <c r="BK364" s="219"/>
      <c r="BL364" s="219"/>
      <c r="BM364" s="219"/>
    </row>
    <row r="365" spans="1:65">
      <c r="A365" s="219"/>
      <c r="B365" s="219"/>
      <c r="C365" s="219"/>
      <c r="D365" s="219"/>
      <c r="E365" s="219"/>
      <c r="F365" s="219"/>
      <c r="G365" s="219"/>
      <c r="H365" s="219"/>
      <c r="I365" s="219"/>
      <c r="J365" s="219"/>
      <c r="K365" s="219"/>
      <c r="L365" s="219"/>
      <c r="M365" s="219"/>
      <c r="N365" s="219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19"/>
      <c r="Z365" s="219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19"/>
      <c r="AL365" s="219"/>
      <c r="AM365" s="219"/>
      <c r="AN365" s="219"/>
      <c r="AO365" s="219"/>
      <c r="AP365" s="219"/>
      <c r="AQ365" s="219"/>
      <c r="AR365" s="219"/>
      <c r="AS365" s="219"/>
      <c r="AT365" s="219"/>
      <c r="AU365" s="219"/>
      <c r="AV365" s="219"/>
      <c r="AW365" s="219"/>
      <c r="AX365" s="219"/>
      <c r="AY365" s="219"/>
      <c r="AZ365" s="219"/>
      <c r="BA365" s="219"/>
      <c r="BB365" s="219"/>
      <c r="BC365" s="219"/>
      <c r="BD365" s="219"/>
      <c r="BE365" s="219"/>
      <c r="BF365" s="219"/>
      <c r="BG365" s="219"/>
      <c r="BH365" s="219"/>
      <c r="BI365" s="219"/>
      <c r="BJ365" s="219"/>
      <c r="BK365" s="219"/>
      <c r="BL365" s="219"/>
      <c r="BM365" s="219"/>
    </row>
    <row r="366" spans="1:65">
      <c r="A366" s="219"/>
      <c r="B366" s="219"/>
      <c r="C366" s="219"/>
      <c r="D366" s="219"/>
      <c r="E366" s="219"/>
      <c r="F366" s="219"/>
      <c r="G366" s="219"/>
      <c r="H366" s="219"/>
      <c r="I366" s="219"/>
      <c r="J366" s="219"/>
      <c r="K366" s="219"/>
      <c r="L366" s="219"/>
      <c r="M366" s="219"/>
      <c r="N366" s="219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19"/>
      <c r="Z366" s="219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19"/>
      <c r="AL366" s="219"/>
      <c r="AM366" s="219"/>
      <c r="AN366" s="219"/>
      <c r="AO366" s="219"/>
      <c r="AP366" s="219"/>
      <c r="AQ366" s="219"/>
      <c r="AR366" s="219"/>
      <c r="AS366" s="219"/>
      <c r="AT366" s="219"/>
      <c r="AU366" s="219"/>
      <c r="AV366" s="219"/>
      <c r="AW366" s="219"/>
      <c r="AX366" s="219"/>
      <c r="AY366" s="219"/>
      <c r="AZ366" s="219"/>
      <c r="BA366" s="219"/>
      <c r="BB366" s="219"/>
      <c r="BC366" s="219"/>
      <c r="BD366" s="219"/>
      <c r="BE366" s="219"/>
      <c r="BF366" s="219"/>
      <c r="BG366" s="219"/>
      <c r="BH366" s="219"/>
      <c r="BI366" s="219"/>
      <c r="BJ366" s="219"/>
      <c r="BK366" s="219"/>
      <c r="BL366" s="219"/>
      <c r="BM366" s="219"/>
    </row>
    <row r="367" spans="1:65">
      <c r="A367" s="219"/>
      <c r="B367" s="219"/>
      <c r="C367" s="219"/>
      <c r="D367" s="219"/>
      <c r="E367" s="219"/>
      <c r="F367" s="219"/>
      <c r="G367" s="219"/>
      <c r="H367" s="219"/>
      <c r="I367" s="219"/>
      <c r="J367" s="219"/>
      <c r="K367" s="219"/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19"/>
      <c r="Z367" s="219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19"/>
      <c r="AL367" s="219"/>
      <c r="AM367" s="219"/>
      <c r="AN367" s="219"/>
      <c r="AO367" s="219"/>
      <c r="AP367" s="219"/>
      <c r="AQ367" s="219"/>
      <c r="AR367" s="219"/>
      <c r="AS367" s="219"/>
      <c r="AT367" s="219"/>
      <c r="AU367" s="219"/>
      <c r="AV367" s="219"/>
      <c r="AW367" s="219"/>
      <c r="AX367" s="219"/>
      <c r="AY367" s="219"/>
      <c r="AZ367" s="219"/>
      <c r="BA367" s="219"/>
      <c r="BB367" s="219"/>
      <c r="BC367" s="219"/>
      <c r="BD367" s="219"/>
      <c r="BE367" s="219"/>
      <c r="BF367" s="219"/>
      <c r="BG367" s="219"/>
      <c r="BH367" s="219"/>
      <c r="BI367" s="219"/>
      <c r="BJ367" s="219"/>
      <c r="BK367" s="219"/>
      <c r="BL367" s="219"/>
      <c r="BM367" s="219"/>
    </row>
    <row r="368" spans="1:65">
      <c r="A368" s="219"/>
      <c r="B368" s="219"/>
      <c r="C368" s="219"/>
      <c r="D368" s="219"/>
      <c r="E368" s="219"/>
      <c r="F368" s="219"/>
      <c r="G368" s="219"/>
      <c r="H368" s="219"/>
      <c r="I368" s="219"/>
      <c r="J368" s="219"/>
      <c r="K368" s="219"/>
      <c r="L368" s="219"/>
      <c r="M368" s="219"/>
      <c r="N368" s="219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19"/>
      <c r="Z368" s="219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19"/>
      <c r="AL368" s="219"/>
      <c r="AM368" s="219"/>
      <c r="AN368" s="219"/>
      <c r="AO368" s="219"/>
      <c r="AP368" s="219"/>
      <c r="AQ368" s="219"/>
      <c r="AR368" s="219"/>
      <c r="AS368" s="219"/>
      <c r="AT368" s="219"/>
      <c r="AU368" s="219"/>
      <c r="AV368" s="219"/>
      <c r="AW368" s="219"/>
      <c r="AX368" s="219"/>
      <c r="AY368" s="219"/>
      <c r="AZ368" s="219"/>
      <c r="BA368" s="219"/>
      <c r="BB368" s="219"/>
      <c r="BC368" s="219"/>
      <c r="BD368" s="219"/>
      <c r="BE368" s="219"/>
      <c r="BF368" s="219"/>
      <c r="BG368" s="219"/>
      <c r="BH368" s="219"/>
      <c r="BI368" s="219"/>
      <c r="BJ368" s="219"/>
      <c r="BK368" s="219"/>
      <c r="BL368" s="219"/>
      <c r="BM368" s="219"/>
    </row>
    <row r="369" spans="1:65">
      <c r="A369" s="219"/>
      <c r="B369" s="219"/>
      <c r="C369" s="219"/>
      <c r="D369" s="219"/>
      <c r="E369" s="219"/>
      <c r="F369" s="219"/>
      <c r="G369" s="219"/>
      <c r="H369" s="219"/>
      <c r="I369" s="219"/>
      <c r="J369" s="219"/>
      <c r="K369" s="219"/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19"/>
      <c r="Z369" s="219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19"/>
      <c r="AL369" s="219"/>
      <c r="AM369" s="219"/>
      <c r="AN369" s="219"/>
      <c r="AO369" s="219"/>
      <c r="AP369" s="219"/>
      <c r="AQ369" s="219"/>
      <c r="AR369" s="219"/>
      <c r="AS369" s="219"/>
      <c r="AT369" s="219"/>
      <c r="AU369" s="219"/>
      <c r="AV369" s="219"/>
      <c r="AW369" s="219"/>
      <c r="AX369" s="219"/>
      <c r="AY369" s="219"/>
      <c r="AZ369" s="219"/>
      <c r="BA369" s="219"/>
      <c r="BB369" s="219"/>
      <c r="BC369" s="219"/>
      <c r="BD369" s="219"/>
      <c r="BE369" s="219"/>
      <c r="BF369" s="219"/>
      <c r="BG369" s="219"/>
      <c r="BH369" s="219"/>
      <c r="BI369" s="219"/>
      <c r="BJ369" s="219"/>
      <c r="BK369" s="219"/>
      <c r="BL369" s="219"/>
      <c r="BM369" s="219"/>
    </row>
    <row r="370" spans="1:65">
      <c r="A370" s="219"/>
      <c r="B370" s="219"/>
      <c r="C370" s="219"/>
      <c r="D370" s="219"/>
      <c r="E370" s="219"/>
      <c r="F370" s="219"/>
      <c r="G370" s="219"/>
      <c r="H370" s="219"/>
      <c r="I370" s="219"/>
      <c r="J370" s="219"/>
      <c r="K370" s="219"/>
      <c r="L370" s="219"/>
      <c r="M370" s="219"/>
      <c r="N370" s="219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19"/>
      <c r="AL370" s="219"/>
      <c r="AM370" s="219"/>
      <c r="AN370" s="219"/>
      <c r="AO370" s="219"/>
      <c r="AP370" s="219"/>
      <c r="AQ370" s="219"/>
      <c r="AR370" s="219"/>
      <c r="AS370" s="219"/>
      <c r="AT370" s="219"/>
      <c r="AU370" s="219"/>
      <c r="AV370" s="219"/>
      <c r="AW370" s="219"/>
      <c r="AX370" s="219"/>
      <c r="AY370" s="219"/>
      <c r="AZ370" s="219"/>
      <c r="BA370" s="219"/>
      <c r="BB370" s="219"/>
      <c r="BC370" s="219"/>
      <c r="BD370" s="219"/>
      <c r="BE370" s="219"/>
      <c r="BF370" s="219"/>
      <c r="BG370" s="219"/>
      <c r="BH370" s="219"/>
      <c r="BI370" s="219"/>
      <c r="BJ370" s="219"/>
      <c r="BK370" s="219"/>
      <c r="BL370" s="219"/>
      <c r="BM370" s="219"/>
    </row>
    <row r="371" spans="1:65">
      <c r="A371" s="219"/>
      <c r="B371" s="219"/>
      <c r="C371" s="219"/>
      <c r="D371" s="219"/>
      <c r="E371" s="219"/>
      <c r="F371" s="219"/>
      <c r="G371" s="219"/>
      <c r="H371" s="219"/>
      <c r="I371" s="219"/>
      <c r="J371" s="219"/>
      <c r="K371" s="219"/>
      <c r="L371" s="219"/>
      <c r="M371" s="219"/>
      <c r="N371" s="219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19"/>
      <c r="Z371" s="219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19"/>
      <c r="AL371" s="219"/>
      <c r="AM371" s="219"/>
      <c r="AN371" s="219"/>
      <c r="AO371" s="219"/>
      <c r="AP371" s="219"/>
      <c r="AQ371" s="219"/>
      <c r="AR371" s="219"/>
      <c r="AS371" s="219"/>
      <c r="AT371" s="219"/>
      <c r="AU371" s="219"/>
      <c r="AV371" s="219"/>
      <c r="AW371" s="219"/>
      <c r="AX371" s="219"/>
      <c r="AY371" s="219"/>
      <c r="AZ371" s="219"/>
      <c r="BA371" s="219"/>
      <c r="BB371" s="219"/>
      <c r="BC371" s="219"/>
      <c r="BD371" s="219"/>
      <c r="BE371" s="219"/>
      <c r="BF371" s="219"/>
      <c r="BG371" s="219"/>
      <c r="BH371" s="219"/>
      <c r="BI371" s="219"/>
      <c r="BJ371" s="219"/>
      <c r="BK371" s="219"/>
      <c r="BL371" s="219"/>
      <c r="BM371" s="219"/>
    </row>
    <row r="372" spans="1:65">
      <c r="A372" s="219"/>
      <c r="B372" s="219"/>
      <c r="C372" s="219"/>
      <c r="D372" s="219"/>
      <c r="E372" s="219"/>
      <c r="F372" s="219"/>
      <c r="G372" s="219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19"/>
      <c r="Z372" s="219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19"/>
      <c r="AL372" s="219"/>
      <c r="AM372" s="219"/>
      <c r="AN372" s="219"/>
      <c r="AO372" s="219"/>
      <c r="AP372" s="219"/>
      <c r="AQ372" s="219"/>
      <c r="AR372" s="219"/>
      <c r="AS372" s="219"/>
      <c r="AT372" s="219"/>
      <c r="AU372" s="219"/>
      <c r="AV372" s="219"/>
      <c r="AW372" s="219"/>
      <c r="AX372" s="219"/>
      <c r="AY372" s="219"/>
      <c r="AZ372" s="219"/>
      <c r="BA372" s="219"/>
      <c r="BB372" s="219"/>
      <c r="BC372" s="219"/>
      <c r="BD372" s="219"/>
      <c r="BE372" s="219"/>
      <c r="BF372" s="219"/>
      <c r="BG372" s="219"/>
      <c r="BH372" s="219"/>
      <c r="BI372" s="219"/>
      <c r="BJ372" s="219"/>
      <c r="BK372" s="219"/>
      <c r="BL372" s="219"/>
      <c r="BM372" s="219"/>
    </row>
    <row r="373" spans="1:65">
      <c r="A373" s="219"/>
      <c r="B373" s="219"/>
      <c r="C373" s="219"/>
      <c r="D373" s="219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19"/>
      <c r="Z373" s="219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19"/>
      <c r="AL373" s="219"/>
      <c r="AM373" s="219"/>
      <c r="AN373" s="219"/>
      <c r="AO373" s="219"/>
      <c r="AP373" s="219"/>
      <c r="AQ373" s="219"/>
      <c r="AR373" s="219"/>
      <c r="AS373" s="219"/>
      <c r="AT373" s="219"/>
      <c r="AU373" s="219"/>
      <c r="AV373" s="219"/>
      <c r="AW373" s="219"/>
      <c r="AX373" s="219"/>
      <c r="AY373" s="219"/>
      <c r="AZ373" s="219"/>
      <c r="BA373" s="219"/>
      <c r="BB373" s="219"/>
      <c r="BC373" s="219"/>
      <c r="BD373" s="219"/>
      <c r="BE373" s="219"/>
      <c r="BF373" s="219"/>
      <c r="BG373" s="219"/>
      <c r="BH373" s="219"/>
      <c r="BI373" s="219"/>
      <c r="BJ373" s="219"/>
      <c r="BK373" s="219"/>
      <c r="BL373" s="219"/>
      <c r="BM373" s="219"/>
    </row>
    <row r="374" spans="1:65">
      <c r="A374" s="219"/>
      <c r="B374" s="219"/>
      <c r="C374" s="219"/>
      <c r="D374" s="219"/>
      <c r="E374" s="219"/>
      <c r="F374" s="219"/>
      <c r="G374" s="219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19"/>
      <c r="Z374" s="219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19"/>
      <c r="AL374" s="219"/>
      <c r="AM374" s="219"/>
      <c r="AN374" s="219"/>
      <c r="AO374" s="219"/>
      <c r="AP374" s="219"/>
      <c r="AQ374" s="219"/>
      <c r="AR374" s="219"/>
      <c r="AS374" s="219"/>
      <c r="AT374" s="219"/>
      <c r="AU374" s="219"/>
      <c r="AV374" s="219"/>
      <c r="AW374" s="219"/>
      <c r="AX374" s="219"/>
      <c r="AY374" s="219"/>
      <c r="AZ374" s="219"/>
      <c r="BA374" s="219"/>
      <c r="BB374" s="219"/>
      <c r="BC374" s="219"/>
      <c r="BD374" s="219"/>
      <c r="BE374" s="219"/>
      <c r="BF374" s="219"/>
      <c r="BG374" s="219"/>
      <c r="BH374" s="219"/>
      <c r="BI374" s="219"/>
      <c r="BJ374" s="219"/>
      <c r="BK374" s="219"/>
      <c r="BL374" s="219"/>
      <c r="BM374" s="219"/>
    </row>
    <row r="375" spans="1:65">
      <c r="A375" s="219"/>
      <c r="B375" s="219"/>
      <c r="C375" s="219"/>
      <c r="D375" s="219"/>
      <c r="E375" s="219"/>
      <c r="F375" s="219"/>
      <c r="G375" s="219"/>
      <c r="H375" s="219"/>
      <c r="I375" s="219"/>
      <c r="J375" s="219"/>
      <c r="K375" s="219"/>
      <c r="L375" s="219"/>
      <c r="M375" s="219"/>
      <c r="N375" s="219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19"/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19"/>
      <c r="AL375" s="219"/>
      <c r="AM375" s="219"/>
      <c r="AN375" s="219"/>
      <c r="AO375" s="219"/>
      <c r="AP375" s="219"/>
      <c r="AQ375" s="219"/>
      <c r="AR375" s="219"/>
      <c r="AS375" s="219"/>
      <c r="AT375" s="219"/>
      <c r="AU375" s="219"/>
      <c r="AV375" s="219"/>
      <c r="AW375" s="219"/>
      <c r="AX375" s="219"/>
      <c r="AY375" s="219"/>
      <c r="AZ375" s="219"/>
      <c r="BA375" s="219"/>
      <c r="BB375" s="219"/>
      <c r="BC375" s="219"/>
      <c r="BD375" s="219"/>
      <c r="BE375" s="219"/>
      <c r="BF375" s="219"/>
      <c r="BG375" s="219"/>
      <c r="BH375" s="219"/>
      <c r="BI375" s="219"/>
      <c r="BJ375" s="219"/>
      <c r="BK375" s="219"/>
      <c r="BL375" s="219"/>
      <c r="BM375" s="219"/>
    </row>
    <row r="376" spans="1:65">
      <c r="A376" s="219"/>
      <c r="B376" s="219"/>
      <c r="C376" s="219"/>
      <c r="D376" s="219"/>
      <c r="E376" s="219"/>
      <c r="F376" s="219"/>
      <c r="G376" s="219"/>
      <c r="H376" s="219"/>
      <c r="I376" s="219"/>
      <c r="J376" s="219"/>
      <c r="K376" s="219"/>
      <c r="L376" s="219"/>
      <c r="M376" s="219"/>
      <c r="N376" s="219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19"/>
      <c r="Z376" s="219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19"/>
      <c r="AL376" s="219"/>
      <c r="AM376" s="219"/>
      <c r="AN376" s="219"/>
      <c r="AO376" s="219"/>
      <c r="AP376" s="219"/>
      <c r="AQ376" s="219"/>
      <c r="AR376" s="219"/>
      <c r="AS376" s="219"/>
      <c r="AT376" s="219"/>
      <c r="AU376" s="219"/>
      <c r="AV376" s="219"/>
      <c r="AW376" s="219"/>
      <c r="AX376" s="219"/>
      <c r="AY376" s="219"/>
      <c r="AZ376" s="219"/>
      <c r="BA376" s="219"/>
      <c r="BB376" s="219"/>
      <c r="BC376" s="219"/>
      <c r="BD376" s="219"/>
      <c r="BE376" s="219"/>
      <c r="BF376" s="219"/>
      <c r="BG376" s="219"/>
      <c r="BH376" s="219"/>
      <c r="BI376" s="219"/>
      <c r="BJ376" s="219"/>
      <c r="BK376" s="219"/>
      <c r="BL376" s="219"/>
      <c r="BM376" s="219"/>
    </row>
    <row r="377" spans="1:65">
      <c r="A377" s="219"/>
      <c r="B377" s="219"/>
      <c r="C377" s="219"/>
      <c r="D377" s="219"/>
      <c r="E377" s="219"/>
      <c r="F377" s="219"/>
      <c r="G377" s="219"/>
      <c r="H377" s="219"/>
      <c r="I377" s="219"/>
      <c r="J377" s="219"/>
      <c r="K377" s="219"/>
      <c r="L377" s="219"/>
      <c r="M377" s="219"/>
      <c r="N377" s="219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19"/>
      <c r="Z377" s="219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19"/>
      <c r="AL377" s="219"/>
      <c r="AM377" s="219"/>
      <c r="AN377" s="219"/>
      <c r="AO377" s="219"/>
      <c r="AP377" s="219"/>
      <c r="AQ377" s="219"/>
      <c r="AR377" s="219"/>
      <c r="AS377" s="219"/>
      <c r="AT377" s="219"/>
      <c r="AU377" s="219"/>
      <c r="AV377" s="219"/>
      <c r="AW377" s="219"/>
      <c r="AX377" s="219"/>
      <c r="AY377" s="219"/>
      <c r="AZ377" s="219"/>
      <c r="BA377" s="219"/>
      <c r="BB377" s="219"/>
      <c r="BC377" s="219"/>
      <c r="BD377" s="219"/>
      <c r="BE377" s="219"/>
      <c r="BF377" s="219"/>
      <c r="BG377" s="219"/>
      <c r="BH377" s="219"/>
      <c r="BI377" s="219"/>
      <c r="BJ377" s="219"/>
      <c r="BK377" s="219"/>
      <c r="BL377" s="219"/>
      <c r="BM377" s="219"/>
    </row>
    <row r="378" spans="1:65">
      <c r="A378" s="219"/>
      <c r="B378" s="219"/>
      <c r="C378" s="219"/>
      <c r="D378" s="219"/>
      <c r="E378" s="219"/>
      <c r="F378" s="219"/>
      <c r="G378" s="219"/>
      <c r="H378" s="219"/>
      <c r="I378" s="219"/>
      <c r="J378" s="219"/>
      <c r="K378" s="219"/>
      <c r="L378" s="219"/>
      <c r="M378" s="219"/>
      <c r="N378" s="219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19"/>
      <c r="Z378" s="219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19"/>
      <c r="AL378" s="219"/>
      <c r="AM378" s="219"/>
      <c r="AN378" s="219"/>
      <c r="AO378" s="219"/>
      <c r="AP378" s="219"/>
      <c r="AQ378" s="219"/>
      <c r="AR378" s="219"/>
      <c r="AS378" s="219"/>
      <c r="AT378" s="219"/>
      <c r="AU378" s="219"/>
      <c r="AV378" s="219"/>
      <c r="AW378" s="219"/>
      <c r="AX378" s="219"/>
      <c r="AY378" s="219"/>
      <c r="AZ378" s="219"/>
      <c r="BA378" s="219"/>
      <c r="BB378" s="219"/>
      <c r="BC378" s="219"/>
      <c r="BD378" s="219"/>
      <c r="BE378" s="219"/>
      <c r="BF378" s="219"/>
      <c r="BG378" s="219"/>
      <c r="BH378" s="219"/>
      <c r="BI378" s="219"/>
      <c r="BJ378" s="219"/>
      <c r="BK378" s="219"/>
      <c r="BL378" s="219"/>
      <c r="BM378" s="219"/>
    </row>
    <row r="379" spans="1:65">
      <c r="A379" s="219"/>
      <c r="B379" s="219"/>
      <c r="C379" s="219"/>
      <c r="D379" s="219"/>
      <c r="E379" s="219"/>
      <c r="F379" s="219"/>
      <c r="G379" s="219"/>
      <c r="H379" s="219"/>
      <c r="I379" s="219"/>
      <c r="J379" s="219"/>
      <c r="K379" s="219"/>
      <c r="L379" s="219"/>
      <c r="M379" s="219"/>
      <c r="N379" s="219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19"/>
      <c r="Z379" s="219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19"/>
      <c r="AL379" s="219"/>
      <c r="AM379" s="219"/>
      <c r="AN379" s="219"/>
      <c r="AO379" s="219"/>
      <c r="AP379" s="219"/>
      <c r="AQ379" s="219"/>
      <c r="AR379" s="219"/>
      <c r="AS379" s="219"/>
      <c r="AT379" s="219"/>
      <c r="AU379" s="219"/>
      <c r="AV379" s="219"/>
      <c r="AW379" s="219"/>
      <c r="AX379" s="219"/>
      <c r="AY379" s="219"/>
      <c r="AZ379" s="219"/>
      <c r="BA379" s="219"/>
      <c r="BB379" s="219"/>
      <c r="BC379" s="219"/>
      <c r="BD379" s="219"/>
      <c r="BE379" s="219"/>
      <c r="BF379" s="219"/>
      <c r="BG379" s="219"/>
      <c r="BH379" s="219"/>
      <c r="BI379" s="219"/>
      <c r="BJ379" s="219"/>
      <c r="BK379" s="219"/>
      <c r="BL379" s="219"/>
      <c r="BM379" s="219"/>
    </row>
    <row r="380" spans="1:65">
      <c r="A380" s="219"/>
      <c r="B380" s="219"/>
      <c r="C380" s="219"/>
      <c r="D380" s="219"/>
      <c r="E380" s="219"/>
      <c r="F380" s="219"/>
      <c r="G380" s="219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19"/>
      <c r="Z380" s="219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19"/>
      <c r="AL380" s="219"/>
      <c r="AM380" s="219"/>
      <c r="AN380" s="219"/>
      <c r="AO380" s="219"/>
      <c r="AP380" s="219"/>
      <c r="AQ380" s="219"/>
      <c r="AR380" s="219"/>
      <c r="AS380" s="219"/>
      <c r="AT380" s="219"/>
      <c r="AU380" s="219"/>
      <c r="AV380" s="219"/>
      <c r="AW380" s="219"/>
      <c r="AX380" s="219"/>
      <c r="AY380" s="219"/>
      <c r="AZ380" s="219"/>
      <c r="BA380" s="219"/>
      <c r="BB380" s="219"/>
      <c r="BC380" s="219"/>
      <c r="BD380" s="219"/>
      <c r="BE380" s="219"/>
      <c r="BF380" s="219"/>
      <c r="BG380" s="219"/>
      <c r="BH380" s="219"/>
      <c r="BI380" s="219"/>
      <c r="BJ380" s="219"/>
      <c r="BK380" s="219"/>
      <c r="BL380" s="219"/>
      <c r="BM380" s="219"/>
    </row>
    <row r="381" spans="1:65">
      <c r="A381" s="219"/>
      <c r="B381" s="219"/>
      <c r="C381" s="219"/>
      <c r="D381" s="219"/>
      <c r="E381" s="219"/>
      <c r="F381" s="219"/>
      <c r="G381" s="219"/>
      <c r="H381" s="219"/>
      <c r="I381" s="219"/>
      <c r="J381" s="219"/>
      <c r="K381" s="219"/>
      <c r="L381" s="219"/>
      <c r="M381" s="219"/>
      <c r="N381" s="219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19"/>
      <c r="Z381" s="219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19"/>
      <c r="AL381" s="219"/>
      <c r="AM381" s="219"/>
      <c r="AN381" s="219"/>
      <c r="AO381" s="219"/>
      <c r="AP381" s="219"/>
      <c r="AQ381" s="219"/>
      <c r="AR381" s="219"/>
      <c r="AS381" s="219"/>
      <c r="AT381" s="219"/>
      <c r="AU381" s="219"/>
      <c r="AV381" s="219"/>
      <c r="AW381" s="219"/>
      <c r="AX381" s="219"/>
      <c r="AY381" s="219"/>
      <c r="AZ381" s="219"/>
      <c r="BA381" s="219"/>
      <c r="BB381" s="219"/>
      <c r="BC381" s="219"/>
      <c r="BD381" s="219"/>
      <c r="BE381" s="219"/>
      <c r="BF381" s="219"/>
      <c r="BG381" s="219"/>
      <c r="BH381" s="219"/>
      <c r="BI381" s="219"/>
      <c r="BJ381" s="219"/>
      <c r="BK381" s="219"/>
      <c r="BL381" s="219"/>
      <c r="BM381" s="219"/>
    </row>
    <row r="382" spans="1:65">
      <c r="A382" s="219"/>
      <c r="B382" s="219"/>
      <c r="C382" s="219"/>
      <c r="D382" s="219"/>
      <c r="E382" s="219"/>
      <c r="F382" s="219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19"/>
      <c r="Z382" s="219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19"/>
      <c r="AL382" s="219"/>
      <c r="AM382" s="219"/>
      <c r="AN382" s="219"/>
      <c r="AO382" s="219"/>
      <c r="AP382" s="219"/>
      <c r="AQ382" s="219"/>
      <c r="AR382" s="219"/>
      <c r="AS382" s="219"/>
      <c r="AT382" s="219"/>
      <c r="AU382" s="219"/>
      <c r="AV382" s="219"/>
      <c r="AW382" s="219"/>
      <c r="AX382" s="219"/>
      <c r="AY382" s="219"/>
      <c r="AZ382" s="219"/>
      <c r="BA382" s="219"/>
      <c r="BB382" s="219"/>
      <c r="BC382" s="219"/>
      <c r="BD382" s="219"/>
      <c r="BE382" s="219"/>
      <c r="BF382" s="219"/>
      <c r="BG382" s="219"/>
      <c r="BH382" s="219"/>
      <c r="BI382" s="219"/>
      <c r="BJ382" s="219"/>
      <c r="BK382" s="219"/>
      <c r="BL382" s="219"/>
      <c r="BM382" s="219"/>
    </row>
    <row r="383" spans="1:65">
      <c r="A383" s="219"/>
      <c r="B383" s="219"/>
      <c r="C383" s="219"/>
      <c r="D383" s="219"/>
      <c r="E383" s="219"/>
      <c r="F383" s="219"/>
      <c r="G383" s="219"/>
      <c r="H383" s="219"/>
      <c r="I383" s="219"/>
      <c r="J383" s="219"/>
      <c r="K383" s="219"/>
      <c r="L383" s="219"/>
      <c r="M383" s="219"/>
      <c r="N383" s="219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19"/>
      <c r="Z383" s="219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19"/>
      <c r="AL383" s="219"/>
      <c r="AM383" s="219"/>
      <c r="AN383" s="219"/>
      <c r="AO383" s="219"/>
      <c r="AP383" s="219"/>
      <c r="AQ383" s="219"/>
      <c r="AR383" s="219"/>
      <c r="AS383" s="219"/>
      <c r="AT383" s="219"/>
      <c r="AU383" s="219"/>
      <c r="AV383" s="219"/>
      <c r="AW383" s="219"/>
      <c r="AX383" s="219"/>
      <c r="AY383" s="219"/>
      <c r="AZ383" s="219"/>
      <c r="BA383" s="219"/>
      <c r="BB383" s="219"/>
      <c r="BC383" s="219"/>
      <c r="BD383" s="219"/>
      <c r="BE383" s="219"/>
      <c r="BF383" s="219"/>
      <c r="BG383" s="219"/>
      <c r="BH383" s="219"/>
      <c r="BI383" s="219"/>
      <c r="BJ383" s="219"/>
      <c r="BK383" s="219"/>
      <c r="BL383" s="219"/>
      <c r="BM383" s="219"/>
    </row>
    <row r="384" spans="1:65">
      <c r="A384" s="219"/>
      <c r="B384" s="219"/>
      <c r="C384" s="219"/>
      <c r="D384" s="219"/>
      <c r="E384" s="219"/>
      <c r="F384" s="219"/>
      <c r="G384" s="219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19"/>
      <c r="Z384" s="219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19"/>
      <c r="AL384" s="219"/>
      <c r="AM384" s="219"/>
      <c r="AN384" s="219"/>
      <c r="AO384" s="219"/>
      <c r="AP384" s="219"/>
      <c r="AQ384" s="219"/>
      <c r="AR384" s="219"/>
      <c r="AS384" s="219"/>
      <c r="AT384" s="219"/>
      <c r="AU384" s="219"/>
      <c r="AV384" s="219"/>
      <c r="AW384" s="219"/>
      <c r="AX384" s="219"/>
      <c r="AY384" s="219"/>
      <c r="AZ384" s="219"/>
      <c r="BA384" s="219"/>
      <c r="BB384" s="219"/>
      <c r="BC384" s="219"/>
      <c r="BD384" s="219"/>
      <c r="BE384" s="219"/>
      <c r="BF384" s="219"/>
      <c r="BG384" s="219"/>
      <c r="BH384" s="219"/>
      <c r="BI384" s="219"/>
      <c r="BJ384" s="219"/>
      <c r="BK384" s="219"/>
      <c r="BL384" s="219"/>
      <c r="BM384" s="219"/>
    </row>
    <row r="385" spans="1:65">
      <c r="A385" s="219"/>
      <c r="B385" s="219"/>
      <c r="C385" s="219"/>
      <c r="D385" s="219"/>
      <c r="E385" s="219"/>
      <c r="F385" s="219"/>
      <c r="G385" s="219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19"/>
      <c r="Z385" s="219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19"/>
      <c r="AL385" s="219"/>
      <c r="AM385" s="219"/>
      <c r="AN385" s="219"/>
      <c r="AO385" s="219"/>
      <c r="AP385" s="219"/>
      <c r="AQ385" s="219"/>
      <c r="AR385" s="219"/>
      <c r="AS385" s="219"/>
      <c r="AT385" s="219"/>
      <c r="AU385" s="219"/>
      <c r="AV385" s="219"/>
      <c r="AW385" s="219"/>
      <c r="AX385" s="219"/>
      <c r="AY385" s="219"/>
      <c r="AZ385" s="219"/>
      <c r="BA385" s="219"/>
      <c r="BB385" s="219"/>
      <c r="BC385" s="219"/>
      <c r="BD385" s="219"/>
      <c r="BE385" s="219"/>
      <c r="BF385" s="219"/>
      <c r="BG385" s="219"/>
      <c r="BH385" s="219"/>
      <c r="BI385" s="219"/>
      <c r="BJ385" s="219"/>
      <c r="BK385" s="219"/>
      <c r="BL385" s="219"/>
      <c r="BM385" s="219"/>
    </row>
    <row r="386" spans="1:65">
      <c r="A386" s="219"/>
      <c r="B386" s="219"/>
      <c r="C386" s="219"/>
      <c r="D386" s="219"/>
      <c r="E386" s="219"/>
      <c r="F386" s="219"/>
      <c r="G386" s="219"/>
      <c r="H386" s="219"/>
      <c r="I386" s="219"/>
      <c r="J386" s="219"/>
      <c r="K386" s="219"/>
      <c r="L386" s="219"/>
      <c r="M386" s="219"/>
      <c r="N386" s="219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19"/>
      <c r="Z386" s="219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19"/>
      <c r="AL386" s="219"/>
      <c r="AM386" s="219"/>
      <c r="AN386" s="219"/>
      <c r="AO386" s="219"/>
      <c r="AP386" s="219"/>
      <c r="AQ386" s="219"/>
      <c r="AR386" s="219"/>
      <c r="AS386" s="219"/>
      <c r="AT386" s="219"/>
      <c r="AU386" s="219"/>
      <c r="AV386" s="219"/>
      <c r="AW386" s="219"/>
      <c r="AX386" s="219"/>
      <c r="AY386" s="219"/>
      <c r="AZ386" s="219"/>
      <c r="BA386" s="219"/>
      <c r="BB386" s="219"/>
      <c r="BC386" s="219"/>
      <c r="BD386" s="219"/>
      <c r="BE386" s="219"/>
      <c r="BF386" s="219"/>
      <c r="BG386" s="219"/>
      <c r="BH386" s="219"/>
      <c r="BI386" s="219"/>
      <c r="BJ386" s="219"/>
      <c r="BK386" s="219"/>
      <c r="BL386" s="219"/>
      <c r="BM386" s="219"/>
    </row>
    <row r="387" spans="1:65">
      <c r="A387" s="219"/>
      <c r="B387" s="219"/>
      <c r="C387" s="219"/>
      <c r="D387" s="219"/>
      <c r="E387" s="219"/>
      <c r="F387" s="219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19"/>
      <c r="AL387" s="219"/>
      <c r="AM387" s="219"/>
      <c r="AN387" s="219"/>
      <c r="AO387" s="219"/>
      <c r="AP387" s="219"/>
      <c r="AQ387" s="219"/>
      <c r="AR387" s="219"/>
      <c r="AS387" s="219"/>
      <c r="AT387" s="219"/>
      <c r="AU387" s="219"/>
      <c r="AV387" s="219"/>
      <c r="AW387" s="219"/>
      <c r="AX387" s="219"/>
      <c r="AY387" s="219"/>
      <c r="AZ387" s="219"/>
      <c r="BA387" s="219"/>
      <c r="BB387" s="219"/>
      <c r="BC387" s="219"/>
      <c r="BD387" s="219"/>
      <c r="BE387" s="219"/>
      <c r="BF387" s="219"/>
      <c r="BG387" s="219"/>
      <c r="BH387" s="219"/>
      <c r="BI387" s="219"/>
      <c r="BJ387" s="219"/>
      <c r="BK387" s="219"/>
      <c r="BL387" s="219"/>
      <c r="BM387" s="219"/>
    </row>
    <row r="388" spans="1:65">
      <c r="A388" s="219"/>
      <c r="B388" s="219"/>
      <c r="C388" s="219"/>
      <c r="D388" s="219"/>
      <c r="E388" s="219"/>
      <c r="F388" s="219"/>
      <c r="G388" s="219"/>
      <c r="H388" s="219"/>
      <c r="I388" s="219"/>
      <c r="J388" s="219"/>
      <c r="K388" s="219"/>
      <c r="L388" s="219"/>
      <c r="M388" s="219"/>
      <c r="N388" s="219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19"/>
      <c r="Z388" s="219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19"/>
      <c r="AL388" s="219"/>
      <c r="AM388" s="219"/>
      <c r="AN388" s="219"/>
      <c r="AO388" s="219"/>
      <c r="AP388" s="219"/>
      <c r="AQ388" s="219"/>
      <c r="AR388" s="219"/>
      <c r="AS388" s="219"/>
      <c r="AT388" s="219"/>
      <c r="AU388" s="219"/>
      <c r="AV388" s="219"/>
      <c r="AW388" s="219"/>
      <c r="AX388" s="219"/>
      <c r="AY388" s="219"/>
      <c r="AZ388" s="219"/>
      <c r="BA388" s="219"/>
      <c r="BB388" s="219"/>
      <c r="BC388" s="219"/>
      <c r="BD388" s="219"/>
      <c r="BE388" s="219"/>
      <c r="BF388" s="219"/>
      <c r="BG388" s="219"/>
      <c r="BH388" s="219"/>
      <c r="BI388" s="219"/>
      <c r="BJ388" s="219"/>
      <c r="BK388" s="219"/>
      <c r="BL388" s="219"/>
      <c r="BM388" s="219"/>
    </row>
    <row r="389" spans="1:65">
      <c r="A389" s="219"/>
      <c r="B389" s="219"/>
      <c r="C389" s="219"/>
      <c r="D389" s="219"/>
      <c r="E389" s="219"/>
      <c r="F389" s="219"/>
      <c r="G389" s="219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19"/>
      <c r="Z389" s="219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19"/>
      <c r="AL389" s="219"/>
      <c r="AM389" s="219"/>
      <c r="AN389" s="219"/>
      <c r="AO389" s="219"/>
      <c r="AP389" s="219"/>
      <c r="AQ389" s="219"/>
      <c r="AR389" s="219"/>
      <c r="AS389" s="219"/>
      <c r="AT389" s="219"/>
      <c r="AU389" s="219"/>
      <c r="AV389" s="219"/>
      <c r="AW389" s="219"/>
      <c r="AX389" s="219"/>
      <c r="AY389" s="219"/>
      <c r="AZ389" s="219"/>
      <c r="BA389" s="219"/>
      <c r="BB389" s="219"/>
      <c r="BC389" s="219"/>
      <c r="BD389" s="219"/>
      <c r="BE389" s="219"/>
      <c r="BF389" s="219"/>
      <c r="BG389" s="219"/>
      <c r="BH389" s="219"/>
      <c r="BI389" s="219"/>
      <c r="BJ389" s="219"/>
      <c r="BK389" s="219"/>
      <c r="BL389" s="219"/>
      <c r="BM389" s="219"/>
    </row>
    <row r="390" spans="1:65">
      <c r="A390" s="219"/>
      <c r="B390" s="219"/>
      <c r="C390" s="219"/>
      <c r="D390" s="219"/>
      <c r="E390" s="219"/>
      <c r="F390" s="219"/>
      <c r="G390" s="219"/>
      <c r="H390" s="219"/>
      <c r="I390" s="219"/>
      <c r="J390" s="219"/>
      <c r="K390" s="219"/>
      <c r="L390" s="219"/>
      <c r="M390" s="219"/>
      <c r="N390" s="219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19"/>
      <c r="Z390" s="219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19"/>
      <c r="AL390" s="219"/>
      <c r="AM390" s="219"/>
      <c r="AN390" s="219"/>
      <c r="AO390" s="219"/>
      <c r="AP390" s="219"/>
      <c r="AQ390" s="219"/>
      <c r="AR390" s="219"/>
      <c r="AS390" s="219"/>
      <c r="AT390" s="219"/>
      <c r="AU390" s="219"/>
      <c r="AV390" s="219"/>
      <c r="AW390" s="219"/>
      <c r="AX390" s="219"/>
      <c r="AY390" s="219"/>
      <c r="AZ390" s="219"/>
      <c r="BA390" s="219"/>
      <c r="BB390" s="219"/>
      <c r="BC390" s="219"/>
      <c r="BD390" s="219"/>
      <c r="BE390" s="219"/>
      <c r="BF390" s="219"/>
      <c r="BG390" s="219"/>
      <c r="BH390" s="219"/>
      <c r="BI390" s="219"/>
      <c r="BJ390" s="219"/>
      <c r="BK390" s="219"/>
      <c r="BL390" s="219"/>
      <c r="BM390" s="219"/>
    </row>
    <row r="391" spans="1:65">
      <c r="A391" s="219"/>
      <c r="B391" s="219"/>
      <c r="C391" s="219"/>
      <c r="D391" s="219"/>
      <c r="E391" s="219"/>
      <c r="F391" s="219"/>
      <c r="G391" s="219"/>
      <c r="H391" s="219"/>
      <c r="I391" s="219"/>
      <c r="J391" s="219"/>
      <c r="K391" s="219"/>
      <c r="L391" s="219"/>
      <c r="M391" s="219"/>
      <c r="N391" s="219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19"/>
      <c r="Z391" s="219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19"/>
      <c r="AL391" s="219"/>
      <c r="AM391" s="219"/>
      <c r="AN391" s="219"/>
      <c r="AO391" s="219"/>
      <c r="AP391" s="219"/>
      <c r="AQ391" s="219"/>
      <c r="AR391" s="219"/>
      <c r="AS391" s="219"/>
      <c r="AT391" s="219"/>
      <c r="AU391" s="219"/>
      <c r="AV391" s="219"/>
      <c r="AW391" s="219"/>
      <c r="AX391" s="219"/>
      <c r="AY391" s="219"/>
      <c r="AZ391" s="219"/>
      <c r="BA391" s="219"/>
      <c r="BB391" s="219"/>
      <c r="BC391" s="219"/>
      <c r="BD391" s="219"/>
      <c r="BE391" s="219"/>
      <c r="BF391" s="219"/>
      <c r="BG391" s="219"/>
      <c r="BH391" s="219"/>
      <c r="BI391" s="219"/>
      <c r="BJ391" s="219"/>
      <c r="BK391" s="219"/>
      <c r="BL391" s="219"/>
      <c r="BM391" s="219"/>
    </row>
    <row r="392" spans="1:65">
      <c r="A392" s="219"/>
      <c r="B392" s="219"/>
      <c r="C392" s="219"/>
      <c r="D392" s="219"/>
      <c r="E392" s="219"/>
      <c r="F392" s="219"/>
      <c r="G392" s="219"/>
      <c r="H392" s="219"/>
      <c r="I392" s="219"/>
      <c r="J392" s="219"/>
      <c r="K392" s="219"/>
      <c r="L392" s="219"/>
      <c r="M392" s="219"/>
      <c r="N392" s="219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19"/>
      <c r="Z392" s="219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19"/>
      <c r="AL392" s="219"/>
      <c r="AM392" s="219"/>
      <c r="AN392" s="219"/>
      <c r="AO392" s="219"/>
      <c r="AP392" s="219"/>
      <c r="AQ392" s="219"/>
      <c r="AR392" s="219"/>
      <c r="AS392" s="219"/>
      <c r="AT392" s="219"/>
      <c r="AU392" s="219"/>
      <c r="AV392" s="219"/>
      <c r="AW392" s="219"/>
      <c r="AX392" s="219"/>
      <c r="AY392" s="219"/>
      <c r="AZ392" s="219"/>
      <c r="BA392" s="219"/>
      <c r="BB392" s="219"/>
      <c r="BC392" s="219"/>
      <c r="BD392" s="219"/>
      <c r="BE392" s="219"/>
      <c r="BF392" s="219"/>
      <c r="BG392" s="219"/>
      <c r="BH392" s="219"/>
      <c r="BI392" s="219"/>
      <c r="BJ392" s="219"/>
      <c r="BK392" s="219"/>
      <c r="BL392" s="219"/>
      <c r="BM392" s="219"/>
    </row>
    <row r="393" spans="1:65">
      <c r="A393" s="219"/>
      <c r="B393" s="219"/>
      <c r="C393" s="219"/>
      <c r="D393" s="219"/>
      <c r="E393" s="219"/>
      <c r="F393" s="219"/>
      <c r="G393" s="219"/>
      <c r="H393" s="219"/>
      <c r="I393" s="219"/>
      <c r="J393" s="219"/>
      <c r="K393" s="219"/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19"/>
      <c r="AL393" s="219"/>
      <c r="AM393" s="219"/>
      <c r="AN393" s="219"/>
      <c r="AO393" s="219"/>
      <c r="AP393" s="219"/>
      <c r="AQ393" s="219"/>
      <c r="AR393" s="219"/>
      <c r="AS393" s="219"/>
      <c r="AT393" s="219"/>
      <c r="AU393" s="219"/>
      <c r="AV393" s="219"/>
      <c r="AW393" s="219"/>
      <c r="AX393" s="219"/>
      <c r="AY393" s="219"/>
      <c r="AZ393" s="219"/>
      <c r="BA393" s="219"/>
      <c r="BB393" s="219"/>
      <c r="BC393" s="219"/>
      <c r="BD393" s="219"/>
      <c r="BE393" s="219"/>
      <c r="BF393" s="219"/>
      <c r="BG393" s="219"/>
      <c r="BH393" s="219"/>
      <c r="BI393" s="219"/>
      <c r="BJ393" s="219"/>
      <c r="BK393" s="219"/>
      <c r="BL393" s="219"/>
      <c r="BM393" s="219"/>
    </row>
    <row r="394" spans="1:65">
      <c r="A394" s="219"/>
      <c r="B394" s="219"/>
      <c r="C394" s="219"/>
      <c r="D394" s="219"/>
      <c r="E394" s="219"/>
      <c r="F394" s="219"/>
      <c r="G394" s="219"/>
      <c r="H394" s="219"/>
      <c r="I394" s="219"/>
      <c r="J394" s="219"/>
      <c r="K394" s="219"/>
      <c r="L394" s="219"/>
      <c r="M394" s="219"/>
      <c r="N394" s="219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19"/>
      <c r="AL394" s="219"/>
      <c r="AM394" s="219"/>
      <c r="AN394" s="219"/>
      <c r="AO394" s="219"/>
      <c r="AP394" s="219"/>
      <c r="AQ394" s="219"/>
      <c r="AR394" s="219"/>
      <c r="AS394" s="219"/>
      <c r="AT394" s="219"/>
      <c r="AU394" s="219"/>
      <c r="AV394" s="219"/>
      <c r="AW394" s="219"/>
      <c r="AX394" s="219"/>
      <c r="AY394" s="219"/>
      <c r="AZ394" s="219"/>
      <c r="BA394" s="219"/>
      <c r="BB394" s="219"/>
      <c r="BC394" s="219"/>
      <c r="BD394" s="219"/>
      <c r="BE394" s="219"/>
      <c r="BF394" s="219"/>
      <c r="BG394" s="219"/>
      <c r="BH394" s="219"/>
      <c r="BI394" s="219"/>
      <c r="BJ394" s="219"/>
      <c r="BK394" s="219"/>
      <c r="BL394" s="219"/>
      <c r="BM394" s="219"/>
    </row>
    <row r="395" spans="1:65">
      <c r="A395" s="219"/>
      <c r="B395" s="219"/>
      <c r="C395" s="219"/>
      <c r="D395" s="219"/>
      <c r="E395" s="219"/>
      <c r="F395" s="219"/>
      <c r="G395" s="219"/>
      <c r="H395" s="219"/>
      <c r="I395" s="219"/>
      <c r="J395" s="219"/>
      <c r="K395" s="219"/>
      <c r="L395" s="219"/>
      <c r="M395" s="219"/>
      <c r="N395" s="219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19"/>
      <c r="Z395" s="219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19"/>
      <c r="AL395" s="219"/>
      <c r="AM395" s="219"/>
      <c r="AN395" s="219"/>
      <c r="AO395" s="219"/>
      <c r="AP395" s="219"/>
      <c r="AQ395" s="219"/>
      <c r="AR395" s="219"/>
      <c r="AS395" s="219"/>
      <c r="AT395" s="219"/>
      <c r="AU395" s="219"/>
      <c r="AV395" s="219"/>
      <c r="AW395" s="219"/>
      <c r="AX395" s="219"/>
      <c r="AY395" s="219"/>
      <c r="AZ395" s="219"/>
      <c r="BA395" s="219"/>
      <c r="BB395" s="219"/>
      <c r="BC395" s="219"/>
      <c r="BD395" s="219"/>
      <c r="BE395" s="219"/>
      <c r="BF395" s="219"/>
      <c r="BG395" s="219"/>
      <c r="BH395" s="219"/>
      <c r="BI395" s="219"/>
      <c r="BJ395" s="219"/>
      <c r="BK395" s="219"/>
      <c r="BL395" s="219"/>
      <c r="BM395" s="219"/>
    </row>
    <row r="396" spans="1:65">
      <c r="A396" s="219"/>
      <c r="B396" s="219"/>
      <c r="C396" s="219"/>
      <c r="D396" s="219"/>
      <c r="E396" s="219"/>
      <c r="F396" s="219"/>
      <c r="G396" s="219"/>
      <c r="H396" s="219"/>
      <c r="I396" s="219"/>
      <c r="J396" s="219"/>
      <c r="K396" s="219"/>
      <c r="L396" s="219"/>
      <c r="M396" s="219"/>
      <c r="N396" s="219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19"/>
      <c r="Z396" s="219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19"/>
      <c r="AL396" s="219"/>
      <c r="AM396" s="219"/>
      <c r="AN396" s="219"/>
      <c r="AO396" s="219"/>
      <c r="AP396" s="219"/>
      <c r="AQ396" s="219"/>
      <c r="AR396" s="219"/>
      <c r="AS396" s="219"/>
      <c r="AT396" s="219"/>
      <c r="AU396" s="219"/>
      <c r="AV396" s="219"/>
      <c r="AW396" s="219"/>
      <c r="AX396" s="219"/>
      <c r="AY396" s="219"/>
      <c r="AZ396" s="219"/>
      <c r="BA396" s="219"/>
      <c r="BB396" s="219"/>
      <c r="BC396" s="219"/>
      <c r="BD396" s="219"/>
      <c r="BE396" s="219"/>
      <c r="BF396" s="219"/>
      <c r="BG396" s="219"/>
      <c r="BH396" s="219"/>
      <c r="BI396" s="219"/>
      <c r="BJ396" s="219"/>
      <c r="BK396" s="219"/>
      <c r="BL396" s="219"/>
      <c r="BM396" s="219"/>
    </row>
    <row r="397" spans="1:65">
      <c r="A397" s="219"/>
      <c r="B397" s="219"/>
      <c r="C397" s="219"/>
      <c r="D397" s="219"/>
      <c r="E397" s="219"/>
      <c r="F397" s="219"/>
      <c r="G397" s="219"/>
      <c r="H397" s="219"/>
      <c r="I397" s="219"/>
      <c r="J397" s="219"/>
      <c r="K397" s="219"/>
      <c r="L397" s="219"/>
      <c r="M397" s="219"/>
      <c r="N397" s="219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19"/>
      <c r="Z397" s="219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19"/>
      <c r="AL397" s="219"/>
      <c r="AM397" s="219"/>
      <c r="AN397" s="219"/>
      <c r="AO397" s="219"/>
      <c r="AP397" s="219"/>
      <c r="AQ397" s="219"/>
      <c r="AR397" s="219"/>
      <c r="AS397" s="219"/>
      <c r="AT397" s="219"/>
      <c r="AU397" s="219"/>
      <c r="AV397" s="219"/>
      <c r="AW397" s="219"/>
      <c r="AX397" s="219"/>
      <c r="AY397" s="219"/>
      <c r="AZ397" s="219"/>
      <c r="BA397" s="219"/>
      <c r="BB397" s="219"/>
      <c r="BC397" s="219"/>
      <c r="BD397" s="219"/>
      <c r="BE397" s="219"/>
      <c r="BF397" s="219"/>
      <c r="BG397" s="219"/>
      <c r="BH397" s="219"/>
      <c r="BI397" s="219"/>
      <c r="BJ397" s="219"/>
      <c r="BK397" s="219"/>
      <c r="BL397" s="219"/>
      <c r="BM397" s="219"/>
    </row>
    <row r="398" spans="1:65">
      <c r="A398" s="219"/>
      <c r="B398" s="219"/>
      <c r="C398" s="219"/>
      <c r="D398" s="219"/>
      <c r="E398" s="219"/>
      <c r="F398" s="219"/>
      <c r="G398" s="219"/>
      <c r="H398" s="219"/>
      <c r="I398" s="219"/>
      <c r="J398" s="219"/>
      <c r="K398" s="219"/>
      <c r="L398" s="219"/>
      <c r="M398" s="219"/>
      <c r="N398" s="219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19"/>
      <c r="Z398" s="219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19"/>
      <c r="AL398" s="219"/>
      <c r="AM398" s="219"/>
      <c r="AN398" s="219"/>
      <c r="AO398" s="219"/>
      <c r="AP398" s="219"/>
      <c r="AQ398" s="219"/>
      <c r="AR398" s="219"/>
      <c r="AS398" s="219"/>
      <c r="AT398" s="219"/>
      <c r="AU398" s="219"/>
      <c r="AV398" s="219"/>
      <c r="AW398" s="219"/>
      <c r="AX398" s="219"/>
      <c r="AY398" s="219"/>
      <c r="AZ398" s="219"/>
      <c r="BA398" s="219"/>
      <c r="BB398" s="219"/>
      <c r="BC398" s="219"/>
      <c r="BD398" s="219"/>
      <c r="BE398" s="219"/>
      <c r="BF398" s="219"/>
      <c r="BG398" s="219"/>
      <c r="BH398" s="219"/>
      <c r="BI398" s="219"/>
      <c r="BJ398" s="219"/>
      <c r="BK398" s="219"/>
      <c r="BL398" s="219"/>
      <c r="BM398" s="219"/>
    </row>
    <row r="399" spans="1:65">
      <c r="A399" s="219"/>
      <c r="B399" s="219"/>
      <c r="C399" s="219"/>
      <c r="D399" s="219"/>
      <c r="E399" s="219"/>
      <c r="F399" s="219"/>
      <c r="G399" s="219"/>
      <c r="H399" s="219"/>
      <c r="I399" s="219"/>
      <c r="J399" s="219"/>
      <c r="K399" s="219"/>
      <c r="L399" s="219"/>
      <c r="M399" s="219"/>
      <c r="N399" s="219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19"/>
      <c r="Z399" s="219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19"/>
      <c r="AL399" s="219"/>
      <c r="AM399" s="219"/>
      <c r="AN399" s="219"/>
      <c r="AO399" s="219"/>
      <c r="AP399" s="219"/>
      <c r="AQ399" s="219"/>
      <c r="AR399" s="219"/>
      <c r="AS399" s="219"/>
      <c r="AT399" s="219"/>
      <c r="AU399" s="219"/>
      <c r="AV399" s="219"/>
      <c r="AW399" s="219"/>
      <c r="AX399" s="219"/>
      <c r="AY399" s="219"/>
      <c r="AZ399" s="219"/>
      <c r="BA399" s="219"/>
      <c r="BB399" s="219"/>
      <c r="BC399" s="219"/>
      <c r="BD399" s="219"/>
      <c r="BE399" s="219"/>
      <c r="BF399" s="219"/>
      <c r="BG399" s="219"/>
      <c r="BH399" s="219"/>
      <c r="BI399" s="219"/>
      <c r="BJ399" s="219"/>
      <c r="BK399" s="219"/>
      <c r="BL399" s="219"/>
      <c r="BM399" s="219"/>
    </row>
    <row r="400" spans="1:65">
      <c r="A400" s="219"/>
      <c r="B400" s="219"/>
      <c r="C400" s="219"/>
      <c r="D400" s="219"/>
      <c r="E400" s="219"/>
      <c r="F400" s="219"/>
      <c r="G400" s="219"/>
      <c r="H400" s="219"/>
      <c r="I400" s="219"/>
      <c r="J400" s="219"/>
      <c r="K400" s="219"/>
      <c r="L400" s="219"/>
      <c r="M400" s="219"/>
      <c r="N400" s="219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19"/>
      <c r="Z400" s="219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19"/>
      <c r="AL400" s="219"/>
      <c r="AM400" s="219"/>
      <c r="AN400" s="219"/>
      <c r="AO400" s="219"/>
      <c r="AP400" s="219"/>
      <c r="AQ400" s="219"/>
      <c r="AR400" s="219"/>
      <c r="AS400" s="219"/>
      <c r="AT400" s="219"/>
      <c r="AU400" s="219"/>
      <c r="AV400" s="219"/>
      <c r="AW400" s="219"/>
      <c r="AX400" s="219"/>
      <c r="AY400" s="219"/>
      <c r="AZ400" s="219"/>
      <c r="BA400" s="219"/>
      <c r="BB400" s="219"/>
      <c r="BC400" s="219"/>
      <c r="BD400" s="219"/>
      <c r="BE400" s="219"/>
      <c r="BF400" s="219"/>
      <c r="BG400" s="219"/>
      <c r="BH400" s="219"/>
      <c r="BI400" s="219"/>
      <c r="BJ400" s="219"/>
      <c r="BK400" s="219"/>
      <c r="BL400" s="219"/>
      <c r="BM400" s="219"/>
    </row>
    <row r="401" spans="1:65">
      <c r="A401" s="219"/>
      <c r="B401" s="219"/>
      <c r="C401" s="219"/>
      <c r="D401" s="219"/>
      <c r="E401" s="219"/>
      <c r="F401" s="219"/>
      <c r="G401" s="219"/>
      <c r="H401" s="219"/>
      <c r="I401" s="219"/>
      <c r="J401" s="219"/>
      <c r="K401" s="219"/>
      <c r="L401" s="219"/>
      <c r="M401" s="219"/>
      <c r="N401" s="219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19"/>
      <c r="Z401" s="219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19"/>
      <c r="AL401" s="219"/>
      <c r="AM401" s="219"/>
      <c r="AN401" s="219"/>
      <c r="AO401" s="219"/>
      <c r="AP401" s="219"/>
      <c r="AQ401" s="219"/>
      <c r="AR401" s="219"/>
      <c r="AS401" s="219"/>
      <c r="AT401" s="219"/>
      <c r="AU401" s="219"/>
      <c r="AV401" s="219"/>
      <c r="AW401" s="219"/>
      <c r="AX401" s="219"/>
      <c r="AY401" s="219"/>
      <c r="AZ401" s="219"/>
      <c r="BA401" s="219"/>
      <c r="BB401" s="219"/>
      <c r="BC401" s="219"/>
      <c r="BD401" s="219"/>
      <c r="BE401" s="219"/>
      <c r="BF401" s="219"/>
      <c r="BG401" s="219"/>
      <c r="BH401" s="219"/>
      <c r="BI401" s="219"/>
      <c r="BJ401" s="219"/>
      <c r="BK401" s="219"/>
      <c r="BL401" s="219"/>
      <c r="BM401" s="219"/>
    </row>
    <row r="402" spans="1:65">
      <c r="A402" s="219"/>
      <c r="B402" s="219"/>
      <c r="C402" s="219"/>
      <c r="D402" s="219"/>
      <c r="E402" s="219"/>
      <c r="F402" s="219"/>
      <c r="G402" s="219"/>
      <c r="H402" s="219"/>
      <c r="I402" s="219"/>
      <c r="J402" s="219"/>
      <c r="K402" s="219"/>
      <c r="L402" s="219"/>
      <c r="M402" s="219"/>
      <c r="N402" s="219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19"/>
      <c r="Z402" s="219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19"/>
      <c r="AL402" s="219"/>
      <c r="AM402" s="219"/>
      <c r="AN402" s="219"/>
      <c r="AO402" s="219"/>
      <c r="AP402" s="219"/>
      <c r="AQ402" s="219"/>
      <c r="AR402" s="219"/>
      <c r="AS402" s="219"/>
      <c r="AT402" s="219"/>
      <c r="AU402" s="219"/>
      <c r="AV402" s="219"/>
      <c r="AW402" s="219"/>
      <c r="AX402" s="219"/>
      <c r="AY402" s="219"/>
      <c r="AZ402" s="219"/>
      <c r="BA402" s="219"/>
      <c r="BB402" s="219"/>
      <c r="BC402" s="219"/>
      <c r="BD402" s="219"/>
      <c r="BE402" s="219"/>
      <c r="BF402" s="219"/>
      <c r="BG402" s="219"/>
      <c r="BH402" s="219"/>
      <c r="BI402" s="219"/>
      <c r="BJ402" s="219"/>
      <c r="BK402" s="219"/>
      <c r="BL402" s="219"/>
      <c r="BM402" s="219"/>
    </row>
    <row r="403" spans="1:65">
      <c r="A403" s="219"/>
      <c r="B403" s="219"/>
      <c r="C403" s="219"/>
      <c r="D403" s="219"/>
      <c r="E403" s="219"/>
      <c r="F403" s="219"/>
      <c r="G403" s="219"/>
      <c r="H403" s="219"/>
      <c r="I403" s="219"/>
      <c r="J403" s="219"/>
      <c r="K403" s="219"/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19"/>
      <c r="AL403" s="219"/>
      <c r="AM403" s="219"/>
      <c r="AN403" s="219"/>
      <c r="AO403" s="219"/>
      <c r="AP403" s="219"/>
      <c r="AQ403" s="219"/>
      <c r="AR403" s="219"/>
      <c r="AS403" s="219"/>
      <c r="AT403" s="219"/>
      <c r="AU403" s="219"/>
      <c r="AV403" s="219"/>
      <c r="AW403" s="219"/>
      <c r="AX403" s="219"/>
      <c r="AY403" s="219"/>
      <c r="AZ403" s="219"/>
      <c r="BA403" s="219"/>
      <c r="BB403" s="219"/>
      <c r="BC403" s="219"/>
      <c r="BD403" s="219"/>
      <c r="BE403" s="219"/>
      <c r="BF403" s="219"/>
      <c r="BG403" s="219"/>
      <c r="BH403" s="219"/>
      <c r="BI403" s="219"/>
      <c r="BJ403" s="219"/>
      <c r="BK403" s="219"/>
      <c r="BL403" s="219"/>
      <c r="BM403" s="219"/>
    </row>
    <row r="404" spans="1:65">
      <c r="A404" s="219"/>
      <c r="B404" s="219"/>
      <c r="C404" s="219"/>
      <c r="D404" s="219"/>
      <c r="E404" s="219"/>
      <c r="F404" s="219"/>
      <c r="G404" s="219"/>
      <c r="H404" s="219"/>
      <c r="I404" s="219"/>
      <c r="J404" s="219"/>
      <c r="K404" s="219"/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19"/>
      <c r="Z404" s="219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19"/>
      <c r="AL404" s="219"/>
      <c r="AM404" s="219"/>
      <c r="AN404" s="219"/>
      <c r="AO404" s="219"/>
      <c r="AP404" s="219"/>
      <c r="AQ404" s="219"/>
      <c r="AR404" s="219"/>
      <c r="AS404" s="219"/>
      <c r="AT404" s="219"/>
      <c r="AU404" s="219"/>
      <c r="AV404" s="219"/>
      <c r="AW404" s="219"/>
      <c r="AX404" s="219"/>
      <c r="AY404" s="219"/>
      <c r="AZ404" s="219"/>
      <c r="BA404" s="219"/>
      <c r="BB404" s="219"/>
      <c r="BC404" s="219"/>
      <c r="BD404" s="219"/>
      <c r="BE404" s="219"/>
      <c r="BF404" s="219"/>
      <c r="BG404" s="219"/>
      <c r="BH404" s="219"/>
      <c r="BI404" s="219"/>
      <c r="BJ404" s="219"/>
      <c r="BK404" s="219"/>
      <c r="BL404" s="219"/>
      <c r="BM404" s="219"/>
    </row>
    <row r="405" spans="1:65">
      <c r="A405" s="219"/>
      <c r="B405" s="219"/>
      <c r="C405" s="219"/>
      <c r="D405" s="219"/>
      <c r="E405" s="219"/>
      <c r="F405" s="219"/>
      <c r="G405" s="219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19"/>
      <c r="Z405" s="219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19"/>
      <c r="AL405" s="219"/>
      <c r="AM405" s="219"/>
      <c r="AN405" s="219"/>
      <c r="AO405" s="219"/>
      <c r="AP405" s="219"/>
      <c r="AQ405" s="219"/>
      <c r="AR405" s="219"/>
      <c r="AS405" s="219"/>
      <c r="AT405" s="219"/>
      <c r="AU405" s="219"/>
      <c r="AV405" s="219"/>
      <c r="AW405" s="219"/>
      <c r="AX405" s="219"/>
      <c r="AY405" s="219"/>
      <c r="AZ405" s="219"/>
      <c r="BA405" s="219"/>
      <c r="BB405" s="219"/>
      <c r="BC405" s="219"/>
      <c r="BD405" s="219"/>
      <c r="BE405" s="219"/>
      <c r="BF405" s="219"/>
      <c r="BG405" s="219"/>
      <c r="BH405" s="219"/>
      <c r="BI405" s="219"/>
      <c r="BJ405" s="219"/>
      <c r="BK405" s="219"/>
      <c r="BL405" s="219"/>
      <c r="BM405" s="219"/>
    </row>
    <row r="406" spans="1:65">
      <c r="A406" s="219"/>
      <c r="B406" s="219"/>
      <c r="C406" s="219"/>
      <c r="D406" s="219"/>
      <c r="E406" s="219"/>
      <c r="F406" s="219"/>
      <c r="G406" s="219"/>
      <c r="H406" s="219"/>
      <c r="I406" s="219"/>
      <c r="J406" s="219"/>
      <c r="K406" s="219"/>
      <c r="L406" s="219"/>
      <c r="M406" s="219"/>
      <c r="N406" s="219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19"/>
      <c r="Z406" s="219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19"/>
      <c r="AL406" s="219"/>
      <c r="AM406" s="219"/>
      <c r="AN406" s="219"/>
      <c r="AO406" s="219"/>
      <c r="AP406" s="219"/>
      <c r="AQ406" s="219"/>
      <c r="AR406" s="219"/>
      <c r="AS406" s="219"/>
      <c r="AT406" s="219"/>
      <c r="AU406" s="219"/>
      <c r="AV406" s="219"/>
      <c r="AW406" s="219"/>
      <c r="AX406" s="219"/>
      <c r="AY406" s="219"/>
      <c r="AZ406" s="219"/>
      <c r="BA406" s="219"/>
      <c r="BB406" s="219"/>
      <c r="BC406" s="219"/>
      <c r="BD406" s="219"/>
      <c r="BE406" s="219"/>
      <c r="BF406" s="219"/>
      <c r="BG406" s="219"/>
      <c r="BH406" s="219"/>
      <c r="BI406" s="219"/>
      <c r="BJ406" s="219"/>
      <c r="BK406" s="219"/>
      <c r="BL406" s="219"/>
      <c r="BM406" s="219"/>
    </row>
    <row r="407" spans="1:65">
      <c r="A407" s="219"/>
      <c r="B407" s="219"/>
      <c r="C407" s="219"/>
      <c r="D407" s="219"/>
      <c r="E407" s="219"/>
      <c r="F407" s="219"/>
      <c r="G407" s="219"/>
      <c r="H407" s="219"/>
      <c r="I407" s="219"/>
      <c r="J407" s="219"/>
      <c r="K407" s="219"/>
      <c r="L407" s="219"/>
      <c r="M407" s="219"/>
      <c r="N407" s="219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19"/>
      <c r="Z407" s="219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19"/>
      <c r="AL407" s="219"/>
      <c r="AM407" s="219"/>
      <c r="AN407" s="219"/>
      <c r="AO407" s="219"/>
      <c r="AP407" s="219"/>
      <c r="AQ407" s="219"/>
      <c r="AR407" s="219"/>
      <c r="AS407" s="219"/>
      <c r="AT407" s="219"/>
      <c r="AU407" s="219"/>
      <c r="AV407" s="219"/>
      <c r="AW407" s="219"/>
      <c r="AX407" s="219"/>
      <c r="AY407" s="219"/>
      <c r="AZ407" s="219"/>
      <c r="BA407" s="219"/>
      <c r="BB407" s="219"/>
      <c r="BC407" s="219"/>
      <c r="BD407" s="219"/>
      <c r="BE407" s="219"/>
      <c r="BF407" s="219"/>
      <c r="BG407" s="219"/>
      <c r="BH407" s="219"/>
      <c r="BI407" s="219"/>
      <c r="BJ407" s="219"/>
      <c r="BK407" s="219"/>
      <c r="BL407" s="219"/>
      <c r="BM407" s="219"/>
    </row>
    <row r="408" spans="1:65">
      <c r="A408" s="219"/>
      <c r="B408" s="219"/>
      <c r="C408" s="219"/>
      <c r="D408" s="219"/>
      <c r="E408" s="219"/>
      <c r="F408" s="219"/>
      <c r="G408" s="219"/>
      <c r="H408" s="219"/>
      <c r="I408" s="219"/>
      <c r="J408" s="219"/>
      <c r="K408" s="219"/>
      <c r="L408" s="219"/>
      <c r="M408" s="219"/>
      <c r="N408" s="219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19"/>
      <c r="Z408" s="219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19"/>
      <c r="AL408" s="219"/>
      <c r="AM408" s="219"/>
      <c r="AN408" s="219"/>
      <c r="AO408" s="219"/>
      <c r="AP408" s="219"/>
      <c r="AQ408" s="219"/>
      <c r="AR408" s="219"/>
      <c r="AS408" s="219"/>
      <c r="AT408" s="219"/>
      <c r="AU408" s="219"/>
      <c r="AV408" s="219"/>
      <c r="AW408" s="219"/>
      <c r="AX408" s="219"/>
      <c r="AY408" s="219"/>
      <c r="AZ408" s="219"/>
      <c r="BA408" s="219"/>
      <c r="BB408" s="219"/>
      <c r="BC408" s="219"/>
      <c r="BD408" s="219"/>
      <c r="BE408" s="219"/>
      <c r="BF408" s="219"/>
      <c r="BG408" s="219"/>
      <c r="BH408" s="219"/>
      <c r="BI408" s="219"/>
      <c r="BJ408" s="219"/>
      <c r="BK408" s="219"/>
      <c r="BL408" s="219"/>
      <c r="BM408" s="219"/>
    </row>
    <row r="409" spans="1:65">
      <c r="A409" s="219"/>
      <c r="B409" s="219"/>
      <c r="C409" s="219"/>
      <c r="D409" s="219"/>
      <c r="E409" s="219"/>
      <c r="F409" s="219"/>
      <c r="G409" s="219"/>
      <c r="H409" s="219"/>
      <c r="I409" s="219"/>
      <c r="J409" s="219"/>
      <c r="K409" s="219"/>
      <c r="L409" s="219"/>
      <c r="M409" s="219"/>
      <c r="N409" s="219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19"/>
      <c r="Z409" s="219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19"/>
      <c r="AL409" s="219"/>
      <c r="AM409" s="219"/>
      <c r="AN409" s="219"/>
      <c r="AO409" s="219"/>
      <c r="AP409" s="219"/>
      <c r="AQ409" s="219"/>
      <c r="AR409" s="219"/>
      <c r="AS409" s="219"/>
      <c r="AT409" s="219"/>
      <c r="AU409" s="219"/>
      <c r="AV409" s="219"/>
      <c r="AW409" s="219"/>
      <c r="AX409" s="219"/>
      <c r="AY409" s="219"/>
      <c r="AZ409" s="219"/>
      <c r="BA409" s="219"/>
      <c r="BB409" s="219"/>
      <c r="BC409" s="219"/>
      <c r="BD409" s="219"/>
      <c r="BE409" s="219"/>
      <c r="BF409" s="219"/>
      <c r="BG409" s="219"/>
      <c r="BH409" s="219"/>
      <c r="BI409" s="219"/>
      <c r="BJ409" s="219"/>
      <c r="BK409" s="219"/>
      <c r="BL409" s="219"/>
      <c r="BM409" s="219"/>
    </row>
    <row r="410" spans="1:65">
      <c r="A410" s="219"/>
      <c r="B410" s="219"/>
      <c r="C410" s="219"/>
      <c r="D410" s="219"/>
      <c r="E410" s="219"/>
      <c r="F410" s="219"/>
      <c r="G410" s="219"/>
      <c r="H410" s="219"/>
      <c r="I410" s="219"/>
      <c r="J410" s="219"/>
      <c r="K410" s="219"/>
      <c r="L410" s="219"/>
      <c r="M410" s="219"/>
      <c r="N410" s="219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19"/>
      <c r="Z410" s="219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19"/>
      <c r="AL410" s="219"/>
      <c r="AM410" s="219"/>
      <c r="AN410" s="219"/>
      <c r="AO410" s="219"/>
      <c r="AP410" s="219"/>
      <c r="AQ410" s="219"/>
      <c r="AR410" s="219"/>
      <c r="AS410" s="219"/>
      <c r="AT410" s="219"/>
      <c r="AU410" s="219"/>
      <c r="AV410" s="219"/>
      <c r="AW410" s="219"/>
      <c r="AX410" s="219"/>
      <c r="AY410" s="219"/>
      <c r="AZ410" s="219"/>
      <c r="BA410" s="219"/>
      <c r="BB410" s="219"/>
      <c r="BC410" s="219"/>
      <c r="BD410" s="219"/>
      <c r="BE410" s="219"/>
      <c r="BF410" s="219"/>
      <c r="BG410" s="219"/>
      <c r="BH410" s="219"/>
      <c r="BI410" s="219"/>
      <c r="BJ410" s="219"/>
      <c r="BK410" s="219"/>
      <c r="BL410" s="219"/>
      <c r="BM410" s="219"/>
    </row>
    <row r="411" spans="1:65">
      <c r="A411" s="219"/>
      <c r="B411" s="219"/>
      <c r="C411" s="219"/>
      <c r="D411" s="219"/>
      <c r="E411" s="219"/>
      <c r="F411" s="219"/>
      <c r="G411" s="219"/>
      <c r="H411" s="219"/>
      <c r="I411" s="219"/>
      <c r="J411" s="219"/>
      <c r="K411" s="219"/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19"/>
      <c r="Z411" s="219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19"/>
      <c r="AL411" s="219"/>
      <c r="AM411" s="219"/>
      <c r="AN411" s="219"/>
      <c r="AO411" s="219"/>
      <c r="AP411" s="219"/>
      <c r="AQ411" s="219"/>
      <c r="AR411" s="219"/>
      <c r="AS411" s="219"/>
      <c r="AT411" s="219"/>
      <c r="AU411" s="219"/>
      <c r="AV411" s="219"/>
      <c r="AW411" s="219"/>
      <c r="AX411" s="219"/>
      <c r="AY411" s="219"/>
      <c r="AZ411" s="219"/>
      <c r="BA411" s="219"/>
      <c r="BB411" s="219"/>
      <c r="BC411" s="219"/>
      <c r="BD411" s="219"/>
      <c r="BE411" s="219"/>
      <c r="BF411" s="219"/>
      <c r="BG411" s="219"/>
      <c r="BH411" s="219"/>
      <c r="BI411" s="219"/>
      <c r="BJ411" s="219"/>
      <c r="BK411" s="219"/>
      <c r="BL411" s="219"/>
      <c r="BM411" s="219"/>
    </row>
    <row r="412" spans="1:65">
      <c r="A412" s="219"/>
      <c r="B412" s="219"/>
      <c r="C412" s="219"/>
      <c r="D412" s="219"/>
      <c r="E412" s="219"/>
      <c r="F412" s="219"/>
      <c r="G412" s="219"/>
      <c r="H412" s="219"/>
      <c r="I412" s="219"/>
      <c r="J412" s="219"/>
      <c r="K412" s="219"/>
      <c r="L412" s="219"/>
      <c r="M412" s="219"/>
      <c r="N412" s="219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19"/>
      <c r="Z412" s="219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19"/>
      <c r="AL412" s="219"/>
      <c r="AM412" s="219"/>
      <c r="AN412" s="219"/>
      <c r="AO412" s="219"/>
      <c r="AP412" s="219"/>
      <c r="AQ412" s="219"/>
      <c r="AR412" s="219"/>
      <c r="AS412" s="219"/>
      <c r="AT412" s="219"/>
      <c r="AU412" s="219"/>
      <c r="AV412" s="219"/>
      <c r="AW412" s="219"/>
      <c r="AX412" s="219"/>
      <c r="AY412" s="219"/>
      <c r="AZ412" s="219"/>
      <c r="BA412" s="219"/>
      <c r="BB412" s="219"/>
      <c r="BC412" s="219"/>
      <c r="BD412" s="219"/>
      <c r="BE412" s="219"/>
      <c r="BF412" s="219"/>
      <c r="BG412" s="219"/>
      <c r="BH412" s="219"/>
      <c r="BI412" s="219"/>
      <c r="BJ412" s="219"/>
      <c r="BK412" s="219"/>
      <c r="BL412" s="219"/>
      <c r="BM412" s="219"/>
    </row>
    <row r="413" spans="1:65">
      <c r="A413" s="219"/>
      <c r="B413" s="219"/>
      <c r="C413" s="219"/>
      <c r="D413" s="219"/>
      <c r="E413" s="219"/>
      <c r="F413" s="219"/>
      <c r="G413" s="219"/>
      <c r="H413" s="219"/>
      <c r="I413" s="219"/>
      <c r="J413" s="219"/>
      <c r="K413" s="219"/>
      <c r="L413" s="219"/>
      <c r="M413" s="219"/>
      <c r="N413" s="219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19"/>
      <c r="Z413" s="219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19"/>
      <c r="AL413" s="219"/>
      <c r="AM413" s="219"/>
      <c r="AN413" s="219"/>
      <c r="AO413" s="219"/>
      <c r="AP413" s="219"/>
      <c r="AQ413" s="219"/>
      <c r="AR413" s="219"/>
      <c r="AS413" s="219"/>
      <c r="AT413" s="219"/>
      <c r="AU413" s="219"/>
      <c r="AV413" s="219"/>
      <c r="AW413" s="219"/>
      <c r="AX413" s="219"/>
      <c r="AY413" s="219"/>
      <c r="AZ413" s="219"/>
      <c r="BA413" s="219"/>
      <c r="BB413" s="219"/>
      <c r="BC413" s="219"/>
      <c r="BD413" s="219"/>
      <c r="BE413" s="219"/>
      <c r="BF413" s="219"/>
      <c r="BG413" s="219"/>
      <c r="BH413" s="219"/>
      <c r="BI413" s="219"/>
      <c r="BJ413" s="219"/>
      <c r="BK413" s="219"/>
      <c r="BL413" s="219"/>
      <c r="BM413" s="219"/>
    </row>
    <row r="414" spans="1:65">
      <c r="A414" s="219"/>
      <c r="B414" s="219"/>
      <c r="C414" s="219"/>
      <c r="D414" s="219"/>
      <c r="E414" s="219"/>
      <c r="F414" s="219"/>
      <c r="G414" s="219"/>
      <c r="H414" s="219"/>
      <c r="I414" s="219"/>
      <c r="J414" s="219"/>
      <c r="K414" s="219"/>
      <c r="L414" s="219"/>
      <c r="M414" s="219"/>
      <c r="N414" s="219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19"/>
      <c r="Z414" s="219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19"/>
      <c r="AL414" s="219"/>
      <c r="AM414" s="219"/>
      <c r="AN414" s="219"/>
      <c r="AO414" s="219"/>
      <c r="AP414" s="219"/>
      <c r="AQ414" s="219"/>
      <c r="AR414" s="219"/>
      <c r="AS414" s="219"/>
      <c r="AT414" s="219"/>
      <c r="AU414" s="219"/>
      <c r="AV414" s="219"/>
      <c r="AW414" s="219"/>
      <c r="AX414" s="219"/>
      <c r="AY414" s="219"/>
      <c r="AZ414" s="219"/>
      <c r="BA414" s="219"/>
      <c r="BB414" s="219"/>
      <c r="BC414" s="219"/>
      <c r="BD414" s="219"/>
      <c r="BE414" s="219"/>
      <c r="BF414" s="219"/>
      <c r="BG414" s="219"/>
      <c r="BH414" s="219"/>
      <c r="BI414" s="219"/>
      <c r="BJ414" s="219"/>
      <c r="BK414" s="219"/>
      <c r="BL414" s="219"/>
      <c r="BM414" s="219"/>
    </row>
    <row r="415" spans="1:65">
      <c r="A415" s="219"/>
      <c r="B415" s="219"/>
      <c r="C415" s="219"/>
      <c r="D415" s="219"/>
      <c r="E415" s="219"/>
      <c r="F415" s="219"/>
      <c r="G415" s="219"/>
      <c r="H415" s="219"/>
      <c r="I415" s="219"/>
      <c r="J415" s="219"/>
      <c r="K415" s="219"/>
      <c r="L415" s="219"/>
      <c r="M415" s="219"/>
      <c r="N415" s="219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19"/>
      <c r="Z415" s="219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19"/>
      <c r="AL415" s="219"/>
      <c r="AM415" s="219"/>
      <c r="AN415" s="219"/>
      <c r="AO415" s="219"/>
      <c r="AP415" s="219"/>
      <c r="AQ415" s="219"/>
      <c r="AR415" s="219"/>
      <c r="AS415" s="219"/>
      <c r="AT415" s="219"/>
      <c r="AU415" s="219"/>
      <c r="AV415" s="219"/>
      <c r="AW415" s="219"/>
      <c r="AX415" s="219"/>
      <c r="AY415" s="219"/>
      <c r="AZ415" s="219"/>
      <c r="BA415" s="219"/>
      <c r="BB415" s="219"/>
      <c r="BC415" s="219"/>
      <c r="BD415" s="219"/>
      <c r="BE415" s="219"/>
      <c r="BF415" s="219"/>
      <c r="BG415" s="219"/>
      <c r="BH415" s="219"/>
      <c r="BI415" s="219"/>
      <c r="BJ415" s="219"/>
      <c r="BK415" s="219"/>
      <c r="BL415" s="219"/>
      <c r="BM415" s="219"/>
    </row>
    <row r="416" spans="1:65">
      <c r="A416" s="219"/>
      <c r="B416" s="219"/>
      <c r="C416" s="219"/>
      <c r="D416" s="219"/>
      <c r="E416" s="219"/>
      <c r="F416" s="219"/>
      <c r="G416" s="219"/>
      <c r="H416" s="219"/>
      <c r="I416" s="219"/>
      <c r="J416" s="219"/>
      <c r="K416" s="219"/>
      <c r="L416" s="219"/>
      <c r="M416" s="219"/>
      <c r="N416" s="219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19"/>
      <c r="Z416" s="219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19"/>
      <c r="AL416" s="219"/>
      <c r="AM416" s="219"/>
      <c r="AN416" s="219"/>
      <c r="AO416" s="219"/>
      <c r="AP416" s="219"/>
      <c r="AQ416" s="219"/>
      <c r="AR416" s="219"/>
      <c r="AS416" s="219"/>
      <c r="AT416" s="219"/>
      <c r="AU416" s="219"/>
      <c r="AV416" s="219"/>
      <c r="AW416" s="219"/>
      <c r="AX416" s="219"/>
      <c r="AY416" s="219"/>
      <c r="AZ416" s="219"/>
      <c r="BA416" s="219"/>
      <c r="BB416" s="219"/>
      <c r="BC416" s="219"/>
      <c r="BD416" s="219"/>
      <c r="BE416" s="219"/>
      <c r="BF416" s="219"/>
      <c r="BG416" s="219"/>
      <c r="BH416" s="219"/>
      <c r="BI416" s="219"/>
      <c r="BJ416" s="219"/>
      <c r="BK416" s="219"/>
      <c r="BL416" s="219"/>
      <c r="BM416" s="219"/>
    </row>
    <row r="417" spans="1:65">
      <c r="A417" s="219"/>
      <c r="B417" s="219"/>
      <c r="C417" s="219"/>
      <c r="D417" s="219"/>
      <c r="E417" s="219"/>
      <c r="F417" s="219"/>
      <c r="G417" s="219"/>
      <c r="H417" s="219"/>
      <c r="I417" s="219"/>
      <c r="J417" s="219"/>
      <c r="K417" s="219"/>
      <c r="L417" s="219"/>
      <c r="M417" s="219"/>
      <c r="N417" s="219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19"/>
      <c r="Z417" s="219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19"/>
      <c r="AL417" s="219"/>
      <c r="AM417" s="219"/>
      <c r="AN417" s="219"/>
      <c r="AO417" s="219"/>
      <c r="AP417" s="219"/>
      <c r="AQ417" s="219"/>
      <c r="AR417" s="219"/>
      <c r="AS417" s="219"/>
      <c r="AT417" s="219"/>
      <c r="AU417" s="219"/>
      <c r="AV417" s="219"/>
      <c r="AW417" s="219"/>
      <c r="AX417" s="219"/>
      <c r="AY417" s="219"/>
      <c r="AZ417" s="219"/>
      <c r="BA417" s="219"/>
      <c r="BB417" s="219"/>
      <c r="BC417" s="219"/>
      <c r="BD417" s="219"/>
      <c r="BE417" s="219"/>
      <c r="BF417" s="219"/>
      <c r="BG417" s="219"/>
      <c r="BH417" s="219"/>
      <c r="BI417" s="219"/>
      <c r="BJ417" s="219"/>
      <c r="BK417" s="219"/>
      <c r="BL417" s="219"/>
      <c r="BM417" s="219"/>
    </row>
    <row r="418" spans="1:65">
      <c r="A418" s="219"/>
      <c r="B418" s="219"/>
      <c r="C418" s="219"/>
      <c r="D418" s="219"/>
      <c r="E418" s="219"/>
      <c r="F418" s="219"/>
      <c r="G418" s="219"/>
      <c r="H418" s="219"/>
      <c r="I418" s="219"/>
      <c r="J418" s="219"/>
      <c r="K418" s="219"/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19"/>
      <c r="Z418" s="219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19"/>
      <c r="AL418" s="219"/>
      <c r="AM418" s="219"/>
      <c r="AN418" s="219"/>
      <c r="AO418" s="219"/>
      <c r="AP418" s="219"/>
      <c r="AQ418" s="219"/>
      <c r="AR418" s="219"/>
      <c r="AS418" s="219"/>
      <c r="AT418" s="219"/>
      <c r="AU418" s="219"/>
      <c r="AV418" s="219"/>
      <c r="AW418" s="219"/>
      <c r="AX418" s="219"/>
      <c r="AY418" s="219"/>
      <c r="AZ418" s="219"/>
      <c r="BA418" s="219"/>
      <c r="BB418" s="219"/>
      <c r="BC418" s="219"/>
      <c r="BD418" s="219"/>
      <c r="BE418" s="219"/>
      <c r="BF418" s="219"/>
      <c r="BG418" s="219"/>
      <c r="BH418" s="219"/>
      <c r="BI418" s="219"/>
      <c r="BJ418" s="219"/>
      <c r="BK418" s="219"/>
      <c r="BL418" s="219"/>
      <c r="BM418" s="219"/>
    </row>
    <row r="419" spans="1:65">
      <c r="A419" s="219"/>
      <c r="B419" s="219"/>
      <c r="C419" s="219"/>
      <c r="D419" s="219"/>
      <c r="E419" s="219"/>
      <c r="F419" s="219"/>
      <c r="G419" s="219"/>
      <c r="H419" s="219"/>
      <c r="I419" s="219"/>
      <c r="J419" s="219"/>
      <c r="K419" s="219"/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19"/>
      <c r="Z419" s="219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19"/>
      <c r="AL419" s="219"/>
      <c r="AM419" s="219"/>
      <c r="AN419" s="219"/>
      <c r="AO419" s="219"/>
      <c r="AP419" s="219"/>
      <c r="AQ419" s="219"/>
      <c r="AR419" s="219"/>
      <c r="AS419" s="219"/>
      <c r="AT419" s="219"/>
      <c r="AU419" s="219"/>
      <c r="AV419" s="219"/>
      <c r="AW419" s="219"/>
      <c r="AX419" s="219"/>
      <c r="AY419" s="219"/>
      <c r="AZ419" s="219"/>
      <c r="BA419" s="219"/>
      <c r="BB419" s="219"/>
      <c r="BC419" s="219"/>
      <c r="BD419" s="219"/>
      <c r="BE419" s="219"/>
      <c r="BF419" s="219"/>
      <c r="BG419" s="219"/>
      <c r="BH419" s="219"/>
      <c r="BI419" s="219"/>
      <c r="BJ419" s="219"/>
      <c r="BK419" s="219"/>
      <c r="BL419" s="219"/>
      <c r="BM419" s="219"/>
    </row>
    <row r="420" spans="1:65">
      <c r="A420" s="219"/>
      <c r="B420" s="219"/>
      <c r="C420" s="219"/>
      <c r="D420" s="219"/>
      <c r="E420" s="219"/>
      <c r="F420" s="219"/>
      <c r="G420" s="219"/>
      <c r="H420" s="219"/>
      <c r="I420" s="219"/>
      <c r="J420" s="219"/>
      <c r="K420" s="219"/>
      <c r="L420" s="219"/>
      <c r="M420" s="219"/>
      <c r="N420" s="219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19"/>
      <c r="Z420" s="219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19"/>
      <c r="AL420" s="219"/>
      <c r="AM420" s="219"/>
      <c r="AN420" s="219"/>
      <c r="AO420" s="219"/>
      <c r="AP420" s="219"/>
      <c r="AQ420" s="219"/>
      <c r="AR420" s="219"/>
      <c r="AS420" s="219"/>
      <c r="AT420" s="219"/>
      <c r="AU420" s="219"/>
      <c r="AV420" s="219"/>
      <c r="AW420" s="219"/>
      <c r="AX420" s="219"/>
      <c r="AY420" s="219"/>
      <c r="AZ420" s="219"/>
      <c r="BA420" s="219"/>
      <c r="BB420" s="219"/>
      <c r="BC420" s="219"/>
      <c r="BD420" s="219"/>
      <c r="BE420" s="219"/>
      <c r="BF420" s="219"/>
      <c r="BG420" s="219"/>
      <c r="BH420" s="219"/>
      <c r="BI420" s="219"/>
      <c r="BJ420" s="219"/>
      <c r="BK420" s="219"/>
      <c r="BL420" s="219"/>
      <c r="BM420" s="219"/>
    </row>
    <row r="421" spans="1:65">
      <c r="A421" s="219"/>
      <c r="B421" s="219"/>
      <c r="C421" s="219"/>
      <c r="D421" s="219"/>
      <c r="E421" s="219"/>
      <c r="F421" s="219"/>
      <c r="G421" s="219"/>
      <c r="H421" s="219"/>
      <c r="I421" s="219"/>
      <c r="J421" s="219"/>
      <c r="K421" s="219"/>
      <c r="L421" s="219"/>
      <c r="M421" s="219"/>
      <c r="N421" s="219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19"/>
      <c r="Z421" s="219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19"/>
      <c r="AL421" s="219"/>
      <c r="AM421" s="219"/>
      <c r="AN421" s="219"/>
      <c r="AO421" s="219"/>
      <c r="AP421" s="219"/>
      <c r="AQ421" s="219"/>
      <c r="AR421" s="219"/>
      <c r="AS421" s="219"/>
      <c r="AT421" s="219"/>
      <c r="AU421" s="219"/>
      <c r="AV421" s="219"/>
      <c r="AW421" s="219"/>
      <c r="AX421" s="219"/>
      <c r="AY421" s="219"/>
      <c r="AZ421" s="219"/>
      <c r="BA421" s="219"/>
      <c r="BB421" s="219"/>
      <c r="BC421" s="219"/>
      <c r="BD421" s="219"/>
      <c r="BE421" s="219"/>
      <c r="BF421" s="219"/>
      <c r="BG421" s="219"/>
      <c r="BH421" s="219"/>
      <c r="BI421" s="219"/>
      <c r="BJ421" s="219"/>
      <c r="BK421" s="219"/>
      <c r="BL421" s="219"/>
      <c r="BM421" s="219"/>
    </row>
    <row r="422" spans="1:65">
      <c r="A422" s="219"/>
      <c r="B422" s="219"/>
      <c r="C422" s="219"/>
      <c r="D422" s="219"/>
      <c r="E422" s="219"/>
      <c r="F422" s="219"/>
      <c r="G422" s="219"/>
      <c r="H422" s="219"/>
      <c r="I422" s="219"/>
      <c r="J422" s="219"/>
      <c r="K422" s="219"/>
      <c r="L422" s="219"/>
      <c r="M422" s="219"/>
      <c r="N422" s="219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19"/>
      <c r="Z422" s="219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19"/>
      <c r="AL422" s="219"/>
      <c r="AM422" s="219"/>
      <c r="AN422" s="219"/>
      <c r="AO422" s="219"/>
      <c r="AP422" s="219"/>
      <c r="AQ422" s="219"/>
      <c r="AR422" s="219"/>
      <c r="AS422" s="219"/>
      <c r="AT422" s="219"/>
      <c r="AU422" s="219"/>
      <c r="AV422" s="219"/>
      <c r="AW422" s="219"/>
      <c r="AX422" s="219"/>
      <c r="AY422" s="219"/>
      <c r="AZ422" s="219"/>
      <c r="BA422" s="219"/>
      <c r="BB422" s="219"/>
      <c r="BC422" s="219"/>
      <c r="BD422" s="219"/>
      <c r="BE422" s="219"/>
      <c r="BF422" s="219"/>
      <c r="BG422" s="219"/>
      <c r="BH422" s="219"/>
      <c r="BI422" s="219"/>
      <c r="BJ422" s="219"/>
      <c r="BK422" s="219"/>
      <c r="BL422" s="219"/>
      <c r="BM422" s="219"/>
    </row>
    <row r="423" spans="1:65">
      <c r="A423" s="219"/>
      <c r="B423" s="219"/>
      <c r="C423" s="219"/>
      <c r="D423" s="219"/>
      <c r="E423" s="219"/>
      <c r="F423" s="219"/>
      <c r="G423" s="219"/>
      <c r="H423" s="219"/>
      <c r="I423" s="219"/>
      <c r="J423" s="219"/>
      <c r="K423" s="219"/>
      <c r="L423" s="219"/>
      <c r="M423" s="219"/>
      <c r="N423" s="219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19"/>
      <c r="Z423" s="219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19"/>
      <c r="AL423" s="219"/>
      <c r="AM423" s="219"/>
      <c r="AN423" s="219"/>
      <c r="AO423" s="219"/>
      <c r="AP423" s="219"/>
      <c r="AQ423" s="219"/>
      <c r="AR423" s="219"/>
      <c r="AS423" s="219"/>
      <c r="AT423" s="219"/>
      <c r="AU423" s="219"/>
      <c r="AV423" s="219"/>
      <c r="AW423" s="219"/>
      <c r="AX423" s="219"/>
      <c r="AY423" s="219"/>
      <c r="AZ423" s="219"/>
      <c r="BA423" s="219"/>
      <c r="BB423" s="219"/>
      <c r="BC423" s="219"/>
      <c r="BD423" s="219"/>
      <c r="BE423" s="219"/>
      <c r="BF423" s="219"/>
      <c r="BG423" s="219"/>
      <c r="BH423" s="219"/>
      <c r="BI423" s="219"/>
      <c r="BJ423" s="219"/>
      <c r="BK423" s="219"/>
      <c r="BL423" s="219"/>
      <c r="BM423" s="219"/>
    </row>
    <row r="424" spans="1:65">
      <c r="A424" s="219"/>
      <c r="B424" s="219"/>
      <c r="C424" s="219"/>
      <c r="D424" s="219"/>
      <c r="E424" s="219"/>
      <c r="F424" s="219"/>
      <c r="G424" s="219"/>
      <c r="H424" s="219"/>
      <c r="I424" s="219"/>
      <c r="J424" s="219"/>
      <c r="K424" s="219"/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19"/>
      <c r="Z424" s="219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19"/>
      <c r="AL424" s="219"/>
      <c r="AM424" s="219"/>
      <c r="AN424" s="219"/>
      <c r="AO424" s="219"/>
      <c r="AP424" s="219"/>
      <c r="AQ424" s="219"/>
      <c r="AR424" s="219"/>
      <c r="AS424" s="219"/>
      <c r="AT424" s="219"/>
      <c r="AU424" s="219"/>
      <c r="AV424" s="219"/>
      <c r="AW424" s="219"/>
      <c r="AX424" s="219"/>
      <c r="AY424" s="219"/>
      <c r="AZ424" s="219"/>
      <c r="BA424" s="219"/>
      <c r="BB424" s="219"/>
      <c r="BC424" s="219"/>
      <c r="BD424" s="219"/>
      <c r="BE424" s="219"/>
      <c r="BF424" s="219"/>
      <c r="BG424" s="219"/>
      <c r="BH424" s="219"/>
      <c r="BI424" s="219"/>
      <c r="BJ424" s="219"/>
      <c r="BK424" s="219"/>
      <c r="BL424" s="219"/>
      <c r="BM424" s="219"/>
    </row>
    <row r="425" spans="1:65">
      <c r="A425" s="219"/>
      <c r="B425" s="219"/>
      <c r="C425" s="219"/>
      <c r="D425" s="219"/>
      <c r="E425" s="219"/>
      <c r="F425" s="219"/>
      <c r="G425" s="219"/>
      <c r="H425" s="219"/>
      <c r="I425" s="219"/>
      <c r="J425" s="219"/>
      <c r="K425" s="219"/>
      <c r="L425" s="219"/>
      <c r="M425" s="219"/>
      <c r="N425" s="219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19"/>
      <c r="Z425" s="219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19"/>
      <c r="AL425" s="219"/>
      <c r="AM425" s="219"/>
      <c r="AN425" s="219"/>
      <c r="AO425" s="219"/>
      <c r="AP425" s="219"/>
      <c r="AQ425" s="219"/>
      <c r="AR425" s="219"/>
      <c r="AS425" s="219"/>
      <c r="AT425" s="219"/>
      <c r="AU425" s="219"/>
      <c r="AV425" s="219"/>
      <c r="AW425" s="219"/>
      <c r="AX425" s="219"/>
      <c r="AY425" s="219"/>
      <c r="AZ425" s="219"/>
      <c r="BA425" s="219"/>
      <c r="BB425" s="219"/>
      <c r="BC425" s="219"/>
      <c r="BD425" s="219"/>
      <c r="BE425" s="219"/>
      <c r="BF425" s="219"/>
      <c r="BG425" s="219"/>
      <c r="BH425" s="219"/>
      <c r="BI425" s="219"/>
      <c r="BJ425" s="219"/>
      <c r="BK425" s="219"/>
      <c r="BL425" s="219"/>
      <c r="BM425" s="219"/>
    </row>
    <row r="426" spans="1:65">
      <c r="A426" s="219"/>
      <c r="B426" s="219"/>
      <c r="C426" s="219"/>
      <c r="D426" s="219"/>
      <c r="E426" s="219"/>
      <c r="F426" s="219"/>
      <c r="G426" s="219"/>
      <c r="H426" s="219"/>
      <c r="I426" s="219"/>
      <c r="J426" s="219"/>
      <c r="K426" s="219"/>
      <c r="L426" s="219"/>
      <c r="M426" s="219"/>
      <c r="N426" s="219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19"/>
      <c r="Z426" s="219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19"/>
      <c r="AL426" s="219"/>
      <c r="AM426" s="219"/>
      <c r="AN426" s="219"/>
      <c r="AO426" s="219"/>
      <c r="AP426" s="219"/>
      <c r="AQ426" s="219"/>
      <c r="AR426" s="219"/>
      <c r="AS426" s="219"/>
      <c r="AT426" s="219"/>
      <c r="AU426" s="219"/>
      <c r="AV426" s="219"/>
      <c r="AW426" s="219"/>
      <c r="AX426" s="219"/>
      <c r="AY426" s="219"/>
      <c r="AZ426" s="219"/>
      <c r="BA426" s="219"/>
      <c r="BB426" s="219"/>
      <c r="BC426" s="219"/>
      <c r="BD426" s="219"/>
      <c r="BE426" s="219"/>
      <c r="BF426" s="219"/>
      <c r="BG426" s="219"/>
      <c r="BH426" s="219"/>
      <c r="BI426" s="219"/>
      <c r="BJ426" s="219"/>
      <c r="BK426" s="219"/>
      <c r="BL426" s="219"/>
      <c r="BM426" s="219"/>
    </row>
    <row r="427" spans="1:65">
      <c r="A427" s="219"/>
      <c r="B427" s="219"/>
      <c r="C427" s="219"/>
      <c r="D427" s="219"/>
      <c r="E427" s="219"/>
      <c r="F427" s="219"/>
      <c r="G427" s="219"/>
      <c r="H427" s="219"/>
      <c r="I427" s="219"/>
      <c r="J427" s="219"/>
      <c r="K427" s="219"/>
      <c r="L427" s="219"/>
      <c r="M427" s="219"/>
      <c r="N427" s="219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19"/>
      <c r="Z427" s="219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19"/>
      <c r="AL427" s="219"/>
      <c r="AM427" s="219"/>
      <c r="AN427" s="219"/>
      <c r="AO427" s="219"/>
      <c r="AP427" s="219"/>
      <c r="AQ427" s="219"/>
      <c r="AR427" s="219"/>
      <c r="AS427" s="219"/>
      <c r="AT427" s="219"/>
      <c r="AU427" s="219"/>
      <c r="AV427" s="219"/>
      <c r="AW427" s="219"/>
      <c r="AX427" s="219"/>
      <c r="AY427" s="219"/>
      <c r="AZ427" s="219"/>
      <c r="BA427" s="219"/>
      <c r="BB427" s="219"/>
      <c r="BC427" s="219"/>
      <c r="BD427" s="219"/>
      <c r="BE427" s="219"/>
      <c r="BF427" s="219"/>
      <c r="BG427" s="219"/>
      <c r="BH427" s="219"/>
      <c r="BI427" s="219"/>
      <c r="BJ427" s="219"/>
      <c r="BK427" s="219"/>
      <c r="BL427" s="219"/>
      <c r="BM427" s="219"/>
    </row>
    <row r="428" spans="1:65">
      <c r="A428" s="219"/>
      <c r="B428" s="219"/>
      <c r="C428" s="219"/>
      <c r="D428" s="219"/>
      <c r="E428" s="219"/>
      <c r="F428" s="219"/>
      <c r="G428" s="219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19"/>
      <c r="Z428" s="219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19"/>
      <c r="AL428" s="219"/>
      <c r="AM428" s="219"/>
      <c r="AN428" s="219"/>
      <c r="AO428" s="219"/>
      <c r="AP428" s="219"/>
      <c r="AQ428" s="219"/>
      <c r="AR428" s="219"/>
      <c r="AS428" s="219"/>
      <c r="AT428" s="219"/>
      <c r="AU428" s="219"/>
      <c r="AV428" s="219"/>
      <c r="AW428" s="219"/>
      <c r="AX428" s="219"/>
      <c r="AY428" s="219"/>
      <c r="AZ428" s="219"/>
      <c r="BA428" s="219"/>
      <c r="BB428" s="219"/>
      <c r="BC428" s="219"/>
      <c r="BD428" s="219"/>
      <c r="BE428" s="219"/>
      <c r="BF428" s="219"/>
      <c r="BG428" s="219"/>
      <c r="BH428" s="219"/>
      <c r="BI428" s="219"/>
      <c r="BJ428" s="219"/>
      <c r="BK428" s="219"/>
      <c r="BL428" s="219"/>
      <c r="BM428" s="219"/>
    </row>
    <row r="429" spans="1:65">
      <c r="A429" s="219"/>
      <c r="B429" s="219"/>
      <c r="C429" s="219"/>
      <c r="D429" s="219"/>
      <c r="E429" s="219"/>
      <c r="F429" s="219"/>
      <c r="G429" s="219"/>
      <c r="H429" s="219"/>
      <c r="I429" s="219"/>
      <c r="J429" s="219"/>
      <c r="K429" s="219"/>
      <c r="L429" s="219"/>
      <c r="M429" s="219"/>
      <c r="N429" s="219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19"/>
      <c r="Z429" s="219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19"/>
      <c r="AL429" s="219"/>
      <c r="AM429" s="219"/>
      <c r="AN429" s="219"/>
      <c r="AO429" s="219"/>
      <c r="AP429" s="219"/>
      <c r="AQ429" s="219"/>
      <c r="AR429" s="219"/>
      <c r="AS429" s="219"/>
      <c r="AT429" s="219"/>
      <c r="AU429" s="219"/>
      <c r="AV429" s="219"/>
      <c r="AW429" s="219"/>
      <c r="AX429" s="219"/>
      <c r="AY429" s="219"/>
      <c r="AZ429" s="219"/>
      <c r="BA429" s="219"/>
      <c r="BB429" s="219"/>
      <c r="BC429" s="219"/>
      <c r="BD429" s="219"/>
      <c r="BE429" s="219"/>
      <c r="BF429" s="219"/>
      <c r="BG429" s="219"/>
      <c r="BH429" s="219"/>
      <c r="BI429" s="219"/>
      <c r="BJ429" s="219"/>
      <c r="BK429" s="219"/>
      <c r="BL429" s="219"/>
      <c r="BM429" s="219"/>
    </row>
    <row r="430" spans="1:65">
      <c r="A430" s="219"/>
      <c r="B430" s="219"/>
      <c r="C430" s="219"/>
      <c r="D430" s="219"/>
      <c r="E430" s="219"/>
      <c r="F430" s="219"/>
      <c r="G430" s="219"/>
      <c r="H430" s="219"/>
      <c r="I430" s="219"/>
      <c r="J430" s="219"/>
      <c r="K430" s="219"/>
      <c r="L430" s="219"/>
      <c r="M430" s="219"/>
      <c r="N430" s="219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19"/>
      <c r="Z430" s="219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19"/>
      <c r="AL430" s="219"/>
      <c r="AM430" s="219"/>
      <c r="AN430" s="219"/>
      <c r="AO430" s="219"/>
      <c r="AP430" s="219"/>
      <c r="AQ430" s="219"/>
      <c r="AR430" s="219"/>
      <c r="AS430" s="219"/>
      <c r="AT430" s="219"/>
      <c r="AU430" s="219"/>
      <c r="AV430" s="219"/>
      <c r="AW430" s="219"/>
      <c r="AX430" s="219"/>
      <c r="AY430" s="219"/>
      <c r="AZ430" s="219"/>
      <c r="BA430" s="219"/>
      <c r="BB430" s="219"/>
      <c r="BC430" s="219"/>
      <c r="BD430" s="219"/>
      <c r="BE430" s="219"/>
      <c r="BF430" s="219"/>
      <c r="BG430" s="219"/>
      <c r="BH430" s="219"/>
      <c r="BI430" s="219"/>
      <c r="BJ430" s="219"/>
      <c r="BK430" s="219"/>
      <c r="BL430" s="219"/>
      <c r="BM430" s="219"/>
    </row>
    <row r="431" spans="1:65">
      <c r="A431" s="219"/>
      <c r="B431" s="219"/>
      <c r="C431" s="219"/>
      <c r="D431" s="219"/>
      <c r="E431" s="219"/>
      <c r="F431" s="219"/>
      <c r="G431" s="219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19"/>
      <c r="AL431" s="219"/>
      <c r="AM431" s="219"/>
      <c r="AN431" s="219"/>
      <c r="AO431" s="219"/>
      <c r="AP431" s="219"/>
      <c r="AQ431" s="219"/>
      <c r="AR431" s="219"/>
      <c r="AS431" s="219"/>
      <c r="AT431" s="219"/>
      <c r="AU431" s="219"/>
      <c r="AV431" s="219"/>
      <c r="AW431" s="219"/>
      <c r="AX431" s="219"/>
      <c r="AY431" s="219"/>
      <c r="AZ431" s="219"/>
      <c r="BA431" s="219"/>
      <c r="BB431" s="219"/>
      <c r="BC431" s="219"/>
      <c r="BD431" s="219"/>
      <c r="BE431" s="219"/>
      <c r="BF431" s="219"/>
      <c r="BG431" s="219"/>
      <c r="BH431" s="219"/>
      <c r="BI431" s="219"/>
      <c r="BJ431" s="219"/>
      <c r="BK431" s="219"/>
      <c r="BL431" s="219"/>
      <c r="BM431" s="219"/>
    </row>
    <row r="432" spans="1:65">
      <c r="A432" s="219"/>
      <c r="B432" s="219"/>
      <c r="C432" s="219"/>
      <c r="D432" s="219"/>
      <c r="E432" s="219"/>
      <c r="F432" s="219"/>
      <c r="G432" s="219"/>
      <c r="H432" s="219"/>
      <c r="I432" s="219"/>
      <c r="J432" s="219"/>
      <c r="K432" s="219"/>
      <c r="L432" s="219"/>
      <c r="M432" s="219"/>
      <c r="N432" s="219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19"/>
      <c r="Z432" s="219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19"/>
      <c r="AL432" s="219"/>
      <c r="AM432" s="219"/>
      <c r="AN432" s="219"/>
      <c r="AO432" s="219"/>
      <c r="AP432" s="219"/>
      <c r="AQ432" s="219"/>
      <c r="AR432" s="219"/>
      <c r="AS432" s="219"/>
      <c r="AT432" s="219"/>
      <c r="AU432" s="219"/>
      <c r="AV432" s="219"/>
      <c r="AW432" s="219"/>
      <c r="AX432" s="219"/>
      <c r="AY432" s="219"/>
      <c r="AZ432" s="219"/>
      <c r="BA432" s="219"/>
      <c r="BB432" s="219"/>
      <c r="BC432" s="219"/>
      <c r="BD432" s="219"/>
      <c r="BE432" s="219"/>
      <c r="BF432" s="219"/>
      <c r="BG432" s="219"/>
      <c r="BH432" s="219"/>
      <c r="BI432" s="219"/>
      <c r="BJ432" s="219"/>
      <c r="BK432" s="219"/>
      <c r="BL432" s="219"/>
      <c r="BM432" s="219"/>
    </row>
    <row r="433" spans="1:65">
      <c r="A433" s="219"/>
      <c r="B433" s="219"/>
      <c r="C433" s="219"/>
      <c r="D433" s="219"/>
      <c r="E433" s="219"/>
      <c r="F433" s="219"/>
      <c r="G433" s="219"/>
      <c r="H433" s="219"/>
      <c r="I433" s="219"/>
      <c r="J433" s="219"/>
      <c r="K433" s="219"/>
      <c r="L433" s="219"/>
      <c r="M433" s="219"/>
      <c r="N433" s="219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19"/>
      <c r="Z433" s="219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19"/>
      <c r="AL433" s="219"/>
      <c r="AM433" s="219"/>
      <c r="AN433" s="219"/>
      <c r="AO433" s="219"/>
      <c r="AP433" s="219"/>
      <c r="AQ433" s="219"/>
      <c r="AR433" s="219"/>
      <c r="AS433" s="219"/>
      <c r="AT433" s="219"/>
      <c r="AU433" s="219"/>
      <c r="AV433" s="219"/>
      <c r="AW433" s="219"/>
      <c r="AX433" s="219"/>
      <c r="AY433" s="219"/>
      <c r="AZ433" s="219"/>
      <c r="BA433" s="219"/>
      <c r="BB433" s="219"/>
      <c r="BC433" s="219"/>
      <c r="BD433" s="219"/>
      <c r="BE433" s="219"/>
      <c r="BF433" s="219"/>
      <c r="BG433" s="219"/>
      <c r="BH433" s="219"/>
      <c r="BI433" s="219"/>
      <c r="BJ433" s="219"/>
      <c r="BK433" s="219"/>
      <c r="BL433" s="219"/>
      <c r="BM433" s="219"/>
    </row>
    <row r="434" spans="1:65">
      <c r="A434" s="219"/>
      <c r="B434" s="219"/>
      <c r="C434" s="219"/>
      <c r="D434" s="219"/>
      <c r="E434" s="219"/>
      <c r="F434" s="219"/>
      <c r="G434" s="219"/>
      <c r="H434" s="219"/>
      <c r="I434" s="219"/>
      <c r="J434" s="219"/>
      <c r="K434" s="219"/>
      <c r="L434" s="219"/>
      <c r="M434" s="219"/>
      <c r="N434" s="219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19"/>
      <c r="Z434" s="219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19"/>
      <c r="AL434" s="219"/>
      <c r="AM434" s="219"/>
      <c r="AN434" s="219"/>
      <c r="AO434" s="219"/>
      <c r="AP434" s="219"/>
      <c r="AQ434" s="219"/>
      <c r="AR434" s="219"/>
      <c r="AS434" s="219"/>
      <c r="AT434" s="219"/>
      <c r="AU434" s="219"/>
      <c r="AV434" s="219"/>
      <c r="AW434" s="219"/>
      <c r="AX434" s="219"/>
      <c r="AY434" s="219"/>
      <c r="AZ434" s="219"/>
      <c r="BA434" s="219"/>
      <c r="BB434" s="219"/>
      <c r="BC434" s="219"/>
      <c r="BD434" s="219"/>
      <c r="BE434" s="219"/>
      <c r="BF434" s="219"/>
      <c r="BG434" s="219"/>
      <c r="BH434" s="219"/>
      <c r="BI434" s="219"/>
      <c r="BJ434" s="219"/>
      <c r="BK434" s="219"/>
      <c r="BL434" s="219"/>
      <c r="BM434" s="219"/>
    </row>
    <row r="435" spans="1:65">
      <c r="A435" s="219"/>
      <c r="B435" s="219"/>
      <c r="C435" s="219"/>
      <c r="D435" s="219"/>
      <c r="E435" s="219"/>
      <c r="F435" s="219"/>
      <c r="G435" s="219"/>
      <c r="H435" s="219"/>
      <c r="I435" s="219"/>
      <c r="J435" s="219"/>
      <c r="K435" s="219"/>
      <c r="L435" s="219"/>
      <c r="M435" s="219"/>
      <c r="N435" s="219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19"/>
      <c r="Z435" s="219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19"/>
      <c r="AL435" s="219"/>
      <c r="AM435" s="219"/>
      <c r="AN435" s="219"/>
      <c r="AO435" s="219"/>
      <c r="AP435" s="219"/>
      <c r="AQ435" s="219"/>
      <c r="AR435" s="219"/>
      <c r="AS435" s="219"/>
      <c r="AT435" s="219"/>
      <c r="AU435" s="219"/>
      <c r="AV435" s="219"/>
      <c r="AW435" s="219"/>
      <c r="AX435" s="219"/>
      <c r="AY435" s="219"/>
      <c r="AZ435" s="219"/>
      <c r="BA435" s="219"/>
      <c r="BB435" s="219"/>
      <c r="BC435" s="219"/>
      <c r="BD435" s="219"/>
      <c r="BE435" s="219"/>
      <c r="BF435" s="219"/>
      <c r="BG435" s="219"/>
      <c r="BH435" s="219"/>
      <c r="BI435" s="219"/>
      <c r="BJ435" s="219"/>
      <c r="BK435" s="219"/>
      <c r="BL435" s="219"/>
      <c r="BM435" s="219"/>
    </row>
    <row r="436" spans="1:65">
      <c r="A436" s="219"/>
      <c r="B436" s="219"/>
      <c r="C436" s="219"/>
      <c r="D436" s="219"/>
      <c r="E436" s="219"/>
      <c r="F436" s="219"/>
      <c r="G436" s="219"/>
      <c r="H436" s="219"/>
      <c r="I436" s="219"/>
      <c r="J436" s="219"/>
      <c r="K436" s="219"/>
      <c r="L436" s="219"/>
      <c r="M436" s="219"/>
      <c r="N436" s="219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19"/>
      <c r="Z436" s="219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19"/>
      <c r="AL436" s="219"/>
      <c r="AM436" s="219"/>
      <c r="AN436" s="219"/>
      <c r="AO436" s="219"/>
      <c r="AP436" s="219"/>
      <c r="AQ436" s="219"/>
      <c r="AR436" s="219"/>
      <c r="AS436" s="219"/>
      <c r="AT436" s="219"/>
      <c r="AU436" s="219"/>
      <c r="AV436" s="219"/>
      <c r="AW436" s="219"/>
      <c r="AX436" s="219"/>
      <c r="AY436" s="219"/>
      <c r="AZ436" s="219"/>
      <c r="BA436" s="219"/>
      <c r="BB436" s="219"/>
      <c r="BC436" s="219"/>
      <c r="BD436" s="219"/>
      <c r="BE436" s="219"/>
      <c r="BF436" s="219"/>
      <c r="BG436" s="219"/>
      <c r="BH436" s="219"/>
      <c r="BI436" s="219"/>
      <c r="BJ436" s="219"/>
      <c r="BK436" s="219"/>
      <c r="BL436" s="219"/>
      <c r="BM436" s="219"/>
    </row>
    <row r="437" spans="1:65">
      <c r="A437" s="219"/>
      <c r="B437" s="219"/>
      <c r="C437" s="219"/>
      <c r="D437" s="219"/>
      <c r="E437" s="219"/>
      <c r="F437" s="219"/>
      <c r="G437" s="219"/>
      <c r="H437" s="219"/>
      <c r="I437" s="219"/>
      <c r="J437" s="219"/>
      <c r="K437" s="219"/>
      <c r="L437" s="219"/>
      <c r="M437" s="219"/>
      <c r="N437" s="219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19"/>
      <c r="Z437" s="219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19"/>
      <c r="AL437" s="219"/>
      <c r="AM437" s="219"/>
      <c r="AN437" s="219"/>
      <c r="AO437" s="219"/>
      <c r="AP437" s="219"/>
      <c r="AQ437" s="219"/>
      <c r="AR437" s="219"/>
      <c r="AS437" s="219"/>
      <c r="AT437" s="219"/>
      <c r="AU437" s="219"/>
      <c r="AV437" s="219"/>
      <c r="AW437" s="219"/>
      <c r="AX437" s="219"/>
      <c r="AY437" s="219"/>
      <c r="AZ437" s="219"/>
      <c r="BA437" s="219"/>
      <c r="BB437" s="219"/>
      <c r="BC437" s="219"/>
      <c r="BD437" s="219"/>
      <c r="BE437" s="219"/>
      <c r="BF437" s="219"/>
      <c r="BG437" s="219"/>
      <c r="BH437" s="219"/>
      <c r="BI437" s="219"/>
      <c r="BJ437" s="219"/>
      <c r="BK437" s="219"/>
      <c r="BL437" s="219"/>
      <c r="BM437" s="219"/>
    </row>
    <row r="438" spans="1:65">
      <c r="A438" s="219"/>
      <c r="B438" s="219"/>
      <c r="C438" s="219"/>
      <c r="D438" s="219"/>
      <c r="E438" s="219"/>
      <c r="F438" s="219"/>
      <c r="G438" s="219"/>
      <c r="H438" s="219"/>
      <c r="I438" s="219"/>
      <c r="J438" s="219"/>
      <c r="K438" s="219"/>
      <c r="L438" s="219"/>
      <c r="M438" s="219"/>
      <c r="N438" s="219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19"/>
      <c r="Z438" s="219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19"/>
      <c r="AL438" s="219"/>
      <c r="AM438" s="219"/>
      <c r="AN438" s="219"/>
      <c r="AO438" s="219"/>
      <c r="AP438" s="219"/>
      <c r="AQ438" s="219"/>
      <c r="AR438" s="219"/>
      <c r="AS438" s="219"/>
      <c r="AT438" s="219"/>
      <c r="AU438" s="219"/>
      <c r="AV438" s="219"/>
      <c r="AW438" s="219"/>
      <c r="AX438" s="219"/>
      <c r="AY438" s="219"/>
      <c r="AZ438" s="219"/>
      <c r="BA438" s="219"/>
      <c r="BB438" s="219"/>
      <c r="BC438" s="219"/>
      <c r="BD438" s="219"/>
      <c r="BE438" s="219"/>
      <c r="BF438" s="219"/>
      <c r="BG438" s="219"/>
      <c r="BH438" s="219"/>
      <c r="BI438" s="219"/>
      <c r="BJ438" s="219"/>
      <c r="BK438" s="219"/>
      <c r="BL438" s="219"/>
      <c r="BM438" s="219"/>
    </row>
    <row r="439" spans="1:65">
      <c r="A439" s="219"/>
      <c r="B439" s="219"/>
      <c r="C439" s="219"/>
      <c r="D439" s="219"/>
      <c r="E439" s="219"/>
      <c r="F439" s="219"/>
      <c r="G439" s="219"/>
      <c r="H439" s="219"/>
      <c r="I439" s="219"/>
      <c r="J439" s="219"/>
      <c r="K439" s="219"/>
      <c r="L439" s="219"/>
      <c r="M439" s="219"/>
      <c r="N439" s="219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19"/>
      <c r="Z439" s="219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19"/>
      <c r="AL439" s="219"/>
      <c r="AM439" s="219"/>
      <c r="AN439" s="219"/>
      <c r="AO439" s="219"/>
      <c r="AP439" s="219"/>
      <c r="AQ439" s="219"/>
      <c r="AR439" s="219"/>
      <c r="AS439" s="219"/>
      <c r="AT439" s="219"/>
      <c r="AU439" s="219"/>
      <c r="AV439" s="219"/>
      <c r="AW439" s="219"/>
      <c r="AX439" s="219"/>
      <c r="AY439" s="219"/>
      <c r="AZ439" s="219"/>
      <c r="BA439" s="219"/>
      <c r="BB439" s="219"/>
      <c r="BC439" s="219"/>
      <c r="BD439" s="219"/>
      <c r="BE439" s="219"/>
      <c r="BF439" s="219"/>
      <c r="BG439" s="219"/>
      <c r="BH439" s="219"/>
      <c r="BI439" s="219"/>
      <c r="BJ439" s="219"/>
      <c r="BK439" s="219"/>
      <c r="BL439" s="219"/>
      <c r="BM439" s="219"/>
    </row>
    <row r="440" spans="1:65">
      <c r="A440" s="219"/>
      <c r="B440" s="219"/>
      <c r="C440" s="219"/>
      <c r="D440" s="219"/>
      <c r="E440" s="219"/>
      <c r="F440" s="219"/>
      <c r="G440" s="219"/>
      <c r="H440" s="219"/>
      <c r="I440" s="219"/>
      <c r="J440" s="219"/>
      <c r="K440" s="219"/>
      <c r="L440" s="219"/>
      <c r="M440" s="219"/>
      <c r="N440" s="219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19"/>
      <c r="Z440" s="219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19"/>
      <c r="AL440" s="219"/>
      <c r="AM440" s="219"/>
      <c r="AN440" s="219"/>
      <c r="AO440" s="219"/>
      <c r="AP440" s="219"/>
      <c r="AQ440" s="219"/>
      <c r="AR440" s="219"/>
      <c r="AS440" s="219"/>
      <c r="AT440" s="219"/>
      <c r="AU440" s="219"/>
      <c r="AV440" s="219"/>
      <c r="AW440" s="219"/>
      <c r="AX440" s="219"/>
      <c r="AY440" s="219"/>
      <c r="AZ440" s="219"/>
      <c r="BA440" s="219"/>
      <c r="BB440" s="219"/>
      <c r="BC440" s="219"/>
      <c r="BD440" s="219"/>
      <c r="BE440" s="219"/>
      <c r="BF440" s="219"/>
      <c r="BG440" s="219"/>
      <c r="BH440" s="219"/>
      <c r="BI440" s="219"/>
      <c r="BJ440" s="219"/>
      <c r="BK440" s="219"/>
      <c r="BL440" s="219"/>
      <c r="BM440" s="219"/>
    </row>
    <row r="441" spans="1:65">
      <c r="A441" s="219"/>
      <c r="B441" s="219"/>
      <c r="C441" s="219"/>
      <c r="D441" s="219"/>
      <c r="E441" s="219"/>
      <c r="F441" s="219"/>
      <c r="G441" s="219"/>
      <c r="H441" s="219"/>
      <c r="I441" s="219"/>
      <c r="J441" s="219"/>
      <c r="K441" s="219"/>
      <c r="L441" s="219"/>
      <c r="M441" s="219"/>
      <c r="N441" s="219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19"/>
      <c r="Z441" s="219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19"/>
      <c r="AL441" s="219"/>
      <c r="AM441" s="219"/>
      <c r="AN441" s="219"/>
      <c r="AO441" s="219"/>
      <c r="AP441" s="219"/>
      <c r="AQ441" s="219"/>
      <c r="AR441" s="219"/>
      <c r="AS441" s="219"/>
      <c r="AT441" s="219"/>
      <c r="AU441" s="219"/>
      <c r="AV441" s="219"/>
      <c r="AW441" s="219"/>
      <c r="AX441" s="219"/>
      <c r="AY441" s="219"/>
      <c r="AZ441" s="219"/>
      <c r="BA441" s="219"/>
      <c r="BB441" s="219"/>
      <c r="BC441" s="219"/>
      <c r="BD441" s="219"/>
      <c r="BE441" s="219"/>
      <c r="BF441" s="219"/>
      <c r="BG441" s="219"/>
      <c r="BH441" s="219"/>
      <c r="BI441" s="219"/>
      <c r="BJ441" s="219"/>
      <c r="BK441" s="219"/>
      <c r="BL441" s="219"/>
      <c r="BM441" s="219"/>
    </row>
    <row r="442" spans="1:65">
      <c r="A442" s="219"/>
      <c r="B442" s="219"/>
      <c r="C442" s="219"/>
      <c r="D442" s="219"/>
      <c r="E442" s="219"/>
      <c r="F442" s="219"/>
      <c r="G442" s="219"/>
      <c r="H442" s="219"/>
      <c r="I442" s="219"/>
      <c r="J442" s="219"/>
      <c r="K442" s="219"/>
      <c r="L442" s="219"/>
      <c r="M442" s="219"/>
      <c r="N442" s="219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19"/>
      <c r="Z442" s="219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19"/>
      <c r="AL442" s="219"/>
      <c r="AM442" s="219"/>
      <c r="AN442" s="219"/>
      <c r="AO442" s="219"/>
      <c r="AP442" s="219"/>
      <c r="AQ442" s="219"/>
      <c r="AR442" s="219"/>
      <c r="AS442" s="219"/>
      <c r="AT442" s="219"/>
      <c r="AU442" s="219"/>
      <c r="AV442" s="219"/>
      <c r="AW442" s="219"/>
      <c r="AX442" s="219"/>
      <c r="AY442" s="219"/>
      <c r="AZ442" s="219"/>
      <c r="BA442" s="219"/>
      <c r="BB442" s="219"/>
      <c r="BC442" s="219"/>
      <c r="BD442" s="219"/>
      <c r="BE442" s="219"/>
      <c r="BF442" s="219"/>
      <c r="BG442" s="219"/>
      <c r="BH442" s="219"/>
      <c r="BI442" s="219"/>
      <c r="BJ442" s="219"/>
      <c r="BK442" s="219"/>
      <c r="BL442" s="219"/>
      <c r="BM442" s="219"/>
    </row>
    <row r="443" spans="1:65">
      <c r="A443" s="219"/>
      <c r="B443" s="219"/>
      <c r="C443" s="219"/>
      <c r="D443" s="219"/>
      <c r="E443" s="219"/>
      <c r="F443" s="219"/>
      <c r="G443" s="219"/>
      <c r="H443" s="219"/>
      <c r="I443" s="219"/>
      <c r="J443" s="219"/>
      <c r="K443" s="219"/>
      <c r="L443" s="219"/>
      <c r="M443" s="219"/>
      <c r="N443" s="219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19"/>
      <c r="Z443" s="219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19"/>
      <c r="AL443" s="219"/>
      <c r="AM443" s="219"/>
      <c r="AN443" s="219"/>
      <c r="AO443" s="219"/>
      <c r="AP443" s="219"/>
      <c r="AQ443" s="219"/>
      <c r="AR443" s="219"/>
      <c r="AS443" s="219"/>
      <c r="AT443" s="219"/>
      <c r="AU443" s="219"/>
      <c r="AV443" s="219"/>
      <c r="AW443" s="219"/>
      <c r="AX443" s="219"/>
      <c r="AY443" s="219"/>
      <c r="AZ443" s="219"/>
      <c r="BA443" s="219"/>
      <c r="BB443" s="219"/>
      <c r="BC443" s="219"/>
      <c r="BD443" s="219"/>
      <c r="BE443" s="219"/>
      <c r="BF443" s="219"/>
      <c r="BG443" s="219"/>
      <c r="BH443" s="219"/>
      <c r="BI443" s="219"/>
      <c r="BJ443" s="219"/>
      <c r="BK443" s="219"/>
      <c r="BL443" s="219"/>
      <c r="BM443" s="219"/>
    </row>
    <row r="444" spans="1:65">
      <c r="A444" s="219"/>
      <c r="B444" s="219"/>
      <c r="C444" s="219"/>
      <c r="D444" s="219"/>
      <c r="E444" s="219"/>
      <c r="F444" s="219"/>
      <c r="G444" s="219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19"/>
      <c r="Z444" s="219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19"/>
      <c r="AL444" s="219"/>
      <c r="AM444" s="219"/>
      <c r="AN444" s="219"/>
      <c r="AO444" s="219"/>
      <c r="AP444" s="219"/>
      <c r="AQ444" s="219"/>
      <c r="AR444" s="219"/>
      <c r="AS444" s="219"/>
      <c r="AT444" s="219"/>
      <c r="AU444" s="219"/>
      <c r="AV444" s="219"/>
      <c r="AW444" s="219"/>
      <c r="AX444" s="219"/>
      <c r="AY444" s="219"/>
      <c r="AZ444" s="219"/>
      <c r="BA444" s="219"/>
      <c r="BB444" s="219"/>
      <c r="BC444" s="219"/>
      <c r="BD444" s="219"/>
      <c r="BE444" s="219"/>
      <c r="BF444" s="219"/>
      <c r="BG444" s="219"/>
      <c r="BH444" s="219"/>
      <c r="BI444" s="219"/>
      <c r="BJ444" s="219"/>
      <c r="BK444" s="219"/>
      <c r="BL444" s="219"/>
      <c r="BM444" s="219"/>
    </row>
    <row r="445" spans="1:65">
      <c r="A445" s="219"/>
      <c r="B445" s="219"/>
      <c r="C445" s="219"/>
      <c r="D445" s="219"/>
      <c r="E445" s="219"/>
      <c r="F445" s="219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19"/>
      <c r="AL445" s="219"/>
      <c r="AM445" s="219"/>
      <c r="AN445" s="219"/>
      <c r="AO445" s="219"/>
      <c r="AP445" s="219"/>
      <c r="AQ445" s="219"/>
      <c r="AR445" s="219"/>
      <c r="AS445" s="219"/>
      <c r="AT445" s="219"/>
      <c r="AU445" s="219"/>
      <c r="AV445" s="219"/>
      <c r="AW445" s="219"/>
      <c r="AX445" s="219"/>
      <c r="AY445" s="219"/>
      <c r="AZ445" s="219"/>
      <c r="BA445" s="219"/>
      <c r="BB445" s="219"/>
      <c r="BC445" s="219"/>
      <c r="BD445" s="219"/>
      <c r="BE445" s="219"/>
      <c r="BF445" s="219"/>
      <c r="BG445" s="219"/>
      <c r="BH445" s="219"/>
      <c r="BI445" s="219"/>
      <c r="BJ445" s="219"/>
      <c r="BK445" s="219"/>
      <c r="BL445" s="219"/>
      <c r="BM445" s="219"/>
    </row>
    <row r="446" spans="1:65">
      <c r="A446" s="219"/>
      <c r="B446" s="219"/>
      <c r="C446" s="219"/>
      <c r="D446" s="219"/>
      <c r="E446" s="219"/>
      <c r="F446" s="219"/>
      <c r="G446" s="219"/>
      <c r="H446" s="219"/>
      <c r="I446" s="219"/>
      <c r="J446" s="219"/>
      <c r="K446" s="219"/>
      <c r="L446" s="219"/>
      <c r="M446" s="219"/>
      <c r="N446" s="219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19"/>
      <c r="Z446" s="219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19"/>
      <c r="AL446" s="219"/>
      <c r="AM446" s="219"/>
      <c r="AN446" s="219"/>
      <c r="AO446" s="219"/>
      <c r="AP446" s="219"/>
      <c r="AQ446" s="219"/>
      <c r="AR446" s="219"/>
      <c r="AS446" s="219"/>
      <c r="AT446" s="219"/>
      <c r="AU446" s="219"/>
      <c r="AV446" s="219"/>
      <c r="AW446" s="219"/>
      <c r="AX446" s="219"/>
      <c r="AY446" s="219"/>
      <c r="AZ446" s="219"/>
      <c r="BA446" s="219"/>
      <c r="BB446" s="219"/>
      <c r="BC446" s="219"/>
      <c r="BD446" s="219"/>
      <c r="BE446" s="219"/>
      <c r="BF446" s="219"/>
      <c r="BG446" s="219"/>
      <c r="BH446" s="219"/>
      <c r="BI446" s="219"/>
      <c r="BJ446" s="219"/>
      <c r="BK446" s="219"/>
      <c r="BL446" s="219"/>
      <c r="BM446" s="219"/>
    </row>
    <row r="447" spans="1:65">
      <c r="A447" s="219"/>
      <c r="B447" s="219"/>
      <c r="C447" s="219"/>
      <c r="D447" s="219"/>
      <c r="E447" s="219"/>
      <c r="F447" s="219"/>
      <c r="G447" s="219"/>
      <c r="H447" s="219"/>
      <c r="I447" s="219"/>
      <c r="J447" s="219"/>
      <c r="K447" s="219"/>
      <c r="L447" s="219"/>
      <c r="M447" s="219"/>
      <c r="N447" s="219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19"/>
      <c r="Z447" s="219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19"/>
      <c r="AL447" s="219"/>
      <c r="AM447" s="219"/>
      <c r="AN447" s="219"/>
      <c r="AO447" s="219"/>
      <c r="AP447" s="219"/>
      <c r="AQ447" s="219"/>
      <c r="AR447" s="219"/>
      <c r="AS447" s="219"/>
      <c r="AT447" s="219"/>
      <c r="AU447" s="219"/>
      <c r="AV447" s="219"/>
      <c r="AW447" s="219"/>
      <c r="AX447" s="219"/>
      <c r="AY447" s="219"/>
      <c r="AZ447" s="219"/>
      <c r="BA447" s="219"/>
      <c r="BB447" s="219"/>
      <c r="BC447" s="219"/>
      <c r="BD447" s="219"/>
      <c r="BE447" s="219"/>
      <c r="BF447" s="219"/>
      <c r="BG447" s="219"/>
      <c r="BH447" s="219"/>
      <c r="BI447" s="219"/>
      <c r="BJ447" s="219"/>
      <c r="BK447" s="219"/>
      <c r="BL447" s="219"/>
      <c r="BM447" s="219"/>
    </row>
    <row r="448" spans="1:65">
      <c r="A448" s="219"/>
      <c r="B448" s="219"/>
      <c r="C448" s="219"/>
      <c r="D448" s="219"/>
      <c r="E448" s="219"/>
      <c r="F448" s="219"/>
      <c r="G448" s="219"/>
      <c r="H448" s="219"/>
      <c r="I448" s="219"/>
      <c r="J448" s="219"/>
      <c r="K448" s="219"/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19"/>
      <c r="Z448" s="219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19"/>
      <c r="AL448" s="219"/>
      <c r="AM448" s="219"/>
      <c r="AN448" s="219"/>
      <c r="AO448" s="219"/>
      <c r="AP448" s="219"/>
      <c r="AQ448" s="219"/>
      <c r="AR448" s="219"/>
      <c r="AS448" s="219"/>
      <c r="AT448" s="219"/>
      <c r="AU448" s="219"/>
      <c r="AV448" s="219"/>
      <c r="AW448" s="219"/>
      <c r="AX448" s="219"/>
      <c r="AY448" s="219"/>
      <c r="AZ448" s="219"/>
      <c r="BA448" s="219"/>
      <c r="BB448" s="219"/>
      <c r="BC448" s="219"/>
      <c r="BD448" s="219"/>
      <c r="BE448" s="219"/>
      <c r="BF448" s="219"/>
      <c r="BG448" s="219"/>
      <c r="BH448" s="219"/>
      <c r="BI448" s="219"/>
      <c r="BJ448" s="219"/>
      <c r="BK448" s="219"/>
      <c r="BL448" s="219"/>
      <c r="BM448" s="219"/>
    </row>
    <row r="449" spans="1:65">
      <c r="A449" s="219"/>
      <c r="B449" s="219"/>
      <c r="C449" s="219"/>
      <c r="D449" s="219"/>
      <c r="E449" s="219"/>
      <c r="F449" s="219"/>
      <c r="G449" s="219"/>
      <c r="H449" s="219"/>
      <c r="I449" s="219"/>
      <c r="J449" s="219"/>
      <c r="K449" s="219"/>
      <c r="L449" s="219"/>
      <c r="M449" s="219"/>
      <c r="N449" s="219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19"/>
      <c r="Z449" s="219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19"/>
      <c r="AL449" s="219"/>
      <c r="AM449" s="219"/>
      <c r="AN449" s="219"/>
      <c r="AO449" s="219"/>
      <c r="AP449" s="219"/>
      <c r="AQ449" s="219"/>
      <c r="AR449" s="219"/>
      <c r="AS449" s="219"/>
      <c r="AT449" s="219"/>
      <c r="AU449" s="219"/>
      <c r="AV449" s="219"/>
      <c r="AW449" s="219"/>
      <c r="AX449" s="219"/>
      <c r="AY449" s="219"/>
      <c r="AZ449" s="219"/>
      <c r="BA449" s="219"/>
      <c r="BB449" s="219"/>
      <c r="BC449" s="219"/>
      <c r="BD449" s="219"/>
      <c r="BE449" s="219"/>
      <c r="BF449" s="219"/>
      <c r="BG449" s="219"/>
      <c r="BH449" s="219"/>
      <c r="BI449" s="219"/>
      <c r="BJ449" s="219"/>
      <c r="BK449" s="219"/>
      <c r="BL449" s="219"/>
      <c r="BM449" s="219"/>
    </row>
    <row r="450" spans="1:65">
      <c r="A450" s="219"/>
      <c r="B450" s="219"/>
      <c r="C450" s="219"/>
      <c r="D450" s="219"/>
      <c r="E450" s="219"/>
      <c r="F450" s="219"/>
      <c r="G450" s="219"/>
      <c r="H450" s="219"/>
      <c r="I450" s="219"/>
      <c r="J450" s="219"/>
      <c r="K450" s="219"/>
      <c r="L450" s="219"/>
      <c r="M450" s="219"/>
      <c r="N450" s="219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19"/>
      <c r="Z450" s="219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19"/>
      <c r="AL450" s="219"/>
      <c r="AM450" s="219"/>
      <c r="AN450" s="219"/>
      <c r="AO450" s="219"/>
      <c r="AP450" s="219"/>
      <c r="AQ450" s="219"/>
      <c r="AR450" s="219"/>
      <c r="AS450" s="219"/>
      <c r="AT450" s="219"/>
      <c r="AU450" s="219"/>
      <c r="AV450" s="219"/>
      <c r="AW450" s="219"/>
      <c r="AX450" s="219"/>
      <c r="AY450" s="219"/>
      <c r="AZ450" s="219"/>
      <c r="BA450" s="219"/>
      <c r="BB450" s="219"/>
      <c r="BC450" s="219"/>
      <c r="BD450" s="219"/>
      <c r="BE450" s="219"/>
      <c r="BF450" s="219"/>
      <c r="BG450" s="219"/>
      <c r="BH450" s="219"/>
      <c r="BI450" s="219"/>
      <c r="BJ450" s="219"/>
      <c r="BK450" s="219"/>
      <c r="BL450" s="219"/>
      <c r="BM450" s="219"/>
    </row>
    <row r="451" spans="1:65">
      <c r="A451" s="219"/>
      <c r="B451" s="219"/>
      <c r="C451" s="219"/>
      <c r="D451" s="219"/>
      <c r="E451" s="219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19"/>
      <c r="AL451" s="219"/>
      <c r="AM451" s="219"/>
      <c r="AN451" s="219"/>
      <c r="AO451" s="219"/>
      <c r="AP451" s="219"/>
      <c r="AQ451" s="219"/>
      <c r="AR451" s="219"/>
      <c r="AS451" s="219"/>
      <c r="AT451" s="219"/>
      <c r="AU451" s="219"/>
      <c r="AV451" s="219"/>
      <c r="AW451" s="219"/>
      <c r="AX451" s="219"/>
      <c r="AY451" s="219"/>
      <c r="AZ451" s="219"/>
      <c r="BA451" s="219"/>
      <c r="BB451" s="219"/>
      <c r="BC451" s="219"/>
      <c r="BD451" s="219"/>
      <c r="BE451" s="219"/>
      <c r="BF451" s="219"/>
      <c r="BG451" s="219"/>
      <c r="BH451" s="219"/>
      <c r="BI451" s="219"/>
      <c r="BJ451" s="219"/>
      <c r="BK451" s="219"/>
      <c r="BL451" s="219"/>
      <c r="BM451" s="219"/>
    </row>
    <row r="452" spans="1:65">
      <c r="A452" s="219"/>
      <c r="B452" s="219"/>
      <c r="C452" s="219"/>
      <c r="D452" s="219"/>
      <c r="E452" s="219"/>
      <c r="F452" s="219"/>
      <c r="G452" s="219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19"/>
      <c r="Z452" s="219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19"/>
      <c r="AL452" s="219"/>
      <c r="AM452" s="219"/>
      <c r="AN452" s="219"/>
      <c r="AO452" s="219"/>
      <c r="AP452" s="219"/>
      <c r="AQ452" s="219"/>
      <c r="AR452" s="219"/>
      <c r="AS452" s="219"/>
      <c r="AT452" s="219"/>
      <c r="AU452" s="219"/>
      <c r="AV452" s="219"/>
      <c r="AW452" s="219"/>
      <c r="AX452" s="219"/>
      <c r="AY452" s="219"/>
      <c r="AZ452" s="219"/>
      <c r="BA452" s="219"/>
      <c r="BB452" s="219"/>
      <c r="BC452" s="219"/>
      <c r="BD452" s="219"/>
      <c r="BE452" s="219"/>
      <c r="BF452" s="219"/>
      <c r="BG452" s="219"/>
      <c r="BH452" s="219"/>
      <c r="BI452" s="219"/>
      <c r="BJ452" s="219"/>
      <c r="BK452" s="219"/>
      <c r="BL452" s="219"/>
      <c r="BM452" s="219"/>
    </row>
    <row r="453" spans="1:65">
      <c r="A453" s="219"/>
      <c r="B453" s="219"/>
      <c r="C453" s="219"/>
      <c r="D453" s="219"/>
      <c r="E453" s="219"/>
      <c r="F453" s="219"/>
      <c r="G453" s="219"/>
      <c r="H453" s="219"/>
      <c r="I453" s="219"/>
      <c r="J453" s="219"/>
      <c r="K453" s="219"/>
      <c r="L453" s="219"/>
      <c r="M453" s="219"/>
      <c r="N453" s="219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19"/>
      <c r="Z453" s="219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19"/>
      <c r="AL453" s="219"/>
      <c r="AM453" s="219"/>
      <c r="AN453" s="219"/>
      <c r="AO453" s="219"/>
      <c r="AP453" s="219"/>
      <c r="AQ453" s="219"/>
      <c r="AR453" s="219"/>
      <c r="AS453" s="219"/>
      <c r="AT453" s="219"/>
      <c r="AU453" s="219"/>
      <c r="AV453" s="219"/>
      <c r="AW453" s="219"/>
      <c r="AX453" s="219"/>
      <c r="AY453" s="219"/>
      <c r="AZ453" s="219"/>
      <c r="BA453" s="219"/>
      <c r="BB453" s="219"/>
      <c r="BC453" s="219"/>
      <c r="BD453" s="219"/>
      <c r="BE453" s="219"/>
      <c r="BF453" s="219"/>
      <c r="BG453" s="219"/>
      <c r="BH453" s="219"/>
      <c r="BI453" s="219"/>
      <c r="BJ453" s="219"/>
      <c r="BK453" s="219"/>
      <c r="BL453" s="219"/>
      <c r="BM453" s="219"/>
    </row>
    <row r="454" spans="1:65">
      <c r="A454" s="219"/>
      <c r="B454" s="219"/>
      <c r="C454" s="219"/>
      <c r="D454" s="219"/>
      <c r="E454" s="219"/>
      <c r="F454" s="219"/>
      <c r="G454" s="219"/>
      <c r="H454" s="219"/>
      <c r="I454" s="219"/>
      <c r="J454" s="219"/>
      <c r="K454" s="219"/>
      <c r="L454" s="219"/>
      <c r="M454" s="219"/>
      <c r="N454" s="219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19"/>
      <c r="Z454" s="219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19"/>
      <c r="AL454" s="219"/>
      <c r="AM454" s="219"/>
      <c r="AN454" s="219"/>
      <c r="AO454" s="219"/>
      <c r="AP454" s="219"/>
      <c r="AQ454" s="219"/>
      <c r="AR454" s="219"/>
      <c r="AS454" s="219"/>
      <c r="AT454" s="219"/>
      <c r="AU454" s="219"/>
      <c r="AV454" s="219"/>
      <c r="AW454" s="219"/>
      <c r="AX454" s="219"/>
      <c r="AY454" s="219"/>
      <c r="AZ454" s="219"/>
      <c r="BA454" s="219"/>
      <c r="BB454" s="219"/>
      <c r="BC454" s="219"/>
      <c r="BD454" s="219"/>
      <c r="BE454" s="219"/>
      <c r="BF454" s="219"/>
      <c r="BG454" s="219"/>
      <c r="BH454" s="219"/>
      <c r="BI454" s="219"/>
      <c r="BJ454" s="219"/>
      <c r="BK454" s="219"/>
      <c r="BL454" s="219"/>
      <c r="BM454" s="219"/>
    </row>
    <row r="455" spans="1:65">
      <c r="A455" s="219"/>
      <c r="B455" s="219"/>
      <c r="C455" s="219"/>
      <c r="D455" s="219"/>
      <c r="E455" s="219"/>
      <c r="F455" s="219"/>
      <c r="G455" s="219"/>
      <c r="H455" s="219"/>
      <c r="I455" s="219"/>
      <c r="J455" s="219"/>
      <c r="K455" s="219"/>
      <c r="L455" s="219"/>
      <c r="M455" s="219"/>
      <c r="N455" s="219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19"/>
      <c r="Z455" s="219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19"/>
      <c r="AL455" s="219"/>
      <c r="AM455" s="219"/>
      <c r="AN455" s="219"/>
      <c r="AO455" s="219"/>
      <c r="AP455" s="219"/>
      <c r="AQ455" s="219"/>
      <c r="AR455" s="219"/>
      <c r="AS455" s="219"/>
      <c r="AT455" s="219"/>
      <c r="AU455" s="219"/>
      <c r="AV455" s="219"/>
      <c r="AW455" s="219"/>
      <c r="AX455" s="219"/>
      <c r="AY455" s="219"/>
      <c r="AZ455" s="219"/>
      <c r="BA455" s="219"/>
      <c r="BB455" s="219"/>
      <c r="BC455" s="219"/>
      <c r="BD455" s="219"/>
      <c r="BE455" s="219"/>
      <c r="BF455" s="219"/>
      <c r="BG455" s="219"/>
      <c r="BH455" s="219"/>
      <c r="BI455" s="219"/>
      <c r="BJ455" s="219"/>
      <c r="BK455" s="219"/>
      <c r="BL455" s="219"/>
      <c r="BM455" s="219"/>
    </row>
    <row r="456" spans="1:65">
      <c r="A456" s="219"/>
      <c r="B456" s="219"/>
      <c r="C456" s="219"/>
      <c r="D456" s="219"/>
      <c r="E456" s="219"/>
      <c r="F456" s="219"/>
      <c r="G456" s="219"/>
      <c r="H456" s="219"/>
      <c r="I456" s="219"/>
      <c r="J456" s="219"/>
      <c r="K456" s="219"/>
      <c r="L456" s="219"/>
      <c r="M456" s="219"/>
      <c r="N456" s="219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19"/>
      <c r="Z456" s="219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19"/>
      <c r="AL456" s="219"/>
      <c r="AM456" s="219"/>
      <c r="AN456" s="219"/>
      <c r="AO456" s="219"/>
      <c r="AP456" s="219"/>
      <c r="AQ456" s="219"/>
      <c r="AR456" s="219"/>
      <c r="AS456" s="219"/>
      <c r="AT456" s="219"/>
      <c r="AU456" s="219"/>
      <c r="AV456" s="219"/>
      <c r="AW456" s="219"/>
      <c r="AX456" s="219"/>
      <c r="AY456" s="219"/>
      <c r="AZ456" s="219"/>
      <c r="BA456" s="219"/>
      <c r="BB456" s="219"/>
      <c r="BC456" s="219"/>
      <c r="BD456" s="219"/>
      <c r="BE456" s="219"/>
      <c r="BF456" s="219"/>
      <c r="BG456" s="219"/>
      <c r="BH456" s="219"/>
      <c r="BI456" s="219"/>
      <c r="BJ456" s="219"/>
      <c r="BK456" s="219"/>
      <c r="BL456" s="219"/>
      <c r="BM456" s="219"/>
    </row>
    <row r="457" spans="1:65">
      <c r="A457" s="219"/>
      <c r="B457" s="219"/>
      <c r="C457" s="219"/>
      <c r="D457" s="219"/>
      <c r="E457" s="219"/>
      <c r="F457" s="219"/>
      <c r="G457" s="219"/>
      <c r="H457" s="219"/>
      <c r="I457" s="219"/>
      <c r="J457" s="219"/>
      <c r="K457" s="219"/>
      <c r="L457" s="219"/>
      <c r="M457" s="219"/>
      <c r="N457" s="219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19"/>
      <c r="Z457" s="219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19"/>
      <c r="AL457" s="219"/>
      <c r="AM457" s="219"/>
      <c r="AN457" s="219"/>
      <c r="AO457" s="219"/>
      <c r="AP457" s="219"/>
      <c r="AQ457" s="219"/>
      <c r="AR457" s="219"/>
      <c r="AS457" s="219"/>
      <c r="AT457" s="219"/>
      <c r="AU457" s="219"/>
      <c r="AV457" s="219"/>
      <c r="AW457" s="219"/>
      <c r="AX457" s="219"/>
      <c r="AY457" s="219"/>
      <c r="AZ457" s="219"/>
      <c r="BA457" s="219"/>
      <c r="BB457" s="219"/>
      <c r="BC457" s="219"/>
      <c r="BD457" s="219"/>
      <c r="BE457" s="219"/>
      <c r="BF457" s="219"/>
      <c r="BG457" s="219"/>
      <c r="BH457" s="219"/>
      <c r="BI457" s="219"/>
      <c r="BJ457" s="219"/>
      <c r="BK457" s="219"/>
      <c r="BL457" s="219"/>
      <c r="BM457" s="219"/>
    </row>
    <row r="458" spans="1:65">
      <c r="A458" s="219"/>
      <c r="B458" s="219"/>
      <c r="C458" s="219"/>
      <c r="D458" s="219"/>
      <c r="E458" s="219"/>
      <c r="F458" s="219"/>
      <c r="G458" s="219"/>
      <c r="H458" s="219"/>
      <c r="I458" s="219"/>
      <c r="J458" s="219"/>
      <c r="K458" s="219"/>
      <c r="L458" s="219"/>
      <c r="M458" s="219"/>
      <c r="N458" s="219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19"/>
      <c r="Z458" s="219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19"/>
      <c r="AL458" s="219"/>
      <c r="AM458" s="219"/>
      <c r="AN458" s="219"/>
      <c r="AO458" s="219"/>
      <c r="AP458" s="219"/>
      <c r="AQ458" s="219"/>
      <c r="AR458" s="219"/>
      <c r="AS458" s="219"/>
      <c r="AT458" s="219"/>
      <c r="AU458" s="219"/>
      <c r="AV458" s="219"/>
      <c r="AW458" s="219"/>
      <c r="AX458" s="219"/>
      <c r="AY458" s="219"/>
      <c r="AZ458" s="219"/>
      <c r="BA458" s="219"/>
      <c r="BB458" s="219"/>
      <c r="BC458" s="219"/>
      <c r="BD458" s="219"/>
      <c r="BE458" s="219"/>
      <c r="BF458" s="219"/>
      <c r="BG458" s="219"/>
      <c r="BH458" s="219"/>
      <c r="BI458" s="219"/>
      <c r="BJ458" s="219"/>
      <c r="BK458" s="219"/>
      <c r="BL458" s="219"/>
      <c r="BM458" s="219"/>
    </row>
    <row r="459" spans="1:65">
      <c r="A459" s="219"/>
      <c r="B459" s="219"/>
      <c r="C459" s="219"/>
      <c r="D459" s="219"/>
      <c r="E459" s="219"/>
      <c r="F459" s="219"/>
      <c r="G459" s="219"/>
      <c r="H459" s="219"/>
      <c r="I459" s="219"/>
      <c r="J459" s="219"/>
      <c r="K459" s="219"/>
      <c r="L459" s="219"/>
      <c r="M459" s="219"/>
      <c r="N459" s="219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19"/>
      <c r="Z459" s="219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19"/>
      <c r="AL459" s="219"/>
      <c r="AM459" s="219"/>
      <c r="AN459" s="219"/>
      <c r="AO459" s="219"/>
      <c r="AP459" s="219"/>
      <c r="AQ459" s="219"/>
      <c r="AR459" s="219"/>
      <c r="AS459" s="219"/>
      <c r="AT459" s="219"/>
      <c r="AU459" s="219"/>
      <c r="AV459" s="219"/>
      <c r="AW459" s="219"/>
      <c r="AX459" s="219"/>
      <c r="AY459" s="219"/>
      <c r="AZ459" s="219"/>
      <c r="BA459" s="219"/>
      <c r="BB459" s="219"/>
      <c r="BC459" s="219"/>
      <c r="BD459" s="219"/>
      <c r="BE459" s="219"/>
      <c r="BF459" s="219"/>
      <c r="BG459" s="219"/>
      <c r="BH459" s="219"/>
      <c r="BI459" s="219"/>
      <c r="BJ459" s="219"/>
      <c r="BK459" s="219"/>
      <c r="BL459" s="219"/>
      <c r="BM459" s="219"/>
    </row>
    <row r="460" spans="1:65">
      <c r="A460" s="219"/>
      <c r="B460" s="219"/>
      <c r="C460" s="219"/>
      <c r="D460" s="219"/>
      <c r="E460" s="219"/>
      <c r="F460" s="219"/>
      <c r="G460" s="219"/>
      <c r="H460" s="219"/>
      <c r="I460" s="219"/>
      <c r="J460" s="219"/>
      <c r="K460" s="219"/>
      <c r="L460" s="219"/>
      <c r="M460" s="219"/>
      <c r="N460" s="219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19"/>
      <c r="Z460" s="219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19"/>
      <c r="AL460" s="219"/>
      <c r="AM460" s="219"/>
      <c r="AN460" s="219"/>
      <c r="AO460" s="219"/>
      <c r="AP460" s="219"/>
      <c r="AQ460" s="219"/>
      <c r="AR460" s="219"/>
      <c r="AS460" s="219"/>
      <c r="AT460" s="219"/>
      <c r="AU460" s="219"/>
      <c r="AV460" s="219"/>
      <c r="AW460" s="219"/>
      <c r="AX460" s="219"/>
      <c r="AY460" s="219"/>
      <c r="AZ460" s="219"/>
      <c r="BA460" s="219"/>
      <c r="BB460" s="219"/>
      <c r="BC460" s="219"/>
      <c r="BD460" s="219"/>
      <c r="BE460" s="219"/>
      <c r="BF460" s="219"/>
      <c r="BG460" s="219"/>
      <c r="BH460" s="219"/>
      <c r="BI460" s="219"/>
      <c r="BJ460" s="219"/>
      <c r="BK460" s="219"/>
      <c r="BL460" s="219"/>
      <c r="BM460" s="219"/>
    </row>
    <row r="461" spans="1:65">
      <c r="A461" s="219"/>
      <c r="B461" s="219"/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19"/>
      <c r="AL461" s="219"/>
      <c r="AM461" s="219"/>
      <c r="AN461" s="219"/>
      <c r="AO461" s="219"/>
      <c r="AP461" s="219"/>
      <c r="AQ461" s="219"/>
      <c r="AR461" s="219"/>
      <c r="AS461" s="219"/>
      <c r="AT461" s="219"/>
      <c r="AU461" s="219"/>
      <c r="AV461" s="219"/>
      <c r="AW461" s="219"/>
      <c r="AX461" s="219"/>
      <c r="AY461" s="219"/>
      <c r="AZ461" s="219"/>
      <c r="BA461" s="219"/>
      <c r="BB461" s="219"/>
      <c r="BC461" s="219"/>
      <c r="BD461" s="219"/>
      <c r="BE461" s="219"/>
      <c r="BF461" s="219"/>
      <c r="BG461" s="219"/>
      <c r="BH461" s="219"/>
      <c r="BI461" s="219"/>
      <c r="BJ461" s="219"/>
      <c r="BK461" s="219"/>
      <c r="BL461" s="219"/>
      <c r="BM461" s="219"/>
    </row>
    <row r="462" spans="1:65">
      <c r="A462" s="219"/>
      <c r="B462" s="219"/>
      <c r="C462" s="219"/>
      <c r="D462" s="219"/>
      <c r="E462" s="219"/>
      <c r="F462" s="219"/>
      <c r="G462" s="219"/>
      <c r="H462" s="219"/>
      <c r="I462" s="219"/>
      <c r="J462" s="219"/>
      <c r="K462" s="219"/>
      <c r="L462" s="219"/>
      <c r="M462" s="219"/>
      <c r="N462" s="219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19"/>
      <c r="Z462" s="219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19"/>
      <c r="AL462" s="219"/>
      <c r="AM462" s="219"/>
      <c r="AN462" s="219"/>
      <c r="AO462" s="219"/>
      <c r="AP462" s="219"/>
      <c r="AQ462" s="219"/>
      <c r="AR462" s="219"/>
      <c r="AS462" s="219"/>
      <c r="AT462" s="219"/>
      <c r="AU462" s="219"/>
      <c r="AV462" s="219"/>
      <c r="AW462" s="219"/>
      <c r="AX462" s="219"/>
      <c r="AY462" s="219"/>
      <c r="AZ462" s="219"/>
      <c r="BA462" s="219"/>
      <c r="BB462" s="219"/>
      <c r="BC462" s="219"/>
      <c r="BD462" s="219"/>
      <c r="BE462" s="219"/>
      <c r="BF462" s="219"/>
      <c r="BG462" s="219"/>
      <c r="BH462" s="219"/>
      <c r="BI462" s="219"/>
      <c r="BJ462" s="219"/>
      <c r="BK462" s="219"/>
      <c r="BL462" s="219"/>
      <c r="BM462" s="219"/>
    </row>
    <row r="463" spans="1:65">
      <c r="A463" s="219"/>
      <c r="B463" s="219"/>
      <c r="C463" s="219"/>
      <c r="D463" s="219"/>
      <c r="E463" s="219"/>
      <c r="F463" s="219"/>
      <c r="G463" s="219"/>
      <c r="H463" s="219"/>
      <c r="I463" s="219"/>
      <c r="J463" s="219"/>
      <c r="K463" s="219"/>
      <c r="L463" s="219"/>
      <c r="M463" s="219"/>
      <c r="N463" s="219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19"/>
      <c r="Z463" s="219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19"/>
      <c r="AL463" s="219"/>
      <c r="AM463" s="219"/>
      <c r="AN463" s="219"/>
      <c r="AO463" s="219"/>
      <c r="AP463" s="219"/>
      <c r="AQ463" s="219"/>
      <c r="AR463" s="219"/>
      <c r="AS463" s="219"/>
      <c r="AT463" s="219"/>
      <c r="AU463" s="219"/>
      <c r="AV463" s="219"/>
      <c r="AW463" s="219"/>
      <c r="AX463" s="219"/>
      <c r="AY463" s="219"/>
      <c r="AZ463" s="219"/>
      <c r="BA463" s="219"/>
      <c r="BB463" s="219"/>
      <c r="BC463" s="219"/>
      <c r="BD463" s="219"/>
      <c r="BE463" s="219"/>
      <c r="BF463" s="219"/>
      <c r="BG463" s="219"/>
      <c r="BH463" s="219"/>
      <c r="BI463" s="219"/>
      <c r="BJ463" s="219"/>
      <c r="BK463" s="219"/>
      <c r="BL463" s="219"/>
      <c r="BM463" s="219"/>
    </row>
    <row r="464" spans="1:65">
      <c r="A464" s="219"/>
      <c r="B464" s="219"/>
      <c r="C464" s="219"/>
      <c r="D464" s="219"/>
      <c r="E464" s="219"/>
      <c r="F464" s="219"/>
      <c r="G464" s="219"/>
      <c r="H464" s="219"/>
      <c r="I464" s="219"/>
      <c r="J464" s="219"/>
      <c r="K464" s="219"/>
      <c r="L464" s="219"/>
      <c r="M464" s="219"/>
      <c r="N464" s="219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19"/>
      <c r="Z464" s="219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19"/>
      <c r="AL464" s="219"/>
      <c r="AM464" s="219"/>
      <c r="AN464" s="219"/>
      <c r="AO464" s="219"/>
      <c r="AP464" s="219"/>
      <c r="AQ464" s="219"/>
      <c r="AR464" s="219"/>
      <c r="AS464" s="219"/>
      <c r="AT464" s="219"/>
      <c r="AU464" s="219"/>
      <c r="AV464" s="219"/>
      <c r="AW464" s="219"/>
      <c r="AX464" s="219"/>
      <c r="AY464" s="219"/>
      <c r="AZ464" s="219"/>
      <c r="BA464" s="219"/>
      <c r="BB464" s="219"/>
      <c r="BC464" s="219"/>
      <c r="BD464" s="219"/>
      <c r="BE464" s="219"/>
      <c r="BF464" s="219"/>
      <c r="BG464" s="219"/>
      <c r="BH464" s="219"/>
      <c r="BI464" s="219"/>
      <c r="BJ464" s="219"/>
      <c r="BK464" s="219"/>
      <c r="BL464" s="219"/>
      <c r="BM464" s="219"/>
    </row>
    <row r="465" spans="1:65">
      <c r="A465" s="219"/>
      <c r="B465" s="219"/>
      <c r="C465" s="219"/>
      <c r="D465" s="219"/>
      <c r="E465" s="219"/>
      <c r="F465" s="219"/>
      <c r="G465" s="219"/>
      <c r="H465" s="219"/>
      <c r="I465" s="219"/>
      <c r="J465" s="219"/>
      <c r="K465" s="219"/>
      <c r="L465" s="219"/>
      <c r="M465" s="219"/>
      <c r="N465" s="219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19"/>
      <c r="Z465" s="219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19"/>
      <c r="AL465" s="219"/>
      <c r="AM465" s="219"/>
      <c r="AN465" s="219"/>
      <c r="AO465" s="219"/>
      <c r="AP465" s="219"/>
      <c r="AQ465" s="219"/>
      <c r="AR465" s="219"/>
      <c r="AS465" s="219"/>
      <c r="AT465" s="219"/>
      <c r="AU465" s="219"/>
      <c r="AV465" s="219"/>
      <c r="AW465" s="219"/>
      <c r="AX465" s="219"/>
      <c r="AY465" s="219"/>
      <c r="AZ465" s="219"/>
      <c r="BA465" s="219"/>
      <c r="BB465" s="219"/>
      <c r="BC465" s="219"/>
      <c r="BD465" s="219"/>
      <c r="BE465" s="219"/>
      <c r="BF465" s="219"/>
      <c r="BG465" s="219"/>
      <c r="BH465" s="219"/>
      <c r="BI465" s="219"/>
      <c r="BJ465" s="219"/>
      <c r="BK465" s="219"/>
      <c r="BL465" s="219"/>
      <c r="BM465" s="219"/>
    </row>
    <row r="466" spans="1:65">
      <c r="A466" s="219"/>
      <c r="B466" s="219"/>
      <c r="C466" s="219"/>
      <c r="D466" s="219"/>
      <c r="E466" s="219"/>
      <c r="F466" s="219"/>
      <c r="G466" s="219"/>
      <c r="H466" s="219"/>
      <c r="I466" s="219"/>
      <c r="J466" s="219"/>
      <c r="K466" s="219"/>
      <c r="L466" s="219"/>
      <c r="M466" s="219"/>
      <c r="N466" s="219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19"/>
      <c r="Z466" s="219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19"/>
      <c r="AL466" s="219"/>
      <c r="AM466" s="219"/>
      <c r="AN466" s="219"/>
      <c r="AO466" s="219"/>
      <c r="AP466" s="219"/>
      <c r="AQ466" s="219"/>
      <c r="AR466" s="219"/>
      <c r="AS466" s="219"/>
      <c r="AT466" s="219"/>
      <c r="AU466" s="219"/>
      <c r="AV466" s="219"/>
      <c r="AW466" s="219"/>
      <c r="AX466" s="219"/>
      <c r="AY466" s="219"/>
      <c r="AZ466" s="219"/>
      <c r="BA466" s="219"/>
      <c r="BB466" s="219"/>
      <c r="BC466" s="219"/>
      <c r="BD466" s="219"/>
      <c r="BE466" s="219"/>
      <c r="BF466" s="219"/>
      <c r="BG466" s="219"/>
      <c r="BH466" s="219"/>
      <c r="BI466" s="219"/>
      <c r="BJ466" s="219"/>
      <c r="BK466" s="219"/>
      <c r="BL466" s="219"/>
      <c r="BM466" s="219"/>
    </row>
    <row r="467" spans="1:65">
      <c r="A467" s="219"/>
      <c r="B467" s="219"/>
      <c r="C467" s="219"/>
      <c r="D467" s="219"/>
      <c r="E467" s="219"/>
      <c r="F467" s="219"/>
      <c r="G467" s="219"/>
      <c r="H467" s="219"/>
      <c r="I467" s="219"/>
      <c r="J467" s="219"/>
      <c r="K467" s="219"/>
      <c r="L467" s="219"/>
      <c r="M467" s="219"/>
      <c r="N467" s="219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19"/>
      <c r="Z467" s="219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19"/>
      <c r="AL467" s="219"/>
      <c r="AM467" s="219"/>
      <c r="AN467" s="219"/>
      <c r="AO467" s="219"/>
      <c r="AP467" s="219"/>
      <c r="AQ467" s="219"/>
      <c r="AR467" s="219"/>
      <c r="AS467" s="219"/>
      <c r="AT467" s="219"/>
      <c r="AU467" s="219"/>
      <c r="AV467" s="219"/>
      <c r="AW467" s="219"/>
      <c r="AX467" s="219"/>
      <c r="AY467" s="219"/>
      <c r="AZ467" s="219"/>
      <c r="BA467" s="219"/>
      <c r="BB467" s="219"/>
      <c r="BC467" s="219"/>
      <c r="BD467" s="219"/>
      <c r="BE467" s="219"/>
      <c r="BF467" s="219"/>
      <c r="BG467" s="219"/>
      <c r="BH467" s="219"/>
      <c r="BI467" s="219"/>
      <c r="BJ467" s="219"/>
      <c r="BK467" s="219"/>
      <c r="BL467" s="219"/>
      <c r="BM467" s="219"/>
    </row>
    <row r="468" spans="1:65">
      <c r="A468" s="219"/>
      <c r="B468" s="219"/>
      <c r="C468" s="219"/>
      <c r="D468" s="219"/>
      <c r="E468" s="219"/>
      <c r="F468" s="219"/>
      <c r="G468" s="219"/>
      <c r="H468" s="219"/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19"/>
      <c r="Z468" s="219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19"/>
      <c r="AL468" s="219"/>
      <c r="AM468" s="219"/>
      <c r="AN468" s="219"/>
      <c r="AO468" s="219"/>
      <c r="AP468" s="219"/>
      <c r="AQ468" s="219"/>
      <c r="AR468" s="219"/>
      <c r="AS468" s="219"/>
      <c r="AT468" s="219"/>
      <c r="AU468" s="219"/>
      <c r="AV468" s="219"/>
      <c r="AW468" s="219"/>
      <c r="AX468" s="219"/>
      <c r="AY468" s="219"/>
      <c r="AZ468" s="219"/>
      <c r="BA468" s="219"/>
      <c r="BB468" s="219"/>
      <c r="BC468" s="219"/>
      <c r="BD468" s="219"/>
      <c r="BE468" s="219"/>
      <c r="BF468" s="219"/>
      <c r="BG468" s="219"/>
      <c r="BH468" s="219"/>
      <c r="BI468" s="219"/>
      <c r="BJ468" s="219"/>
      <c r="BK468" s="219"/>
      <c r="BL468" s="219"/>
      <c r="BM468" s="219"/>
    </row>
    <row r="469" spans="1:65">
      <c r="A469" s="219"/>
      <c r="B469" s="219"/>
      <c r="C469" s="219"/>
      <c r="D469" s="219"/>
      <c r="E469" s="219"/>
      <c r="F469" s="219"/>
      <c r="G469" s="219"/>
      <c r="H469" s="219"/>
      <c r="I469" s="219"/>
      <c r="J469" s="219"/>
      <c r="K469" s="219"/>
      <c r="L469" s="219"/>
      <c r="M469" s="219"/>
      <c r="N469" s="219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19"/>
      <c r="Z469" s="219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19"/>
      <c r="AL469" s="219"/>
      <c r="AM469" s="219"/>
      <c r="AN469" s="219"/>
      <c r="AO469" s="219"/>
      <c r="AP469" s="219"/>
      <c r="AQ469" s="219"/>
      <c r="AR469" s="219"/>
      <c r="AS469" s="219"/>
      <c r="AT469" s="219"/>
      <c r="AU469" s="219"/>
      <c r="AV469" s="219"/>
      <c r="AW469" s="219"/>
      <c r="AX469" s="219"/>
      <c r="AY469" s="219"/>
      <c r="AZ469" s="219"/>
      <c r="BA469" s="219"/>
      <c r="BB469" s="219"/>
      <c r="BC469" s="219"/>
      <c r="BD469" s="219"/>
      <c r="BE469" s="219"/>
      <c r="BF469" s="219"/>
      <c r="BG469" s="219"/>
      <c r="BH469" s="219"/>
      <c r="BI469" s="219"/>
      <c r="BJ469" s="219"/>
      <c r="BK469" s="219"/>
      <c r="BL469" s="219"/>
      <c r="BM469" s="219"/>
    </row>
    <row r="470" spans="1:65">
      <c r="A470" s="219"/>
      <c r="B470" s="219"/>
      <c r="C470" s="219"/>
      <c r="D470" s="219"/>
      <c r="E470" s="219"/>
      <c r="F470" s="219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19"/>
      <c r="Z470" s="219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19"/>
      <c r="AL470" s="219"/>
      <c r="AM470" s="219"/>
      <c r="AN470" s="219"/>
      <c r="AO470" s="219"/>
      <c r="AP470" s="219"/>
      <c r="AQ470" s="219"/>
      <c r="AR470" s="219"/>
      <c r="AS470" s="219"/>
      <c r="AT470" s="219"/>
      <c r="AU470" s="219"/>
      <c r="AV470" s="219"/>
      <c r="AW470" s="219"/>
      <c r="AX470" s="219"/>
      <c r="AY470" s="219"/>
      <c r="AZ470" s="219"/>
      <c r="BA470" s="219"/>
      <c r="BB470" s="219"/>
      <c r="BC470" s="219"/>
      <c r="BD470" s="219"/>
      <c r="BE470" s="219"/>
      <c r="BF470" s="219"/>
      <c r="BG470" s="219"/>
      <c r="BH470" s="219"/>
      <c r="BI470" s="219"/>
      <c r="BJ470" s="219"/>
      <c r="BK470" s="219"/>
      <c r="BL470" s="219"/>
      <c r="BM470" s="219"/>
    </row>
    <row r="471" spans="1:65">
      <c r="A471" s="219"/>
      <c r="B471" s="219"/>
      <c r="C471" s="219"/>
      <c r="D471" s="219"/>
      <c r="E471" s="219"/>
      <c r="F471" s="219"/>
      <c r="G471" s="219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19"/>
      <c r="Z471" s="219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19"/>
      <c r="AL471" s="219"/>
      <c r="AM471" s="219"/>
      <c r="AN471" s="219"/>
      <c r="AO471" s="219"/>
      <c r="AP471" s="219"/>
      <c r="AQ471" s="219"/>
      <c r="AR471" s="219"/>
      <c r="AS471" s="219"/>
      <c r="AT471" s="219"/>
      <c r="AU471" s="219"/>
      <c r="AV471" s="219"/>
      <c r="AW471" s="219"/>
      <c r="AX471" s="219"/>
      <c r="AY471" s="219"/>
      <c r="AZ471" s="219"/>
      <c r="BA471" s="219"/>
      <c r="BB471" s="219"/>
      <c r="BC471" s="219"/>
      <c r="BD471" s="219"/>
      <c r="BE471" s="219"/>
      <c r="BF471" s="219"/>
      <c r="BG471" s="219"/>
      <c r="BH471" s="219"/>
      <c r="BI471" s="219"/>
      <c r="BJ471" s="219"/>
      <c r="BK471" s="219"/>
      <c r="BL471" s="219"/>
      <c r="BM471" s="219"/>
    </row>
    <row r="472" spans="1:65">
      <c r="A472" s="219"/>
      <c r="B472" s="219"/>
      <c r="C472" s="219"/>
      <c r="D472" s="219"/>
      <c r="E472" s="219"/>
      <c r="F472" s="219"/>
      <c r="G472" s="219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19"/>
      <c r="Z472" s="219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19"/>
      <c r="AL472" s="219"/>
      <c r="AM472" s="219"/>
      <c r="AN472" s="219"/>
      <c r="AO472" s="219"/>
      <c r="AP472" s="219"/>
      <c r="AQ472" s="219"/>
      <c r="AR472" s="219"/>
      <c r="AS472" s="219"/>
      <c r="AT472" s="219"/>
      <c r="AU472" s="219"/>
      <c r="AV472" s="219"/>
      <c r="AW472" s="219"/>
      <c r="AX472" s="219"/>
      <c r="AY472" s="219"/>
      <c r="AZ472" s="219"/>
      <c r="BA472" s="219"/>
      <c r="BB472" s="219"/>
      <c r="BC472" s="219"/>
      <c r="BD472" s="219"/>
      <c r="BE472" s="219"/>
      <c r="BF472" s="219"/>
      <c r="BG472" s="219"/>
      <c r="BH472" s="219"/>
      <c r="BI472" s="219"/>
      <c r="BJ472" s="219"/>
      <c r="BK472" s="219"/>
      <c r="BL472" s="219"/>
      <c r="BM472" s="219"/>
    </row>
    <row r="473" spans="1:65">
      <c r="A473" s="219"/>
      <c r="B473" s="219"/>
      <c r="C473" s="219"/>
      <c r="D473" s="219"/>
      <c r="E473" s="219"/>
      <c r="F473" s="219"/>
      <c r="G473" s="219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19"/>
      <c r="Z473" s="219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19"/>
      <c r="AL473" s="219"/>
      <c r="AM473" s="219"/>
      <c r="AN473" s="219"/>
      <c r="AO473" s="219"/>
      <c r="AP473" s="219"/>
      <c r="AQ473" s="219"/>
      <c r="AR473" s="219"/>
      <c r="AS473" s="219"/>
      <c r="AT473" s="219"/>
      <c r="AU473" s="219"/>
      <c r="AV473" s="219"/>
      <c r="AW473" s="219"/>
      <c r="AX473" s="219"/>
      <c r="AY473" s="219"/>
      <c r="AZ473" s="219"/>
      <c r="BA473" s="219"/>
      <c r="BB473" s="219"/>
      <c r="BC473" s="219"/>
      <c r="BD473" s="219"/>
      <c r="BE473" s="219"/>
      <c r="BF473" s="219"/>
      <c r="BG473" s="219"/>
      <c r="BH473" s="219"/>
      <c r="BI473" s="219"/>
      <c r="BJ473" s="219"/>
      <c r="BK473" s="219"/>
      <c r="BL473" s="219"/>
      <c r="BM473" s="219"/>
    </row>
    <row r="474" spans="1:65">
      <c r="A474" s="219"/>
      <c r="B474" s="219"/>
      <c r="C474" s="219"/>
      <c r="D474" s="219"/>
      <c r="E474" s="219"/>
      <c r="F474" s="219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19"/>
      <c r="Z474" s="219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19"/>
      <c r="AL474" s="219"/>
      <c r="AM474" s="219"/>
      <c r="AN474" s="219"/>
      <c r="AO474" s="219"/>
      <c r="AP474" s="219"/>
      <c r="AQ474" s="219"/>
      <c r="AR474" s="219"/>
      <c r="AS474" s="219"/>
      <c r="AT474" s="219"/>
      <c r="AU474" s="219"/>
      <c r="AV474" s="219"/>
      <c r="AW474" s="219"/>
      <c r="AX474" s="219"/>
      <c r="AY474" s="219"/>
      <c r="AZ474" s="219"/>
      <c r="BA474" s="219"/>
      <c r="BB474" s="219"/>
      <c r="BC474" s="219"/>
      <c r="BD474" s="219"/>
      <c r="BE474" s="219"/>
      <c r="BF474" s="219"/>
      <c r="BG474" s="219"/>
      <c r="BH474" s="219"/>
      <c r="BI474" s="219"/>
      <c r="BJ474" s="219"/>
      <c r="BK474" s="219"/>
      <c r="BL474" s="219"/>
      <c r="BM474" s="219"/>
    </row>
    <row r="475" spans="1:65">
      <c r="A475" s="219"/>
      <c r="B475" s="219"/>
      <c r="C475" s="219"/>
      <c r="D475" s="219"/>
      <c r="E475" s="219"/>
      <c r="F475" s="219"/>
      <c r="G475" s="219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19"/>
      <c r="Z475" s="219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19"/>
      <c r="AL475" s="219"/>
      <c r="AM475" s="219"/>
      <c r="AN475" s="219"/>
      <c r="AO475" s="219"/>
      <c r="AP475" s="219"/>
      <c r="AQ475" s="219"/>
      <c r="AR475" s="219"/>
      <c r="AS475" s="219"/>
      <c r="AT475" s="219"/>
      <c r="AU475" s="219"/>
      <c r="AV475" s="219"/>
      <c r="AW475" s="219"/>
      <c r="AX475" s="219"/>
      <c r="AY475" s="219"/>
      <c r="AZ475" s="219"/>
      <c r="BA475" s="219"/>
      <c r="BB475" s="219"/>
      <c r="BC475" s="219"/>
      <c r="BD475" s="219"/>
      <c r="BE475" s="219"/>
      <c r="BF475" s="219"/>
      <c r="BG475" s="219"/>
      <c r="BH475" s="219"/>
      <c r="BI475" s="219"/>
      <c r="BJ475" s="219"/>
      <c r="BK475" s="219"/>
      <c r="BL475" s="219"/>
      <c r="BM475" s="219"/>
    </row>
    <row r="476" spans="1:65">
      <c r="A476" s="219"/>
      <c r="B476" s="219"/>
      <c r="C476" s="219"/>
      <c r="D476" s="219"/>
      <c r="E476" s="219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19"/>
      <c r="Z476" s="219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19"/>
      <c r="AL476" s="219"/>
      <c r="AM476" s="219"/>
      <c r="AN476" s="219"/>
      <c r="AO476" s="219"/>
      <c r="AP476" s="219"/>
      <c r="AQ476" s="219"/>
      <c r="AR476" s="219"/>
      <c r="AS476" s="219"/>
      <c r="AT476" s="219"/>
      <c r="AU476" s="219"/>
      <c r="AV476" s="219"/>
      <c r="AW476" s="219"/>
      <c r="AX476" s="219"/>
      <c r="AY476" s="219"/>
      <c r="AZ476" s="219"/>
      <c r="BA476" s="219"/>
      <c r="BB476" s="219"/>
      <c r="BC476" s="219"/>
      <c r="BD476" s="219"/>
      <c r="BE476" s="219"/>
      <c r="BF476" s="219"/>
      <c r="BG476" s="219"/>
      <c r="BH476" s="219"/>
      <c r="BI476" s="219"/>
      <c r="BJ476" s="219"/>
      <c r="BK476" s="219"/>
      <c r="BL476" s="219"/>
      <c r="BM476" s="219"/>
    </row>
    <row r="477" spans="1:65">
      <c r="A477" s="219"/>
      <c r="B477" s="219"/>
      <c r="C477" s="219"/>
      <c r="D477" s="219"/>
      <c r="E477" s="219"/>
      <c r="F477" s="219"/>
      <c r="G477" s="219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19"/>
      <c r="Z477" s="219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19"/>
      <c r="AL477" s="219"/>
      <c r="AM477" s="219"/>
      <c r="AN477" s="219"/>
      <c r="AO477" s="219"/>
      <c r="AP477" s="219"/>
      <c r="AQ477" s="219"/>
      <c r="AR477" s="219"/>
      <c r="AS477" s="219"/>
      <c r="AT477" s="219"/>
      <c r="AU477" s="219"/>
      <c r="AV477" s="219"/>
      <c r="AW477" s="219"/>
      <c r="AX477" s="219"/>
      <c r="AY477" s="219"/>
      <c r="AZ477" s="219"/>
      <c r="BA477" s="219"/>
      <c r="BB477" s="219"/>
      <c r="BC477" s="219"/>
      <c r="BD477" s="219"/>
      <c r="BE477" s="219"/>
      <c r="BF477" s="219"/>
      <c r="BG477" s="219"/>
      <c r="BH477" s="219"/>
      <c r="BI477" s="219"/>
      <c r="BJ477" s="219"/>
      <c r="BK477" s="219"/>
      <c r="BL477" s="219"/>
      <c r="BM477" s="219"/>
    </row>
    <row r="478" spans="1:65">
      <c r="A478" s="219"/>
      <c r="B478" s="219"/>
      <c r="C478" s="219"/>
      <c r="D478" s="219"/>
      <c r="E478" s="219"/>
      <c r="F478" s="219"/>
      <c r="G478" s="219"/>
      <c r="H478" s="219"/>
      <c r="I478" s="219"/>
      <c r="J478" s="219"/>
      <c r="K478" s="219"/>
      <c r="L478" s="219"/>
      <c r="M478" s="219"/>
      <c r="N478" s="219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19"/>
      <c r="Z478" s="219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19"/>
      <c r="AL478" s="219"/>
      <c r="AM478" s="219"/>
      <c r="AN478" s="219"/>
      <c r="AO478" s="219"/>
      <c r="AP478" s="219"/>
      <c r="AQ478" s="219"/>
      <c r="AR478" s="219"/>
      <c r="AS478" s="219"/>
      <c r="AT478" s="219"/>
      <c r="AU478" s="219"/>
      <c r="AV478" s="219"/>
      <c r="AW478" s="219"/>
      <c r="AX478" s="219"/>
      <c r="AY478" s="219"/>
      <c r="AZ478" s="219"/>
      <c r="BA478" s="219"/>
      <c r="BB478" s="219"/>
      <c r="BC478" s="219"/>
      <c r="BD478" s="219"/>
      <c r="BE478" s="219"/>
      <c r="BF478" s="219"/>
      <c r="BG478" s="219"/>
      <c r="BH478" s="219"/>
      <c r="BI478" s="219"/>
      <c r="BJ478" s="219"/>
      <c r="BK478" s="219"/>
      <c r="BL478" s="219"/>
      <c r="BM478" s="219"/>
    </row>
    <row r="479" spans="1:65">
      <c r="A479" s="219"/>
      <c r="B479" s="219"/>
      <c r="C479" s="219"/>
      <c r="D479" s="219"/>
      <c r="E479" s="219"/>
      <c r="F479" s="219"/>
      <c r="G479" s="219"/>
      <c r="H479" s="219"/>
      <c r="I479" s="219"/>
      <c r="J479" s="219"/>
      <c r="K479" s="219"/>
      <c r="L479" s="219"/>
      <c r="M479" s="219"/>
      <c r="N479" s="219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19"/>
      <c r="Z479" s="219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19"/>
      <c r="AL479" s="219"/>
      <c r="AM479" s="219"/>
      <c r="AN479" s="219"/>
      <c r="AO479" s="219"/>
      <c r="AP479" s="219"/>
      <c r="AQ479" s="219"/>
      <c r="AR479" s="219"/>
      <c r="AS479" s="219"/>
      <c r="AT479" s="219"/>
      <c r="AU479" s="219"/>
      <c r="AV479" s="219"/>
      <c r="AW479" s="219"/>
      <c r="AX479" s="219"/>
      <c r="AY479" s="219"/>
      <c r="AZ479" s="219"/>
      <c r="BA479" s="219"/>
      <c r="BB479" s="219"/>
      <c r="BC479" s="219"/>
      <c r="BD479" s="219"/>
      <c r="BE479" s="219"/>
      <c r="BF479" s="219"/>
      <c r="BG479" s="219"/>
      <c r="BH479" s="219"/>
      <c r="BI479" s="219"/>
      <c r="BJ479" s="219"/>
      <c r="BK479" s="219"/>
      <c r="BL479" s="219"/>
      <c r="BM479" s="219"/>
    </row>
    <row r="480" spans="1:65">
      <c r="A480" s="219"/>
      <c r="B480" s="219"/>
      <c r="C480" s="219"/>
      <c r="D480" s="219"/>
      <c r="E480" s="219"/>
      <c r="F480" s="219"/>
      <c r="G480" s="219"/>
      <c r="H480" s="219"/>
      <c r="I480" s="219"/>
      <c r="J480" s="219"/>
      <c r="K480" s="219"/>
      <c r="L480" s="219"/>
      <c r="M480" s="219"/>
      <c r="N480" s="219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19"/>
      <c r="Z480" s="219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19"/>
      <c r="AL480" s="219"/>
      <c r="AM480" s="219"/>
      <c r="AN480" s="219"/>
      <c r="AO480" s="219"/>
      <c r="AP480" s="219"/>
      <c r="AQ480" s="219"/>
      <c r="AR480" s="219"/>
      <c r="AS480" s="219"/>
      <c r="AT480" s="219"/>
      <c r="AU480" s="219"/>
      <c r="AV480" s="219"/>
      <c r="AW480" s="219"/>
      <c r="AX480" s="219"/>
      <c r="AY480" s="219"/>
      <c r="AZ480" s="219"/>
      <c r="BA480" s="219"/>
      <c r="BB480" s="219"/>
      <c r="BC480" s="219"/>
      <c r="BD480" s="219"/>
      <c r="BE480" s="219"/>
      <c r="BF480" s="219"/>
      <c r="BG480" s="219"/>
      <c r="BH480" s="219"/>
      <c r="BI480" s="219"/>
      <c r="BJ480" s="219"/>
      <c r="BK480" s="219"/>
      <c r="BL480" s="219"/>
      <c r="BM480" s="219"/>
    </row>
    <row r="481" spans="1:65">
      <c r="A481" s="219"/>
      <c r="B481" s="219"/>
      <c r="C481" s="219"/>
      <c r="D481" s="219"/>
      <c r="E481" s="219"/>
      <c r="F481" s="219"/>
      <c r="G481" s="219"/>
      <c r="H481" s="219"/>
      <c r="I481" s="219"/>
      <c r="J481" s="219"/>
      <c r="K481" s="219"/>
      <c r="L481" s="219"/>
      <c r="M481" s="219"/>
      <c r="N481" s="219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19"/>
      <c r="Z481" s="219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19"/>
      <c r="AL481" s="219"/>
      <c r="AM481" s="219"/>
      <c r="AN481" s="219"/>
      <c r="AO481" s="219"/>
      <c r="AP481" s="219"/>
      <c r="AQ481" s="219"/>
      <c r="AR481" s="219"/>
      <c r="AS481" s="219"/>
      <c r="AT481" s="219"/>
      <c r="AU481" s="219"/>
      <c r="AV481" s="219"/>
      <c r="AW481" s="219"/>
      <c r="AX481" s="219"/>
      <c r="AY481" s="219"/>
      <c r="AZ481" s="219"/>
      <c r="BA481" s="219"/>
      <c r="BB481" s="219"/>
      <c r="BC481" s="219"/>
      <c r="BD481" s="219"/>
      <c r="BE481" s="219"/>
      <c r="BF481" s="219"/>
      <c r="BG481" s="219"/>
      <c r="BH481" s="219"/>
      <c r="BI481" s="219"/>
      <c r="BJ481" s="219"/>
      <c r="BK481" s="219"/>
      <c r="BL481" s="219"/>
      <c r="BM481" s="219"/>
    </row>
    <row r="482" spans="1:65">
      <c r="A482" s="219"/>
      <c r="B482" s="219"/>
      <c r="C482" s="219"/>
      <c r="D482" s="219"/>
      <c r="E482" s="219"/>
      <c r="F482" s="219"/>
      <c r="G482" s="219"/>
      <c r="H482" s="219"/>
      <c r="I482" s="219"/>
      <c r="J482" s="219"/>
      <c r="K482" s="219"/>
      <c r="L482" s="219"/>
      <c r="M482" s="219"/>
      <c r="N482" s="219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19"/>
      <c r="Z482" s="219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19"/>
      <c r="AL482" s="219"/>
      <c r="AM482" s="219"/>
      <c r="AN482" s="219"/>
      <c r="AO482" s="219"/>
      <c r="AP482" s="219"/>
      <c r="AQ482" s="219"/>
      <c r="AR482" s="219"/>
      <c r="AS482" s="219"/>
      <c r="AT482" s="219"/>
      <c r="AU482" s="219"/>
      <c r="AV482" s="219"/>
      <c r="AW482" s="219"/>
      <c r="AX482" s="219"/>
      <c r="AY482" s="219"/>
      <c r="AZ482" s="219"/>
      <c r="BA482" s="219"/>
      <c r="BB482" s="219"/>
      <c r="BC482" s="219"/>
      <c r="BD482" s="219"/>
      <c r="BE482" s="219"/>
      <c r="BF482" s="219"/>
      <c r="BG482" s="219"/>
      <c r="BH482" s="219"/>
      <c r="BI482" s="219"/>
      <c r="BJ482" s="219"/>
      <c r="BK482" s="219"/>
      <c r="BL482" s="219"/>
      <c r="BM482" s="219"/>
    </row>
    <row r="483" spans="1:65">
      <c r="A483" s="219"/>
      <c r="B483" s="219"/>
      <c r="C483" s="219"/>
      <c r="D483" s="219"/>
      <c r="E483" s="219"/>
      <c r="F483" s="219"/>
      <c r="G483" s="219"/>
      <c r="H483" s="219"/>
      <c r="I483" s="219"/>
      <c r="J483" s="219"/>
      <c r="K483" s="219"/>
      <c r="L483" s="219"/>
      <c r="M483" s="219"/>
      <c r="N483" s="219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19"/>
      <c r="Z483" s="219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19"/>
      <c r="AL483" s="219"/>
      <c r="AM483" s="219"/>
      <c r="AN483" s="219"/>
      <c r="AO483" s="219"/>
      <c r="AP483" s="219"/>
      <c r="AQ483" s="219"/>
      <c r="AR483" s="219"/>
      <c r="AS483" s="219"/>
      <c r="AT483" s="219"/>
      <c r="AU483" s="219"/>
      <c r="AV483" s="219"/>
      <c r="AW483" s="219"/>
      <c r="AX483" s="219"/>
      <c r="AY483" s="219"/>
      <c r="AZ483" s="219"/>
      <c r="BA483" s="219"/>
      <c r="BB483" s="219"/>
      <c r="BC483" s="219"/>
      <c r="BD483" s="219"/>
      <c r="BE483" s="219"/>
      <c r="BF483" s="219"/>
      <c r="BG483" s="219"/>
      <c r="BH483" s="219"/>
      <c r="BI483" s="219"/>
      <c r="BJ483" s="219"/>
      <c r="BK483" s="219"/>
      <c r="BL483" s="219"/>
      <c r="BM483" s="219"/>
    </row>
    <row r="484" spans="1:65">
      <c r="A484" s="219"/>
      <c r="B484" s="219"/>
      <c r="C484" s="219"/>
      <c r="D484" s="219"/>
      <c r="E484" s="219"/>
      <c r="F484" s="219"/>
      <c r="G484" s="219"/>
      <c r="H484" s="219"/>
      <c r="I484" s="219"/>
      <c r="J484" s="219"/>
      <c r="K484" s="219"/>
      <c r="L484" s="219"/>
      <c r="M484" s="219"/>
      <c r="N484" s="219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19"/>
      <c r="Z484" s="219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19"/>
      <c r="AL484" s="219"/>
      <c r="AM484" s="219"/>
      <c r="AN484" s="219"/>
      <c r="AO484" s="219"/>
      <c r="AP484" s="219"/>
      <c r="AQ484" s="219"/>
      <c r="AR484" s="219"/>
      <c r="AS484" s="219"/>
      <c r="AT484" s="219"/>
      <c r="AU484" s="219"/>
      <c r="AV484" s="219"/>
      <c r="AW484" s="219"/>
      <c r="AX484" s="219"/>
      <c r="AY484" s="219"/>
      <c r="AZ484" s="219"/>
      <c r="BA484" s="219"/>
      <c r="BB484" s="219"/>
      <c r="BC484" s="219"/>
      <c r="BD484" s="219"/>
      <c r="BE484" s="219"/>
      <c r="BF484" s="219"/>
      <c r="BG484" s="219"/>
      <c r="BH484" s="219"/>
      <c r="BI484" s="219"/>
      <c r="BJ484" s="219"/>
      <c r="BK484" s="219"/>
      <c r="BL484" s="219"/>
      <c r="BM484" s="219"/>
    </row>
    <row r="485" spans="1:65">
      <c r="A485" s="219"/>
      <c r="B485" s="219"/>
      <c r="C485" s="219"/>
      <c r="D485" s="219"/>
      <c r="E485" s="219"/>
      <c r="F485" s="219"/>
      <c r="G485" s="219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19"/>
      <c r="Z485" s="219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19"/>
      <c r="AL485" s="219"/>
      <c r="AM485" s="219"/>
      <c r="AN485" s="219"/>
      <c r="AO485" s="219"/>
      <c r="AP485" s="219"/>
      <c r="AQ485" s="219"/>
      <c r="AR485" s="219"/>
      <c r="AS485" s="219"/>
      <c r="AT485" s="219"/>
      <c r="AU485" s="219"/>
      <c r="AV485" s="219"/>
      <c r="AW485" s="219"/>
      <c r="AX485" s="219"/>
      <c r="AY485" s="219"/>
      <c r="AZ485" s="219"/>
      <c r="BA485" s="219"/>
      <c r="BB485" s="219"/>
      <c r="BC485" s="219"/>
      <c r="BD485" s="219"/>
      <c r="BE485" s="219"/>
      <c r="BF485" s="219"/>
      <c r="BG485" s="219"/>
      <c r="BH485" s="219"/>
      <c r="BI485" s="219"/>
      <c r="BJ485" s="219"/>
      <c r="BK485" s="219"/>
      <c r="BL485" s="219"/>
      <c r="BM485" s="219"/>
    </row>
    <row r="486" spans="1:65">
      <c r="A486" s="219"/>
      <c r="B486" s="219"/>
      <c r="C486" s="219"/>
      <c r="D486" s="219"/>
      <c r="E486" s="219"/>
      <c r="F486" s="219"/>
      <c r="G486" s="219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19"/>
      <c r="Z486" s="219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19"/>
      <c r="AL486" s="219"/>
      <c r="AM486" s="219"/>
      <c r="AN486" s="219"/>
      <c r="AO486" s="219"/>
      <c r="AP486" s="219"/>
      <c r="AQ486" s="219"/>
      <c r="AR486" s="219"/>
      <c r="AS486" s="219"/>
      <c r="AT486" s="219"/>
      <c r="AU486" s="219"/>
      <c r="AV486" s="219"/>
      <c r="AW486" s="219"/>
      <c r="AX486" s="219"/>
      <c r="AY486" s="219"/>
      <c r="AZ486" s="219"/>
      <c r="BA486" s="219"/>
      <c r="BB486" s="219"/>
      <c r="BC486" s="219"/>
      <c r="BD486" s="219"/>
      <c r="BE486" s="219"/>
      <c r="BF486" s="219"/>
      <c r="BG486" s="219"/>
      <c r="BH486" s="219"/>
      <c r="BI486" s="219"/>
      <c r="BJ486" s="219"/>
      <c r="BK486" s="219"/>
      <c r="BL486" s="219"/>
      <c r="BM486" s="219"/>
    </row>
    <row r="487" spans="1:65">
      <c r="A487" s="219"/>
      <c r="B487" s="219"/>
      <c r="C487" s="219"/>
      <c r="D487" s="219"/>
      <c r="E487" s="219"/>
      <c r="F487" s="219"/>
      <c r="G487" s="219"/>
      <c r="H487" s="219"/>
      <c r="I487" s="219"/>
      <c r="J487" s="219"/>
      <c r="K487" s="219"/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19"/>
      <c r="Z487" s="219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19"/>
      <c r="AL487" s="219"/>
      <c r="AM487" s="219"/>
      <c r="AN487" s="219"/>
      <c r="AO487" s="219"/>
      <c r="AP487" s="219"/>
      <c r="AQ487" s="219"/>
      <c r="AR487" s="219"/>
      <c r="AS487" s="219"/>
      <c r="AT487" s="219"/>
      <c r="AU487" s="219"/>
      <c r="AV487" s="219"/>
      <c r="AW487" s="219"/>
      <c r="AX487" s="219"/>
      <c r="AY487" s="219"/>
      <c r="AZ487" s="219"/>
      <c r="BA487" s="219"/>
      <c r="BB487" s="219"/>
      <c r="BC487" s="219"/>
      <c r="BD487" s="219"/>
      <c r="BE487" s="219"/>
      <c r="BF487" s="219"/>
      <c r="BG487" s="219"/>
      <c r="BH487" s="219"/>
      <c r="BI487" s="219"/>
      <c r="BJ487" s="219"/>
      <c r="BK487" s="219"/>
      <c r="BL487" s="219"/>
      <c r="BM487" s="219"/>
    </row>
    <row r="488" spans="1:65">
      <c r="A488" s="219"/>
      <c r="B488" s="219"/>
      <c r="C488" s="219"/>
      <c r="D488" s="219"/>
      <c r="E488" s="219"/>
      <c r="F488" s="219"/>
      <c r="G488" s="219"/>
      <c r="H488" s="219"/>
      <c r="I488" s="219"/>
      <c r="J488" s="219"/>
      <c r="K488" s="219"/>
      <c r="L488" s="219"/>
      <c r="M488" s="219"/>
      <c r="N488" s="219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19"/>
      <c r="Z488" s="219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19"/>
      <c r="AL488" s="219"/>
      <c r="AM488" s="219"/>
      <c r="AN488" s="219"/>
      <c r="AO488" s="219"/>
      <c r="AP488" s="219"/>
      <c r="AQ488" s="219"/>
      <c r="AR488" s="219"/>
      <c r="AS488" s="219"/>
      <c r="AT488" s="219"/>
      <c r="AU488" s="219"/>
      <c r="AV488" s="219"/>
      <c r="AW488" s="219"/>
      <c r="AX488" s="219"/>
      <c r="AY488" s="219"/>
      <c r="AZ488" s="219"/>
      <c r="BA488" s="219"/>
      <c r="BB488" s="219"/>
      <c r="BC488" s="219"/>
      <c r="BD488" s="219"/>
      <c r="BE488" s="219"/>
      <c r="BF488" s="219"/>
      <c r="BG488" s="219"/>
      <c r="BH488" s="219"/>
      <c r="BI488" s="219"/>
      <c r="BJ488" s="219"/>
      <c r="BK488" s="219"/>
      <c r="BL488" s="219"/>
      <c r="BM488" s="219"/>
    </row>
    <row r="489" spans="1:65">
      <c r="A489" s="219"/>
      <c r="B489" s="219"/>
      <c r="C489" s="219"/>
      <c r="D489" s="219"/>
      <c r="E489" s="219"/>
      <c r="F489" s="219"/>
      <c r="G489" s="219"/>
      <c r="H489" s="219"/>
      <c r="I489" s="219"/>
      <c r="J489" s="219"/>
      <c r="K489" s="219"/>
      <c r="L489" s="219"/>
      <c r="M489" s="219"/>
      <c r="N489" s="219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19"/>
      <c r="Z489" s="219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19"/>
      <c r="AL489" s="219"/>
      <c r="AM489" s="219"/>
      <c r="AN489" s="219"/>
      <c r="AO489" s="219"/>
      <c r="AP489" s="219"/>
      <c r="AQ489" s="219"/>
      <c r="AR489" s="219"/>
      <c r="AS489" s="219"/>
      <c r="AT489" s="219"/>
      <c r="AU489" s="219"/>
      <c r="AV489" s="219"/>
      <c r="AW489" s="219"/>
      <c r="AX489" s="219"/>
      <c r="AY489" s="219"/>
      <c r="AZ489" s="219"/>
      <c r="BA489" s="219"/>
      <c r="BB489" s="219"/>
      <c r="BC489" s="219"/>
      <c r="BD489" s="219"/>
      <c r="BE489" s="219"/>
      <c r="BF489" s="219"/>
      <c r="BG489" s="219"/>
      <c r="BH489" s="219"/>
      <c r="BI489" s="219"/>
      <c r="BJ489" s="219"/>
      <c r="BK489" s="219"/>
      <c r="BL489" s="219"/>
      <c r="BM489" s="219"/>
    </row>
    <row r="490" spans="1:65">
      <c r="A490" s="219"/>
      <c r="B490" s="219"/>
      <c r="C490" s="219"/>
      <c r="D490" s="219"/>
      <c r="E490" s="219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19"/>
      <c r="AL490" s="219"/>
      <c r="AM490" s="219"/>
      <c r="AN490" s="219"/>
      <c r="AO490" s="219"/>
      <c r="AP490" s="219"/>
      <c r="AQ490" s="219"/>
      <c r="AR490" s="219"/>
      <c r="AS490" s="219"/>
      <c r="AT490" s="219"/>
      <c r="AU490" s="219"/>
      <c r="AV490" s="219"/>
      <c r="AW490" s="219"/>
      <c r="AX490" s="219"/>
      <c r="AY490" s="219"/>
      <c r="AZ490" s="219"/>
      <c r="BA490" s="219"/>
      <c r="BB490" s="219"/>
      <c r="BC490" s="219"/>
      <c r="BD490" s="219"/>
      <c r="BE490" s="219"/>
      <c r="BF490" s="219"/>
      <c r="BG490" s="219"/>
      <c r="BH490" s="219"/>
      <c r="BI490" s="219"/>
      <c r="BJ490" s="219"/>
      <c r="BK490" s="219"/>
      <c r="BL490" s="219"/>
      <c r="BM490" s="219"/>
    </row>
    <row r="491" spans="1:65">
      <c r="A491" s="219"/>
      <c r="B491" s="219"/>
      <c r="C491" s="219"/>
      <c r="D491" s="219"/>
      <c r="E491" s="219"/>
      <c r="F491" s="219"/>
      <c r="G491" s="219"/>
      <c r="H491" s="219"/>
      <c r="I491" s="219"/>
      <c r="J491" s="219"/>
      <c r="K491" s="219"/>
      <c r="L491" s="219"/>
      <c r="M491" s="219"/>
      <c r="N491" s="219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19"/>
      <c r="Z491" s="219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19"/>
      <c r="AL491" s="219"/>
      <c r="AM491" s="219"/>
      <c r="AN491" s="219"/>
      <c r="AO491" s="219"/>
      <c r="AP491" s="219"/>
      <c r="AQ491" s="219"/>
      <c r="AR491" s="219"/>
      <c r="AS491" s="219"/>
      <c r="AT491" s="219"/>
      <c r="AU491" s="219"/>
      <c r="AV491" s="219"/>
      <c r="AW491" s="219"/>
      <c r="AX491" s="219"/>
      <c r="AY491" s="219"/>
      <c r="AZ491" s="219"/>
      <c r="BA491" s="219"/>
      <c r="BB491" s="219"/>
      <c r="BC491" s="219"/>
      <c r="BD491" s="219"/>
      <c r="BE491" s="219"/>
      <c r="BF491" s="219"/>
      <c r="BG491" s="219"/>
      <c r="BH491" s="219"/>
      <c r="BI491" s="219"/>
      <c r="BJ491" s="219"/>
      <c r="BK491" s="219"/>
      <c r="BL491" s="219"/>
      <c r="BM491" s="219"/>
    </row>
    <row r="492" spans="1:65">
      <c r="A492" s="219"/>
      <c r="B492" s="219"/>
      <c r="C492" s="219"/>
      <c r="D492" s="219"/>
      <c r="E492" s="219"/>
      <c r="F492" s="219"/>
      <c r="G492" s="219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19"/>
      <c r="Z492" s="219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19"/>
      <c r="AL492" s="219"/>
      <c r="AM492" s="219"/>
      <c r="AN492" s="219"/>
      <c r="AO492" s="219"/>
      <c r="AP492" s="219"/>
      <c r="AQ492" s="219"/>
      <c r="AR492" s="219"/>
      <c r="AS492" s="219"/>
      <c r="AT492" s="219"/>
      <c r="AU492" s="219"/>
      <c r="AV492" s="219"/>
      <c r="AW492" s="219"/>
      <c r="AX492" s="219"/>
      <c r="AY492" s="219"/>
      <c r="AZ492" s="219"/>
      <c r="BA492" s="219"/>
      <c r="BB492" s="219"/>
      <c r="BC492" s="219"/>
      <c r="BD492" s="219"/>
      <c r="BE492" s="219"/>
      <c r="BF492" s="219"/>
      <c r="BG492" s="219"/>
      <c r="BH492" s="219"/>
      <c r="BI492" s="219"/>
      <c r="BJ492" s="219"/>
      <c r="BK492" s="219"/>
      <c r="BL492" s="219"/>
      <c r="BM492" s="219"/>
    </row>
    <row r="493" spans="1:65">
      <c r="A493" s="219"/>
      <c r="B493" s="219"/>
      <c r="C493" s="219"/>
      <c r="D493" s="219"/>
      <c r="E493" s="219"/>
      <c r="F493" s="219"/>
      <c r="G493" s="219"/>
      <c r="H493" s="219"/>
      <c r="I493" s="219"/>
      <c r="J493" s="219"/>
      <c r="K493" s="219"/>
      <c r="L493" s="219"/>
      <c r="M493" s="219"/>
      <c r="N493" s="219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19"/>
      <c r="Z493" s="219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19"/>
      <c r="AL493" s="219"/>
      <c r="AM493" s="219"/>
      <c r="AN493" s="219"/>
      <c r="AO493" s="219"/>
      <c r="AP493" s="219"/>
      <c r="AQ493" s="219"/>
      <c r="AR493" s="219"/>
      <c r="AS493" s="219"/>
      <c r="AT493" s="219"/>
      <c r="AU493" s="219"/>
      <c r="AV493" s="219"/>
      <c r="AW493" s="219"/>
      <c r="AX493" s="219"/>
      <c r="AY493" s="219"/>
      <c r="AZ493" s="219"/>
      <c r="BA493" s="219"/>
      <c r="BB493" s="219"/>
      <c r="BC493" s="219"/>
      <c r="BD493" s="219"/>
      <c r="BE493" s="219"/>
      <c r="BF493" s="219"/>
      <c r="BG493" s="219"/>
      <c r="BH493" s="219"/>
      <c r="BI493" s="219"/>
      <c r="BJ493" s="219"/>
      <c r="BK493" s="219"/>
      <c r="BL493" s="219"/>
      <c r="BM493" s="219"/>
    </row>
    <row r="494" spans="1:65">
      <c r="A494" s="219"/>
      <c r="B494" s="219"/>
      <c r="C494" s="219"/>
      <c r="D494" s="219"/>
      <c r="E494" s="219"/>
      <c r="F494" s="219"/>
      <c r="G494" s="219"/>
      <c r="H494" s="219"/>
      <c r="I494" s="219"/>
      <c r="J494" s="219"/>
      <c r="K494" s="219"/>
      <c r="L494" s="219"/>
      <c r="M494" s="219"/>
      <c r="N494" s="219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19"/>
      <c r="Z494" s="219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19"/>
      <c r="AL494" s="219"/>
      <c r="AM494" s="219"/>
      <c r="AN494" s="219"/>
      <c r="AO494" s="219"/>
      <c r="AP494" s="219"/>
      <c r="AQ494" s="219"/>
      <c r="AR494" s="219"/>
      <c r="AS494" s="219"/>
      <c r="AT494" s="219"/>
      <c r="AU494" s="219"/>
      <c r="AV494" s="219"/>
      <c r="AW494" s="219"/>
      <c r="AX494" s="219"/>
      <c r="AY494" s="219"/>
      <c r="AZ494" s="219"/>
      <c r="BA494" s="219"/>
      <c r="BB494" s="219"/>
      <c r="BC494" s="219"/>
      <c r="BD494" s="219"/>
      <c r="BE494" s="219"/>
      <c r="BF494" s="219"/>
      <c r="BG494" s="219"/>
      <c r="BH494" s="219"/>
      <c r="BI494" s="219"/>
      <c r="BJ494" s="219"/>
      <c r="BK494" s="219"/>
      <c r="BL494" s="219"/>
      <c r="BM494" s="219"/>
    </row>
    <row r="495" spans="1:65">
      <c r="A495" s="219"/>
      <c r="B495" s="219"/>
      <c r="C495" s="219"/>
      <c r="D495" s="219"/>
      <c r="E495" s="219"/>
      <c r="F495" s="219"/>
      <c r="G495" s="219"/>
      <c r="H495" s="219"/>
      <c r="I495" s="219"/>
      <c r="J495" s="219"/>
      <c r="K495" s="219"/>
      <c r="L495" s="219"/>
      <c r="M495" s="219"/>
      <c r="N495" s="219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19"/>
      <c r="Z495" s="219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19"/>
      <c r="AL495" s="219"/>
      <c r="AM495" s="219"/>
      <c r="AN495" s="219"/>
      <c r="AO495" s="219"/>
      <c r="AP495" s="219"/>
      <c r="AQ495" s="219"/>
      <c r="AR495" s="219"/>
      <c r="AS495" s="219"/>
      <c r="AT495" s="219"/>
      <c r="AU495" s="219"/>
      <c r="AV495" s="219"/>
      <c r="AW495" s="219"/>
      <c r="AX495" s="219"/>
      <c r="AY495" s="219"/>
      <c r="AZ495" s="219"/>
      <c r="BA495" s="219"/>
      <c r="BB495" s="219"/>
      <c r="BC495" s="219"/>
      <c r="BD495" s="219"/>
      <c r="BE495" s="219"/>
      <c r="BF495" s="219"/>
      <c r="BG495" s="219"/>
      <c r="BH495" s="219"/>
      <c r="BI495" s="219"/>
      <c r="BJ495" s="219"/>
      <c r="BK495" s="219"/>
      <c r="BL495" s="219"/>
      <c r="BM495" s="219"/>
    </row>
    <row r="496" spans="1:65">
      <c r="A496" s="219"/>
      <c r="B496" s="219"/>
      <c r="C496" s="219"/>
      <c r="D496" s="219"/>
      <c r="E496" s="219"/>
      <c r="F496" s="219"/>
      <c r="G496" s="219"/>
      <c r="H496" s="219"/>
      <c r="I496" s="219"/>
      <c r="J496" s="219"/>
      <c r="K496" s="219"/>
      <c r="L496" s="219"/>
      <c r="M496" s="219"/>
      <c r="N496" s="219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19"/>
      <c r="Z496" s="219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19"/>
      <c r="AL496" s="219"/>
      <c r="AM496" s="219"/>
      <c r="AN496" s="219"/>
      <c r="AO496" s="219"/>
      <c r="AP496" s="219"/>
      <c r="AQ496" s="219"/>
      <c r="AR496" s="219"/>
      <c r="AS496" s="219"/>
      <c r="AT496" s="219"/>
      <c r="AU496" s="219"/>
      <c r="AV496" s="219"/>
      <c r="AW496" s="219"/>
      <c r="AX496" s="219"/>
      <c r="AY496" s="219"/>
      <c r="AZ496" s="219"/>
      <c r="BA496" s="219"/>
      <c r="BB496" s="219"/>
      <c r="BC496" s="219"/>
      <c r="BD496" s="219"/>
      <c r="BE496" s="219"/>
      <c r="BF496" s="219"/>
      <c r="BG496" s="219"/>
      <c r="BH496" s="219"/>
      <c r="BI496" s="219"/>
      <c r="BJ496" s="219"/>
      <c r="BK496" s="219"/>
      <c r="BL496" s="219"/>
      <c r="BM496" s="219"/>
    </row>
    <row r="497" spans="1:65">
      <c r="A497" s="219"/>
      <c r="B497" s="219"/>
      <c r="C497" s="219"/>
      <c r="D497" s="219"/>
      <c r="E497" s="219"/>
      <c r="F497" s="219"/>
      <c r="G497" s="219"/>
      <c r="H497" s="219"/>
      <c r="I497" s="219"/>
      <c r="J497" s="219"/>
      <c r="K497" s="219"/>
      <c r="L497" s="219"/>
      <c r="M497" s="219"/>
      <c r="N497" s="219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19"/>
      <c r="Z497" s="219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19"/>
      <c r="AL497" s="219"/>
      <c r="AM497" s="219"/>
      <c r="AN497" s="219"/>
      <c r="AO497" s="219"/>
      <c r="AP497" s="219"/>
      <c r="AQ497" s="219"/>
      <c r="AR497" s="219"/>
      <c r="AS497" s="219"/>
      <c r="AT497" s="219"/>
      <c r="AU497" s="219"/>
      <c r="AV497" s="219"/>
      <c r="AW497" s="219"/>
      <c r="AX497" s="219"/>
      <c r="AY497" s="219"/>
      <c r="AZ497" s="219"/>
      <c r="BA497" s="219"/>
      <c r="BB497" s="219"/>
      <c r="BC497" s="219"/>
      <c r="BD497" s="219"/>
      <c r="BE497" s="219"/>
      <c r="BF497" s="219"/>
      <c r="BG497" s="219"/>
      <c r="BH497" s="219"/>
      <c r="BI497" s="219"/>
      <c r="BJ497" s="219"/>
      <c r="BK497" s="219"/>
      <c r="BL497" s="219"/>
      <c r="BM497" s="219"/>
    </row>
    <row r="498" spans="1:65">
      <c r="A498" s="219"/>
      <c r="B498" s="219"/>
      <c r="C498" s="219"/>
      <c r="D498" s="219"/>
      <c r="E498" s="219"/>
      <c r="F498" s="219"/>
      <c r="G498" s="219"/>
      <c r="H498" s="219"/>
      <c r="I498" s="219"/>
      <c r="J498" s="219"/>
      <c r="K498" s="219"/>
      <c r="L498" s="219"/>
      <c r="M498" s="219"/>
      <c r="N498" s="219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19"/>
      <c r="Z498" s="219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19"/>
      <c r="AL498" s="219"/>
      <c r="AM498" s="219"/>
      <c r="AN498" s="219"/>
      <c r="AO498" s="219"/>
      <c r="AP498" s="219"/>
      <c r="AQ498" s="219"/>
      <c r="AR498" s="219"/>
      <c r="AS498" s="219"/>
      <c r="AT498" s="219"/>
      <c r="AU498" s="219"/>
      <c r="AV498" s="219"/>
      <c r="AW498" s="219"/>
      <c r="AX498" s="219"/>
      <c r="AY498" s="219"/>
      <c r="AZ498" s="219"/>
      <c r="BA498" s="219"/>
      <c r="BB498" s="219"/>
      <c r="BC498" s="219"/>
      <c r="BD498" s="219"/>
      <c r="BE498" s="219"/>
      <c r="BF498" s="219"/>
      <c r="BG498" s="219"/>
      <c r="BH498" s="219"/>
      <c r="BI498" s="219"/>
      <c r="BJ498" s="219"/>
      <c r="BK498" s="219"/>
      <c r="BL498" s="219"/>
      <c r="BM498" s="219"/>
    </row>
    <row r="499" spans="1:65">
      <c r="A499" s="219"/>
      <c r="B499" s="219"/>
      <c r="C499" s="219"/>
      <c r="D499" s="219"/>
      <c r="E499" s="219"/>
      <c r="F499" s="219"/>
      <c r="G499" s="219"/>
      <c r="H499" s="219"/>
      <c r="I499" s="219"/>
      <c r="J499" s="219"/>
      <c r="K499" s="219"/>
      <c r="L499" s="219"/>
      <c r="M499" s="219"/>
      <c r="N499" s="219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19"/>
      <c r="Z499" s="219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19"/>
      <c r="AL499" s="219"/>
      <c r="AM499" s="219"/>
      <c r="AN499" s="219"/>
      <c r="AO499" s="219"/>
      <c r="AP499" s="219"/>
      <c r="AQ499" s="219"/>
      <c r="AR499" s="219"/>
      <c r="AS499" s="219"/>
      <c r="AT499" s="219"/>
      <c r="AU499" s="219"/>
      <c r="AV499" s="219"/>
      <c r="AW499" s="219"/>
      <c r="AX499" s="219"/>
      <c r="AY499" s="219"/>
      <c r="AZ499" s="219"/>
      <c r="BA499" s="219"/>
      <c r="BB499" s="219"/>
      <c r="BC499" s="219"/>
      <c r="BD499" s="219"/>
      <c r="BE499" s="219"/>
      <c r="BF499" s="219"/>
      <c r="BG499" s="219"/>
      <c r="BH499" s="219"/>
      <c r="BI499" s="219"/>
      <c r="BJ499" s="219"/>
      <c r="BK499" s="219"/>
      <c r="BL499" s="219"/>
      <c r="BM499" s="219"/>
    </row>
    <row r="500" spans="1:65">
      <c r="A500" s="219"/>
      <c r="B500" s="219"/>
      <c r="C500" s="219"/>
      <c r="D500" s="219"/>
      <c r="E500" s="219"/>
      <c r="F500" s="219"/>
      <c r="G500" s="219"/>
      <c r="H500" s="219"/>
      <c r="I500" s="219"/>
      <c r="J500" s="219"/>
      <c r="K500" s="219"/>
      <c r="L500" s="219"/>
      <c r="M500" s="219"/>
      <c r="N500" s="219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19"/>
      <c r="Z500" s="219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19"/>
      <c r="AL500" s="219"/>
      <c r="AM500" s="219"/>
      <c r="AN500" s="219"/>
      <c r="AO500" s="219"/>
      <c r="AP500" s="219"/>
      <c r="AQ500" s="219"/>
      <c r="AR500" s="219"/>
      <c r="AS500" s="219"/>
      <c r="AT500" s="219"/>
      <c r="AU500" s="219"/>
      <c r="AV500" s="219"/>
      <c r="AW500" s="219"/>
      <c r="AX500" s="219"/>
      <c r="AY500" s="219"/>
      <c r="AZ500" s="219"/>
      <c r="BA500" s="219"/>
      <c r="BB500" s="219"/>
      <c r="BC500" s="219"/>
      <c r="BD500" s="219"/>
      <c r="BE500" s="219"/>
      <c r="BF500" s="219"/>
      <c r="BG500" s="219"/>
      <c r="BH500" s="219"/>
      <c r="BI500" s="219"/>
      <c r="BJ500" s="219"/>
      <c r="BK500" s="219"/>
      <c r="BL500" s="219"/>
      <c r="BM500" s="219"/>
    </row>
    <row r="501" spans="1:65">
      <c r="A501" s="219"/>
      <c r="B501" s="219"/>
      <c r="C501" s="219"/>
      <c r="D501" s="219"/>
      <c r="E501" s="219"/>
      <c r="F501" s="219"/>
      <c r="G501" s="219"/>
      <c r="H501" s="219"/>
      <c r="I501" s="219"/>
      <c r="J501" s="219"/>
      <c r="K501" s="219"/>
      <c r="L501" s="219"/>
      <c r="M501" s="219"/>
      <c r="N501" s="219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19"/>
      <c r="Z501" s="219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19"/>
      <c r="AL501" s="219"/>
      <c r="AM501" s="219"/>
      <c r="AN501" s="219"/>
      <c r="AO501" s="219"/>
      <c r="AP501" s="219"/>
      <c r="AQ501" s="219"/>
      <c r="AR501" s="219"/>
      <c r="AS501" s="219"/>
      <c r="AT501" s="219"/>
      <c r="AU501" s="219"/>
      <c r="AV501" s="219"/>
      <c r="AW501" s="219"/>
      <c r="AX501" s="219"/>
      <c r="AY501" s="219"/>
      <c r="AZ501" s="219"/>
      <c r="BA501" s="219"/>
      <c r="BB501" s="219"/>
      <c r="BC501" s="219"/>
      <c r="BD501" s="219"/>
      <c r="BE501" s="219"/>
      <c r="BF501" s="219"/>
      <c r="BG501" s="219"/>
      <c r="BH501" s="219"/>
      <c r="BI501" s="219"/>
      <c r="BJ501" s="219"/>
      <c r="BK501" s="219"/>
      <c r="BL501" s="219"/>
      <c r="BM501" s="219"/>
    </row>
    <row r="502" spans="1:65">
      <c r="A502" s="219"/>
      <c r="B502" s="219"/>
      <c r="C502" s="219"/>
      <c r="D502" s="219"/>
      <c r="E502" s="219"/>
      <c r="F502" s="219"/>
      <c r="G502" s="219"/>
      <c r="H502" s="219"/>
      <c r="I502" s="219"/>
      <c r="J502" s="219"/>
      <c r="K502" s="219"/>
      <c r="L502" s="219"/>
      <c r="M502" s="219"/>
      <c r="N502" s="219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19"/>
      <c r="Z502" s="219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19"/>
      <c r="AL502" s="219"/>
      <c r="AM502" s="219"/>
      <c r="AN502" s="219"/>
      <c r="AO502" s="219"/>
      <c r="AP502" s="219"/>
      <c r="AQ502" s="219"/>
      <c r="AR502" s="219"/>
      <c r="AS502" s="219"/>
      <c r="AT502" s="219"/>
      <c r="AU502" s="219"/>
      <c r="AV502" s="219"/>
      <c r="AW502" s="219"/>
      <c r="AX502" s="219"/>
      <c r="AY502" s="219"/>
      <c r="AZ502" s="219"/>
      <c r="BA502" s="219"/>
      <c r="BB502" s="219"/>
      <c r="BC502" s="219"/>
      <c r="BD502" s="219"/>
      <c r="BE502" s="219"/>
      <c r="BF502" s="219"/>
      <c r="BG502" s="219"/>
      <c r="BH502" s="219"/>
      <c r="BI502" s="219"/>
      <c r="BJ502" s="219"/>
      <c r="BK502" s="219"/>
      <c r="BL502" s="219"/>
      <c r="BM502" s="219"/>
    </row>
    <row r="503" spans="1:65">
      <c r="A503" s="219"/>
      <c r="B503" s="219"/>
      <c r="C503" s="219"/>
      <c r="D503" s="219"/>
      <c r="E503" s="219"/>
      <c r="F503" s="219"/>
      <c r="G503" s="219"/>
      <c r="H503" s="219"/>
      <c r="I503" s="219"/>
      <c r="J503" s="219"/>
      <c r="K503" s="219"/>
      <c r="L503" s="219"/>
      <c r="M503" s="219"/>
      <c r="N503" s="219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19"/>
      <c r="Z503" s="219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19"/>
      <c r="AL503" s="219"/>
      <c r="AM503" s="219"/>
      <c r="AN503" s="219"/>
      <c r="AO503" s="219"/>
      <c r="AP503" s="219"/>
      <c r="AQ503" s="219"/>
      <c r="AR503" s="219"/>
      <c r="AS503" s="219"/>
      <c r="AT503" s="219"/>
      <c r="AU503" s="219"/>
      <c r="AV503" s="219"/>
      <c r="AW503" s="219"/>
      <c r="AX503" s="219"/>
      <c r="AY503" s="219"/>
      <c r="AZ503" s="219"/>
      <c r="BA503" s="219"/>
      <c r="BB503" s="219"/>
      <c r="BC503" s="219"/>
      <c r="BD503" s="219"/>
      <c r="BE503" s="219"/>
      <c r="BF503" s="219"/>
      <c r="BG503" s="219"/>
      <c r="BH503" s="219"/>
      <c r="BI503" s="219"/>
      <c r="BJ503" s="219"/>
      <c r="BK503" s="219"/>
      <c r="BL503" s="219"/>
      <c r="BM503" s="219"/>
    </row>
    <row r="504" spans="1:65">
      <c r="A504" s="219"/>
      <c r="B504" s="219"/>
      <c r="C504" s="219"/>
      <c r="D504" s="219"/>
      <c r="E504" s="219"/>
      <c r="F504" s="219"/>
      <c r="G504" s="219"/>
      <c r="H504" s="219"/>
      <c r="I504" s="219"/>
      <c r="J504" s="219"/>
      <c r="K504" s="219"/>
      <c r="L504" s="219"/>
      <c r="M504" s="219"/>
      <c r="N504" s="219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19"/>
      <c r="Z504" s="219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19"/>
      <c r="AL504" s="219"/>
      <c r="AM504" s="219"/>
      <c r="AN504" s="219"/>
      <c r="AO504" s="219"/>
      <c r="AP504" s="219"/>
      <c r="AQ504" s="219"/>
      <c r="AR504" s="219"/>
      <c r="AS504" s="219"/>
      <c r="AT504" s="219"/>
      <c r="AU504" s="219"/>
      <c r="AV504" s="219"/>
      <c r="AW504" s="219"/>
      <c r="AX504" s="219"/>
      <c r="AY504" s="219"/>
      <c r="AZ504" s="219"/>
      <c r="BA504" s="219"/>
      <c r="BB504" s="219"/>
      <c r="BC504" s="219"/>
      <c r="BD504" s="219"/>
      <c r="BE504" s="219"/>
      <c r="BF504" s="219"/>
      <c r="BG504" s="219"/>
      <c r="BH504" s="219"/>
      <c r="BI504" s="219"/>
      <c r="BJ504" s="219"/>
      <c r="BK504" s="219"/>
      <c r="BL504" s="219"/>
      <c r="BM504" s="219"/>
    </row>
    <row r="505" spans="1:65">
      <c r="A505" s="219"/>
      <c r="B505" s="219"/>
      <c r="C505" s="219"/>
      <c r="D505" s="219"/>
      <c r="E505" s="219"/>
      <c r="F505" s="219"/>
      <c r="G505" s="219"/>
      <c r="H505" s="219"/>
      <c r="I505" s="219"/>
      <c r="J505" s="219"/>
      <c r="K505" s="219"/>
      <c r="L505" s="219"/>
      <c r="M505" s="219"/>
      <c r="N505" s="219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19"/>
      <c r="Z505" s="219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19"/>
      <c r="AL505" s="219"/>
      <c r="AM505" s="219"/>
      <c r="AN505" s="219"/>
      <c r="AO505" s="219"/>
      <c r="AP505" s="219"/>
      <c r="AQ505" s="219"/>
      <c r="AR505" s="219"/>
      <c r="AS505" s="219"/>
      <c r="AT505" s="219"/>
      <c r="AU505" s="219"/>
      <c r="AV505" s="219"/>
      <c r="AW505" s="219"/>
      <c r="AX505" s="219"/>
      <c r="AY505" s="219"/>
      <c r="AZ505" s="219"/>
      <c r="BA505" s="219"/>
      <c r="BB505" s="219"/>
      <c r="BC505" s="219"/>
      <c r="BD505" s="219"/>
      <c r="BE505" s="219"/>
      <c r="BF505" s="219"/>
      <c r="BG505" s="219"/>
      <c r="BH505" s="219"/>
      <c r="BI505" s="219"/>
      <c r="BJ505" s="219"/>
      <c r="BK505" s="219"/>
      <c r="BL505" s="219"/>
      <c r="BM505" s="219"/>
    </row>
    <row r="506" spans="1:65">
      <c r="A506" s="219"/>
      <c r="B506" s="219"/>
      <c r="C506" s="219"/>
      <c r="D506" s="219"/>
      <c r="E506" s="219"/>
      <c r="F506" s="219"/>
      <c r="G506" s="219"/>
      <c r="H506" s="219"/>
      <c r="I506" s="219"/>
      <c r="J506" s="219"/>
      <c r="K506" s="219"/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19"/>
      <c r="AL506" s="219"/>
      <c r="AM506" s="219"/>
      <c r="AN506" s="219"/>
      <c r="AO506" s="219"/>
      <c r="AP506" s="219"/>
      <c r="AQ506" s="219"/>
      <c r="AR506" s="219"/>
      <c r="AS506" s="219"/>
      <c r="AT506" s="219"/>
      <c r="AU506" s="219"/>
      <c r="AV506" s="219"/>
      <c r="AW506" s="219"/>
      <c r="AX506" s="219"/>
      <c r="AY506" s="219"/>
      <c r="AZ506" s="219"/>
      <c r="BA506" s="219"/>
      <c r="BB506" s="219"/>
      <c r="BC506" s="219"/>
      <c r="BD506" s="219"/>
      <c r="BE506" s="219"/>
      <c r="BF506" s="219"/>
      <c r="BG506" s="219"/>
      <c r="BH506" s="219"/>
      <c r="BI506" s="219"/>
      <c r="BJ506" s="219"/>
      <c r="BK506" s="219"/>
      <c r="BL506" s="219"/>
      <c r="BM506" s="219"/>
    </row>
    <row r="507" spans="1:65">
      <c r="A507" s="219"/>
      <c r="B507" s="219"/>
      <c r="C507" s="219"/>
      <c r="D507" s="219"/>
      <c r="E507" s="219"/>
      <c r="F507" s="219"/>
      <c r="G507" s="219"/>
      <c r="H507" s="219"/>
      <c r="I507" s="219"/>
      <c r="J507" s="219"/>
      <c r="K507" s="219"/>
      <c r="L507" s="219"/>
      <c r="M507" s="219"/>
      <c r="N507" s="219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19"/>
      <c r="Z507" s="219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19"/>
      <c r="AL507" s="219"/>
      <c r="AM507" s="219"/>
      <c r="AN507" s="219"/>
      <c r="AO507" s="219"/>
      <c r="AP507" s="219"/>
      <c r="AQ507" s="219"/>
      <c r="AR507" s="219"/>
      <c r="AS507" s="219"/>
      <c r="AT507" s="219"/>
      <c r="AU507" s="219"/>
      <c r="AV507" s="219"/>
      <c r="AW507" s="219"/>
      <c r="AX507" s="219"/>
      <c r="AY507" s="219"/>
      <c r="AZ507" s="219"/>
      <c r="BA507" s="219"/>
      <c r="BB507" s="219"/>
      <c r="BC507" s="219"/>
      <c r="BD507" s="219"/>
      <c r="BE507" s="219"/>
      <c r="BF507" s="219"/>
      <c r="BG507" s="219"/>
      <c r="BH507" s="219"/>
      <c r="BI507" s="219"/>
      <c r="BJ507" s="219"/>
      <c r="BK507" s="219"/>
      <c r="BL507" s="219"/>
      <c r="BM507" s="219"/>
    </row>
    <row r="508" spans="1:65">
      <c r="A508" s="219"/>
      <c r="B508" s="219"/>
      <c r="C508" s="219"/>
      <c r="D508" s="219"/>
      <c r="E508" s="219"/>
      <c r="F508" s="219"/>
      <c r="G508" s="219"/>
      <c r="H508" s="219"/>
      <c r="I508" s="219"/>
      <c r="J508" s="219"/>
      <c r="K508" s="219"/>
      <c r="L508" s="219"/>
      <c r="M508" s="219"/>
      <c r="N508" s="219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19"/>
      <c r="Z508" s="219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19"/>
      <c r="AL508" s="219"/>
      <c r="AM508" s="219"/>
      <c r="AN508" s="219"/>
      <c r="AO508" s="219"/>
      <c r="AP508" s="219"/>
      <c r="AQ508" s="219"/>
      <c r="AR508" s="219"/>
      <c r="AS508" s="219"/>
      <c r="AT508" s="219"/>
      <c r="AU508" s="219"/>
      <c r="AV508" s="219"/>
      <c r="AW508" s="219"/>
      <c r="AX508" s="219"/>
      <c r="AY508" s="219"/>
      <c r="AZ508" s="219"/>
      <c r="BA508" s="219"/>
      <c r="BB508" s="219"/>
      <c r="BC508" s="219"/>
      <c r="BD508" s="219"/>
      <c r="BE508" s="219"/>
      <c r="BF508" s="219"/>
      <c r="BG508" s="219"/>
      <c r="BH508" s="219"/>
      <c r="BI508" s="219"/>
      <c r="BJ508" s="219"/>
      <c r="BK508" s="219"/>
      <c r="BL508" s="219"/>
      <c r="BM508" s="219"/>
    </row>
    <row r="509" spans="1:65">
      <c r="A509" s="219"/>
      <c r="B509" s="219"/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19"/>
      <c r="AL509" s="219"/>
      <c r="AM509" s="219"/>
      <c r="AN509" s="219"/>
      <c r="AO509" s="219"/>
      <c r="AP509" s="219"/>
      <c r="AQ509" s="219"/>
      <c r="AR509" s="219"/>
      <c r="AS509" s="219"/>
      <c r="AT509" s="219"/>
      <c r="AU509" s="219"/>
      <c r="AV509" s="219"/>
      <c r="AW509" s="219"/>
      <c r="AX509" s="219"/>
      <c r="AY509" s="219"/>
      <c r="AZ509" s="219"/>
      <c r="BA509" s="219"/>
      <c r="BB509" s="219"/>
      <c r="BC509" s="219"/>
      <c r="BD509" s="219"/>
      <c r="BE509" s="219"/>
      <c r="BF509" s="219"/>
      <c r="BG509" s="219"/>
      <c r="BH509" s="219"/>
      <c r="BI509" s="219"/>
      <c r="BJ509" s="219"/>
      <c r="BK509" s="219"/>
      <c r="BL509" s="219"/>
      <c r="BM509" s="219"/>
    </row>
    <row r="510" spans="1:65">
      <c r="A510" s="219"/>
      <c r="B510" s="219"/>
      <c r="C510" s="219"/>
      <c r="D510" s="219"/>
      <c r="E510" s="219"/>
      <c r="F510" s="219"/>
      <c r="G510" s="219"/>
      <c r="H510" s="219"/>
      <c r="I510" s="219"/>
      <c r="J510" s="219"/>
      <c r="K510" s="219"/>
      <c r="L510" s="219"/>
      <c r="M510" s="219"/>
      <c r="N510" s="219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19"/>
      <c r="Z510" s="219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19"/>
      <c r="AL510" s="219"/>
      <c r="AM510" s="219"/>
      <c r="AN510" s="219"/>
      <c r="AO510" s="219"/>
      <c r="AP510" s="219"/>
      <c r="AQ510" s="219"/>
      <c r="AR510" s="219"/>
      <c r="AS510" s="219"/>
      <c r="AT510" s="219"/>
      <c r="AU510" s="219"/>
      <c r="AV510" s="219"/>
      <c r="AW510" s="219"/>
      <c r="AX510" s="219"/>
      <c r="AY510" s="219"/>
      <c r="AZ510" s="219"/>
      <c r="BA510" s="219"/>
      <c r="BB510" s="219"/>
      <c r="BC510" s="219"/>
      <c r="BD510" s="219"/>
      <c r="BE510" s="219"/>
      <c r="BF510" s="219"/>
      <c r="BG510" s="219"/>
      <c r="BH510" s="219"/>
      <c r="BI510" s="219"/>
      <c r="BJ510" s="219"/>
      <c r="BK510" s="219"/>
      <c r="BL510" s="219"/>
      <c r="BM510" s="219"/>
    </row>
    <row r="511" spans="1:65">
      <c r="A511" s="219"/>
      <c r="B511" s="219"/>
      <c r="C511" s="219"/>
      <c r="D511" s="219"/>
      <c r="E511" s="219"/>
      <c r="F511" s="219"/>
      <c r="G511" s="219"/>
      <c r="H511" s="219"/>
      <c r="I511" s="219"/>
      <c r="J511" s="219"/>
      <c r="K511" s="219"/>
      <c r="L511" s="219"/>
      <c r="M511" s="219"/>
      <c r="N511" s="219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19"/>
      <c r="Z511" s="219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19"/>
      <c r="AL511" s="219"/>
      <c r="AM511" s="219"/>
      <c r="AN511" s="219"/>
      <c r="AO511" s="219"/>
      <c r="AP511" s="219"/>
      <c r="AQ511" s="219"/>
      <c r="AR511" s="219"/>
      <c r="AS511" s="219"/>
      <c r="AT511" s="219"/>
      <c r="AU511" s="219"/>
      <c r="AV511" s="219"/>
      <c r="AW511" s="219"/>
      <c r="AX511" s="219"/>
      <c r="AY511" s="219"/>
      <c r="AZ511" s="219"/>
      <c r="BA511" s="219"/>
      <c r="BB511" s="219"/>
      <c r="BC511" s="219"/>
      <c r="BD511" s="219"/>
      <c r="BE511" s="219"/>
      <c r="BF511" s="219"/>
      <c r="BG511" s="219"/>
      <c r="BH511" s="219"/>
      <c r="BI511" s="219"/>
      <c r="BJ511" s="219"/>
      <c r="BK511" s="219"/>
      <c r="BL511" s="219"/>
      <c r="BM511" s="219"/>
    </row>
    <row r="512" spans="1:65">
      <c r="A512" s="219"/>
      <c r="B512" s="219"/>
      <c r="C512" s="219"/>
      <c r="D512" s="219"/>
      <c r="E512" s="219"/>
      <c r="F512" s="219"/>
      <c r="G512" s="219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19"/>
      <c r="Z512" s="219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19"/>
      <c r="AL512" s="219"/>
      <c r="AM512" s="219"/>
      <c r="AN512" s="219"/>
      <c r="AO512" s="219"/>
      <c r="AP512" s="219"/>
      <c r="AQ512" s="219"/>
      <c r="AR512" s="219"/>
      <c r="AS512" s="219"/>
      <c r="AT512" s="219"/>
      <c r="AU512" s="219"/>
      <c r="AV512" s="219"/>
      <c r="AW512" s="219"/>
      <c r="AX512" s="219"/>
      <c r="AY512" s="219"/>
      <c r="AZ512" s="219"/>
      <c r="BA512" s="219"/>
      <c r="BB512" s="219"/>
      <c r="BC512" s="219"/>
      <c r="BD512" s="219"/>
      <c r="BE512" s="219"/>
      <c r="BF512" s="219"/>
      <c r="BG512" s="219"/>
      <c r="BH512" s="219"/>
      <c r="BI512" s="219"/>
      <c r="BJ512" s="219"/>
      <c r="BK512" s="219"/>
      <c r="BL512" s="219"/>
      <c r="BM512" s="219"/>
    </row>
    <row r="513" spans="1:65">
      <c r="A513" s="219"/>
      <c r="B513" s="219"/>
      <c r="C513" s="219"/>
      <c r="D513" s="219"/>
      <c r="E513" s="219"/>
      <c r="F513" s="219"/>
      <c r="G513" s="219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19"/>
      <c r="Z513" s="219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19"/>
      <c r="AL513" s="219"/>
      <c r="AM513" s="219"/>
      <c r="AN513" s="219"/>
      <c r="AO513" s="219"/>
      <c r="AP513" s="219"/>
      <c r="AQ513" s="219"/>
      <c r="AR513" s="219"/>
      <c r="AS513" s="219"/>
      <c r="AT513" s="219"/>
      <c r="AU513" s="219"/>
      <c r="AV513" s="219"/>
      <c r="AW513" s="219"/>
      <c r="AX513" s="219"/>
      <c r="AY513" s="219"/>
      <c r="AZ513" s="219"/>
      <c r="BA513" s="219"/>
      <c r="BB513" s="219"/>
      <c r="BC513" s="219"/>
      <c r="BD513" s="219"/>
      <c r="BE513" s="219"/>
      <c r="BF513" s="219"/>
      <c r="BG513" s="219"/>
      <c r="BH513" s="219"/>
      <c r="BI513" s="219"/>
      <c r="BJ513" s="219"/>
      <c r="BK513" s="219"/>
      <c r="BL513" s="219"/>
      <c r="BM513" s="219"/>
    </row>
    <row r="514" spans="1:65">
      <c r="A514" s="219"/>
      <c r="B514" s="219"/>
      <c r="C514" s="219"/>
      <c r="D514" s="219"/>
      <c r="E514" s="219"/>
      <c r="F514" s="219"/>
      <c r="G514" s="219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19"/>
      <c r="Z514" s="219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19"/>
      <c r="AL514" s="219"/>
      <c r="AM514" s="219"/>
      <c r="AN514" s="219"/>
      <c r="AO514" s="219"/>
      <c r="AP514" s="219"/>
      <c r="AQ514" s="219"/>
      <c r="AR514" s="219"/>
      <c r="AS514" s="219"/>
      <c r="AT514" s="219"/>
      <c r="AU514" s="219"/>
      <c r="AV514" s="219"/>
      <c r="AW514" s="219"/>
      <c r="AX514" s="219"/>
      <c r="AY514" s="219"/>
      <c r="AZ514" s="219"/>
      <c r="BA514" s="219"/>
      <c r="BB514" s="219"/>
      <c r="BC514" s="219"/>
      <c r="BD514" s="219"/>
      <c r="BE514" s="219"/>
      <c r="BF514" s="219"/>
      <c r="BG514" s="219"/>
      <c r="BH514" s="219"/>
      <c r="BI514" s="219"/>
      <c r="BJ514" s="219"/>
      <c r="BK514" s="219"/>
      <c r="BL514" s="219"/>
      <c r="BM514" s="219"/>
    </row>
    <row r="515" spans="1:65">
      <c r="A515" s="219"/>
      <c r="B515" s="219"/>
      <c r="C515" s="219"/>
      <c r="D515" s="219"/>
      <c r="E515" s="219"/>
      <c r="F515" s="219"/>
      <c r="G515" s="219"/>
      <c r="H515" s="219"/>
      <c r="I515" s="219"/>
      <c r="J515" s="219"/>
      <c r="K515" s="219"/>
      <c r="L515" s="219"/>
      <c r="M515" s="219"/>
      <c r="N515" s="219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19"/>
      <c r="Z515" s="219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19"/>
      <c r="AL515" s="219"/>
      <c r="AM515" s="219"/>
      <c r="AN515" s="219"/>
      <c r="AO515" s="219"/>
      <c r="AP515" s="219"/>
      <c r="AQ515" s="219"/>
      <c r="AR515" s="219"/>
      <c r="AS515" s="219"/>
      <c r="AT515" s="219"/>
      <c r="AU515" s="219"/>
      <c r="AV515" s="219"/>
      <c r="AW515" s="219"/>
      <c r="AX515" s="219"/>
      <c r="AY515" s="219"/>
      <c r="AZ515" s="219"/>
      <c r="BA515" s="219"/>
      <c r="BB515" s="219"/>
      <c r="BC515" s="219"/>
      <c r="BD515" s="219"/>
      <c r="BE515" s="219"/>
      <c r="BF515" s="219"/>
      <c r="BG515" s="219"/>
      <c r="BH515" s="219"/>
      <c r="BI515" s="219"/>
      <c r="BJ515" s="219"/>
      <c r="BK515" s="219"/>
      <c r="BL515" s="219"/>
      <c r="BM515" s="219"/>
    </row>
    <row r="516" spans="1:65">
      <c r="A516" s="219"/>
      <c r="B516" s="219"/>
      <c r="C516" s="219"/>
      <c r="D516" s="219"/>
      <c r="E516" s="219"/>
      <c r="F516" s="219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19"/>
      <c r="Z516" s="219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19"/>
      <c r="AL516" s="219"/>
      <c r="AM516" s="219"/>
      <c r="AN516" s="219"/>
      <c r="AO516" s="219"/>
      <c r="AP516" s="219"/>
      <c r="AQ516" s="219"/>
      <c r="AR516" s="219"/>
      <c r="AS516" s="219"/>
      <c r="AT516" s="219"/>
      <c r="AU516" s="219"/>
      <c r="AV516" s="219"/>
      <c r="AW516" s="219"/>
      <c r="AX516" s="219"/>
      <c r="AY516" s="219"/>
      <c r="AZ516" s="219"/>
      <c r="BA516" s="219"/>
      <c r="BB516" s="219"/>
      <c r="BC516" s="219"/>
      <c r="BD516" s="219"/>
      <c r="BE516" s="219"/>
      <c r="BF516" s="219"/>
      <c r="BG516" s="219"/>
      <c r="BH516" s="219"/>
      <c r="BI516" s="219"/>
      <c r="BJ516" s="219"/>
      <c r="BK516" s="219"/>
      <c r="BL516" s="219"/>
      <c r="BM516" s="219"/>
    </row>
    <row r="517" spans="1:65">
      <c r="A517" s="219"/>
      <c r="B517" s="219"/>
      <c r="C517" s="219"/>
      <c r="D517" s="219"/>
      <c r="E517" s="219"/>
      <c r="F517" s="219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19"/>
      <c r="Z517" s="219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19"/>
      <c r="AL517" s="219"/>
      <c r="AM517" s="219"/>
      <c r="AN517" s="219"/>
      <c r="AO517" s="219"/>
      <c r="AP517" s="219"/>
      <c r="AQ517" s="219"/>
      <c r="AR517" s="219"/>
      <c r="AS517" s="219"/>
      <c r="AT517" s="219"/>
      <c r="AU517" s="219"/>
      <c r="AV517" s="219"/>
      <c r="AW517" s="219"/>
      <c r="AX517" s="219"/>
      <c r="AY517" s="219"/>
      <c r="AZ517" s="219"/>
      <c r="BA517" s="219"/>
      <c r="BB517" s="219"/>
      <c r="BC517" s="219"/>
      <c r="BD517" s="219"/>
      <c r="BE517" s="219"/>
      <c r="BF517" s="219"/>
      <c r="BG517" s="219"/>
      <c r="BH517" s="219"/>
      <c r="BI517" s="219"/>
      <c r="BJ517" s="219"/>
      <c r="BK517" s="219"/>
      <c r="BL517" s="219"/>
      <c r="BM517" s="219"/>
    </row>
    <row r="518" spans="1:65">
      <c r="A518" s="219"/>
      <c r="B518" s="219"/>
      <c r="C518" s="219"/>
      <c r="D518" s="219"/>
      <c r="E518" s="219"/>
      <c r="F518" s="219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19"/>
      <c r="Z518" s="219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19"/>
      <c r="AL518" s="219"/>
      <c r="AM518" s="219"/>
      <c r="AN518" s="219"/>
      <c r="AO518" s="219"/>
      <c r="AP518" s="219"/>
      <c r="AQ518" s="219"/>
      <c r="AR518" s="219"/>
      <c r="AS518" s="219"/>
      <c r="AT518" s="219"/>
      <c r="AU518" s="219"/>
      <c r="AV518" s="219"/>
      <c r="AW518" s="219"/>
      <c r="AX518" s="219"/>
      <c r="AY518" s="219"/>
      <c r="AZ518" s="219"/>
      <c r="BA518" s="219"/>
      <c r="BB518" s="219"/>
      <c r="BC518" s="219"/>
      <c r="BD518" s="219"/>
      <c r="BE518" s="219"/>
      <c r="BF518" s="219"/>
      <c r="BG518" s="219"/>
      <c r="BH518" s="219"/>
      <c r="BI518" s="219"/>
      <c r="BJ518" s="219"/>
      <c r="BK518" s="219"/>
      <c r="BL518" s="219"/>
      <c r="BM518" s="219"/>
    </row>
    <row r="519" spans="1:65">
      <c r="A519" s="219"/>
      <c r="B519" s="219"/>
      <c r="C519" s="219"/>
      <c r="D519" s="219"/>
      <c r="E519" s="219"/>
      <c r="F519" s="219"/>
      <c r="G519" s="219"/>
      <c r="H519" s="219"/>
      <c r="I519" s="219"/>
      <c r="J519" s="219"/>
      <c r="K519" s="219"/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19"/>
      <c r="Z519" s="219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19"/>
      <c r="AL519" s="219"/>
      <c r="AM519" s="219"/>
      <c r="AN519" s="219"/>
      <c r="AO519" s="219"/>
      <c r="AP519" s="219"/>
      <c r="AQ519" s="219"/>
      <c r="AR519" s="219"/>
      <c r="AS519" s="219"/>
      <c r="AT519" s="219"/>
      <c r="AU519" s="219"/>
      <c r="AV519" s="219"/>
      <c r="AW519" s="219"/>
      <c r="AX519" s="219"/>
      <c r="AY519" s="219"/>
      <c r="AZ519" s="219"/>
      <c r="BA519" s="219"/>
      <c r="BB519" s="219"/>
      <c r="BC519" s="219"/>
      <c r="BD519" s="219"/>
      <c r="BE519" s="219"/>
      <c r="BF519" s="219"/>
      <c r="BG519" s="219"/>
      <c r="BH519" s="219"/>
      <c r="BI519" s="219"/>
      <c r="BJ519" s="219"/>
      <c r="BK519" s="219"/>
      <c r="BL519" s="219"/>
      <c r="BM519" s="219"/>
    </row>
    <row r="520" spans="1:65">
      <c r="A520" s="219"/>
      <c r="B520" s="219"/>
      <c r="C520" s="219"/>
      <c r="D520" s="219"/>
      <c r="E520" s="219"/>
      <c r="F520" s="219"/>
      <c r="G520" s="219"/>
      <c r="H520" s="219"/>
      <c r="I520" s="219"/>
      <c r="J520" s="219"/>
      <c r="K520" s="219"/>
      <c r="L520" s="219"/>
      <c r="M520" s="219"/>
      <c r="N520" s="219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19"/>
      <c r="Z520" s="219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19"/>
      <c r="AL520" s="219"/>
      <c r="AM520" s="219"/>
      <c r="AN520" s="219"/>
      <c r="AO520" s="219"/>
      <c r="AP520" s="219"/>
      <c r="AQ520" s="219"/>
      <c r="AR520" s="219"/>
      <c r="AS520" s="219"/>
      <c r="AT520" s="219"/>
      <c r="AU520" s="219"/>
      <c r="AV520" s="219"/>
      <c r="AW520" s="219"/>
      <c r="AX520" s="219"/>
      <c r="AY520" s="219"/>
      <c r="AZ520" s="219"/>
      <c r="BA520" s="219"/>
      <c r="BB520" s="219"/>
      <c r="BC520" s="219"/>
      <c r="BD520" s="219"/>
      <c r="BE520" s="219"/>
      <c r="BF520" s="219"/>
      <c r="BG520" s="219"/>
      <c r="BH520" s="219"/>
      <c r="BI520" s="219"/>
      <c r="BJ520" s="219"/>
      <c r="BK520" s="219"/>
      <c r="BL520" s="219"/>
      <c r="BM520" s="219"/>
    </row>
    <row r="521" spans="1:65">
      <c r="A521" s="219"/>
      <c r="B521" s="219"/>
      <c r="C521" s="219"/>
      <c r="D521" s="219"/>
      <c r="E521" s="219"/>
      <c r="F521" s="219"/>
      <c r="G521" s="219"/>
      <c r="H521" s="219"/>
      <c r="I521" s="219"/>
      <c r="J521" s="219"/>
      <c r="K521" s="219"/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19"/>
      <c r="Z521" s="219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19"/>
      <c r="AL521" s="219"/>
      <c r="AM521" s="219"/>
      <c r="AN521" s="219"/>
      <c r="AO521" s="219"/>
      <c r="AP521" s="219"/>
      <c r="AQ521" s="219"/>
      <c r="AR521" s="219"/>
      <c r="AS521" s="219"/>
      <c r="AT521" s="219"/>
      <c r="AU521" s="219"/>
      <c r="AV521" s="219"/>
      <c r="AW521" s="219"/>
      <c r="AX521" s="219"/>
      <c r="AY521" s="219"/>
      <c r="AZ521" s="219"/>
      <c r="BA521" s="219"/>
      <c r="BB521" s="219"/>
      <c r="BC521" s="219"/>
      <c r="BD521" s="219"/>
      <c r="BE521" s="219"/>
      <c r="BF521" s="219"/>
      <c r="BG521" s="219"/>
      <c r="BH521" s="219"/>
      <c r="BI521" s="219"/>
      <c r="BJ521" s="219"/>
      <c r="BK521" s="219"/>
      <c r="BL521" s="219"/>
      <c r="BM521" s="219"/>
    </row>
    <row r="522" spans="1:65">
      <c r="A522" s="219"/>
      <c r="B522" s="219"/>
      <c r="C522" s="219"/>
      <c r="D522" s="219"/>
      <c r="E522" s="219"/>
      <c r="F522" s="219"/>
      <c r="G522" s="219"/>
      <c r="H522" s="219"/>
      <c r="I522" s="219"/>
      <c r="J522" s="219"/>
      <c r="K522" s="219"/>
      <c r="L522" s="219"/>
      <c r="M522" s="219"/>
      <c r="N522" s="219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19"/>
      <c r="Z522" s="219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19"/>
      <c r="AL522" s="219"/>
      <c r="AM522" s="219"/>
      <c r="AN522" s="219"/>
      <c r="AO522" s="219"/>
      <c r="AP522" s="219"/>
      <c r="AQ522" s="219"/>
      <c r="AR522" s="219"/>
      <c r="AS522" s="219"/>
      <c r="AT522" s="219"/>
      <c r="AU522" s="219"/>
      <c r="AV522" s="219"/>
      <c r="AW522" s="219"/>
      <c r="AX522" s="219"/>
      <c r="AY522" s="219"/>
      <c r="AZ522" s="219"/>
      <c r="BA522" s="219"/>
      <c r="BB522" s="219"/>
      <c r="BC522" s="219"/>
      <c r="BD522" s="219"/>
      <c r="BE522" s="219"/>
      <c r="BF522" s="219"/>
      <c r="BG522" s="219"/>
      <c r="BH522" s="219"/>
      <c r="BI522" s="219"/>
      <c r="BJ522" s="219"/>
      <c r="BK522" s="219"/>
      <c r="BL522" s="219"/>
      <c r="BM522" s="219"/>
    </row>
    <row r="523" spans="1:65">
      <c r="A523" s="219"/>
      <c r="B523" s="219"/>
      <c r="C523" s="219"/>
      <c r="D523" s="219"/>
      <c r="E523" s="219"/>
      <c r="F523" s="219"/>
      <c r="G523" s="219"/>
      <c r="H523" s="219"/>
      <c r="I523" s="219"/>
      <c r="J523" s="219"/>
      <c r="K523" s="219"/>
      <c r="L523" s="219"/>
      <c r="M523" s="219"/>
      <c r="N523" s="219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19"/>
      <c r="Z523" s="219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19"/>
      <c r="AL523" s="219"/>
      <c r="AM523" s="219"/>
      <c r="AN523" s="219"/>
      <c r="AO523" s="219"/>
      <c r="AP523" s="219"/>
      <c r="AQ523" s="219"/>
      <c r="AR523" s="219"/>
      <c r="AS523" s="219"/>
      <c r="AT523" s="219"/>
      <c r="AU523" s="219"/>
      <c r="AV523" s="219"/>
      <c r="AW523" s="219"/>
      <c r="AX523" s="219"/>
      <c r="AY523" s="219"/>
      <c r="AZ523" s="219"/>
      <c r="BA523" s="219"/>
      <c r="BB523" s="219"/>
      <c r="BC523" s="219"/>
      <c r="BD523" s="219"/>
      <c r="BE523" s="219"/>
      <c r="BF523" s="219"/>
      <c r="BG523" s="219"/>
      <c r="BH523" s="219"/>
      <c r="BI523" s="219"/>
      <c r="BJ523" s="219"/>
      <c r="BK523" s="219"/>
      <c r="BL523" s="219"/>
      <c r="BM523" s="219"/>
    </row>
    <row r="524" spans="1:65">
      <c r="A524" s="219"/>
      <c r="B524" s="219"/>
      <c r="C524" s="219"/>
      <c r="D524" s="219"/>
      <c r="E524" s="219"/>
      <c r="F524" s="219"/>
      <c r="G524" s="219"/>
      <c r="H524" s="219"/>
      <c r="I524" s="219"/>
      <c r="J524" s="219"/>
      <c r="K524" s="219"/>
      <c r="L524" s="219"/>
      <c r="M524" s="219"/>
      <c r="N524" s="219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19"/>
      <c r="Z524" s="219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19"/>
      <c r="AL524" s="219"/>
      <c r="AM524" s="219"/>
      <c r="AN524" s="219"/>
      <c r="AO524" s="219"/>
      <c r="AP524" s="219"/>
      <c r="AQ524" s="219"/>
      <c r="AR524" s="219"/>
      <c r="AS524" s="219"/>
      <c r="AT524" s="219"/>
      <c r="AU524" s="219"/>
      <c r="AV524" s="219"/>
      <c r="AW524" s="219"/>
      <c r="AX524" s="219"/>
      <c r="AY524" s="219"/>
      <c r="AZ524" s="219"/>
      <c r="BA524" s="219"/>
      <c r="BB524" s="219"/>
      <c r="BC524" s="219"/>
      <c r="BD524" s="219"/>
      <c r="BE524" s="219"/>
      <c r="BF524" s="219"/>
      <c r="BG524" s="219"/>
      <c r="BH524" s="219"/>
      <c r="BI524" s="219"/>
      <c r="BJ524" s="219"/>
      <c r="BK524" s="219"/>
      <c r="BL524" s="219"/>
      <c r="BM524" s="219"/>
    </row>
    <row r="525" spans="1:65">
      <c r="A525" s="219"/>
      <c r="B525" s="219"/>
      <c r="C525" s="219"/>
      <c r="D525" s="219"/>
      <c r="E525" s="219"/>
      <c r="F525" s="219"/>
      <c r="G525" s="219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19"/>
      <c r="Z525" s="219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19"/>
      <c r="AL525" s="219"/>
      <c r="AM525" s="219"/>
      <c r="AN525" s="219"/>
      <c r="AO525" s="219"/>
      <c r="AP525" s="219"/>
      <c r="AQ525" s="219"/>
      <c r="AR525" s="219"/>
      <c r="AS525" s="219"/>
      <c r="AT525" s="219"/>
      <c r="AU525" s="219"/>
      <c r="AV525" s="219"/>
      <c r="AW525" s="219"/>
      <c r="AX525" s="219"/>
      <c r="AY525" s="219"/>
      <c r="AZ525" s="219"/>
      <c r="BA525" s="219"/>
      <c r="BB525" s="219"/>
      <c r="BC525" s="219"/>
      <c r="BD525" s="219"/>
      <c r="BE525" s="219"/>
      <c r="BF525" s="219"/>
      <c r="BG525" s="219"/>
      <c r="BH525" s="219"/>
      <c r="BI525" s="219"/>
      <c r="BJ525" s="219"/>
      <c r="BK525" s="219"/>
      <c r="BL525" s="219"/>
      <c r="BM525" s="219"/>
    </row>
    <row r="526" spans="1:65">
      <c r="A526" s="219"/>
      <c r="B526" s="219"/>
      <c r="C526" s="219"/>
      <c r="D526" s="219"/>
      <c r="E526" s="219"/>
      <c r="F526" s="219"/>
      <c r="G526" s="219"/>
      <c r="H526" s="219"/>
      <c r="I526" s="219"/>
      <c r="J526" s="219"/>
      <c r="K526" s="219"/>
      <c r="L526" s="219"/>
      <c r="M526" s="219"/>
      <c r="N526" s="219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19"/>
      <c r="Z526" s="219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19"/>
      <c r="AL526" s="219"/>
      <c r="AM526" s="219"/>
      <c r="AN526" s="219"/>
      <c r="AO526" s="219"/>
      <c r="AP526" s="219"/>
      <c r="AQ526" s="219"/>
      <c r="AR526" s="219"/>
      <c r="AS526" s="219"/>
      <c r="AT526" s="219"/>
      <c r="AU526" s="219"/>
      <c r="AV526" s="219"/>
      <c r="AW526" s="219"/>
      <c r="AX526" s="219"/>
      <c r="AY526" s="219"/>
      <c r="AZ526" s="219"/>
      <c r="BA526" s="219"/>
      <c r="BB526" s="219"/>
      <c r="BC526" s="219"/>
      <c r="BD526" s="219"/>
      <c r="BE526" s="219"/>
      <c r="BF526" s="219"/>
      <c r="BG526" s="219"/>
      <c r="BH526" s="219"/>
      <c r="BI526" s="219"/>
      <c r="BJ526" s="219"/>
      <c r="BK526" s="219"/>
      <c r="BL526" s="219"/>
      <c r="BM526" s="219"/>
    </row>
    <row r="527" spans="1:65">
      <c r="A527" s="219"/>
      <c r="B527" s="219"/>
      <c r="C527" s="219"/>
      <c r="D527" s="219"/>
      <c r="E527" s="219"/>
      <c r="F527" s="219"/>
      <c r="G527" s="219"/>
      <c r="H527" s="219"/>
      <c r="I527" s="219"/>
      <c r="J527" s="219"/>
      <c r="K527" s="219"/>
      <c r="L527" s="219"/>
      <c r="M527" s="219"/>
      <c r="N527" s="219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19"/>
      <c r="Z527" s="219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19"/>
      <c r="AL527" s="219"/>
      <c r="AM527" s="219"/>
      <c r="AN527" s="219"/>
      <c r="AO527" s="219"/>
      <c r="AP527" s="219"/>
      <c r="AQ527" s="219"/>
      <c r="AR527" s="219"/>
      <c r="AS527" s="219"/>
      <c r="AT527" s="219"/>
      <c r="AU527" s="219"/>
      <c r="AV527" s="219"/>
      <c r="AW527" s="219"/>
      <c r="AX527" s="219"/>
      <c r="AY527" s="219"/>
      <c r="AZ527" s="219"/>
      <c r="BA527" s="219"/>
      <c r="BB527" s="219"/>
      <c r="BC527" s="219"/>
      <c r="BD527" s="219"/>
      <c r="BE527" s="219"/>
      <c r="BF527" s="219"/>
      <c r="BG527" s="219"/>
      <c r="BH527" s="219"/>
      <c r="BI527" s="219"/>
      <c r="BJ527" s="219"/>
      <c r="BK527" s="219"/>
      <c r="BL527" s="219"/>
      <c r="BM527" s="219"/>
    </row>
    <row r="528" spans="1:65">
      <c r="A528" s="219"/>
      <c r="B528" s="219"/>
      <c r="C528" s="219"/>
      <c r="D528" s="219"/>
      <c r="E528" s="219"/>
      <c r="F528" s="219"/>
      <c r="G528" s="219"/>
      <c r="H528" s="219"/>
      <c r="I528" s="219"/>
      <c r="J528" s="219"/>
      <c r="K528" s="219"/>
      <c r="L528" s="219"/>
      <c r="M528" s="219"/>
      <c r="N528" s="219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19"/>
      <c r="Z528" s="219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19"/>
      <c r="AL528" s="219"/>
      <c r="AM528" s="219"/>
      <c r="AN528" s="219"/>
      <c r="AO528" s="219"/>
      <c r="AP528" s="219"/>
      <c r="AQ528" s="219"/>
      <c r="AR528" s="219"/>
      <c r="AS528" s="219"/>
      <c r="AT528" s="219"/>
      <c r="AU528" s="219"/>
      <c r="AV528" s="219"/>
      <c r="AW528" s="219"/>
      <c r="AX528" s="219"/>
      <c r="AY528" s="219"/>
      <c r="AZ528" s="219"/>
      <c r="BA528" s="219"/>
      <c r="BB528" s="219"/>
      <c r="BC528" s="219"/>
      <c r="BD528" s="219"/>
      <c r="BE528" s="219"/>
      <c r="BF528" s="219"/>
      <c r="BG528" s="219"/>
      <c r="BH528" s="219"/>
      <c r="BI528" s="219"/>
      <c r="BJ528" s="219"/>
      <c r="BK528" s="219"/>
      <c r="BL528" s="219"/>
      <c r="BM528" s="219"/>
    </row>
    <row r="529" spans="1:65">
      <c r="A529" s="219"/>
      <c r="B529" s="219"/>
      <c r="C529" s="219"/>
      <c r="D529" s="219"/>
      <c r="E529" s="219"/>
      <c r="F529" s="219"/>
      <c r="G529" s="219"/>
      <c r="H529" s="219"/>
      <c r="I529" s="219"/>
      <c r="J529" s="219"/>
      <c r="K529" s="219"/>
      <c r="L529" s="219"/>
      <c r="M529" s="219"/>
      <c r="N529" s="219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19"/>
      <c r="Z529" s="219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19"/>
      <c r="AL529" s="219"/>
      <c r="AM529" s="219"/>
      <c r="AN529" s="219"/>
      <c r="AO529" s="219"/>
      <c r="AP529" s="219"/>
      <c r="AQ529" s="219"/>
      <c r="AR529" s="219"/>
      <c r="AS529" s="219"/>
      <c r="AT529" s="219"/>
      <c r="AU529" s="219"/>
      <c r="AV529" s="219"/>
      <c r="AW529" s="219"/>
      <c r="AX529" s="219"/>
      <c r="AY529" s="219"/>
      <c r="AZ529" s="219"/>
      <c r="BA529" s="219"/>
      <c r="BB529" s="219"/>
      <c r="BC529" s="219"/>
      <c r="BD529" s="219"/>
      <c r="BE529" s="219"/>
      <c r="BF529" s="219"/>
      <c r="BG529" s="219"/>
      <c r="BH529" s="219"/>
      <c r="BI529" s="219"/>
      <c r="BJ529" s="219"/>
      <c r="BK529" s="219"/>
      <c r="BL529" s="219"/>
      <c r="BM529" s="219"/>
    </row>
    <row r="530" spans="1:65">
      <c r="A530" s="219"/>
      <c r="B530" s="219"/>
      <c r="C530" s="219"/>
      <c r="D530" s="219"/>
      <c r="E530" s="219"/>
      <c r="F530" s="219"/>
      <c r="G530" s="219"/>
      <c r="H530" s="219"/>
      <c r="I530" s="219"/>
      <c r="J530" s="219"/>
      <c r="K530" s="219"/>
      <c r="L530" s="219"/>
      <c r="M530" s="219"/>
      <c r="N530" s="219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19"/>
      <c r="Z530" s="219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19"/>
      <c r="AL530" s="219"/>
      <c r="AM530" s="219"/>
      <c r="AN530" s="219"/>
      <c r="AO530" s="219"/>
      <c r="AP530" s="219"/>
      <c r="AQ530" s="219"/>
      <c r="AR530" s="219"/>
      <c r="AS530" s="219"/>
      <c r="AT530" s="219"/>
      <c r="AU530" s="219"/>
      <c r="AV530" s="219"/>
      <c r="AW530" s="219"/>
      <c r="AX530" s="219"/>
      <c r="AY530" s="219"/>
      <c r="AZ530" s="219"/>
      <c r="BA530" s="219"/>
      <c r="BB530" s="219"/>
      <c r="BC530" s="219"/>
      <c r="BD530" s="219"/>
      <c r="BE530" s="219"/>
      <c r="BF530" s="219"/>
      <c r="BG530" s="219"/>
      <c r="BH530" s="219"/>
      <c r="BI530" s="219"/>
      <c r="BJ530" s="219"/>
      <c r="BK530" s="219"/>
      <c r="BL530" s="219"/>
      <c r="BM530" s="219"/>
    </row>
    <row r="531" spans="1:65">
      <c r="A531" s="219"/>
      <c r="B531" s="219"/>
      <c r="C531" s="219"/>
      <c r="D531" s="219"/>
      <c r="E531" s="219"/>
      <c r="F531" s="219"/>
      <c r="G531" s="219"/>
      <c r="H531" s="219"/>
      <c r="I531" s="219"/>
      <c r="J531" s="219"/>
      <c r="K531" s="219"/>
      <c r="L531" s="219"/>
      <c r="M531" s="219"/>
      <c r="N531" s="219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19"/>
      <c r="Z531" s="219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19"/>
      <c r="AL531" s="219"/>
      <c r="AM531" s="219"/>
      <c r="AN531" s="219"/>
      <c r="AO531" s="219"/>
      <c r="AP531" s="219"/>
      <c r="AQ531" s="219"/>
      <c r="AR531" s="219"/>
      <c r="AS531" s="219"/>
      <c r="AT531" s="219"/>
      <c r="AU531" s="219"/>
      <c r="AV531" s="219"/>
      <c r="AW531" s="219"/>
      <c r="AX531" s="219"/>
      <c r="AY531" s="219"/>
      <c r="AZ531" s="219"/>
      <c r="BA531" s="219"/>
      <c r="BB531" s="219"/>
      <c r="BC531" s="219"/>
      <c r="BD531" s="219"/>
      <c r="BE531" s="219"/>
      <c r="BF531" s="219"/>
      <c r="BG531" s="219"/>
      <c r="BH531" s="219"/>
      <c r="BI531" s="219"/>
      <c r="BJ531" s="219"/>
      <c r="BK531" s="219"/>
      <c r="BL531" s="219"/>
      <c r="BM531" s="219"/>
    </row>
    <row r="532" spans="1:65">
      <c r="A532" s="219"/>
      <c r="B532" s="219"/>
      <c r="C532" s="219"/>
      <c r="D532" s="219"/>
      <c r="E532" s="219"/>
      <c r="F532" s="219"/>
      <c r="G532" s="219"/>
      <c r="H532" s="219"/>
      <c r="I532" s="219"/>
      <c r="J532" s="219"/>
      <c r="K532" s="219"/>
      <c r="L532" s="219"/>
      <c r="M532" s="219"/>
      <c r="N532" s="219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19"/>
      <c r="Z532" s="219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19"/>
      <c r="AL532" s="219"/>
      <c r="AM532" s="219"/>
      <c r="AN532" s="219"/>
      <c r="AO532" s="219"/>
      <c r="AP532" s="219"/>
      <c r="AQ532" s="219"/>
      <c r="AR532" s="219"/>
      <c r="AS532" s="219"/>
      <c r="AT532" s="219"/>
      <c r="AU532" s="219"/>
      <c r="AV532" s="219"/>
      <c r="AW532" s="219"/>
      <c r="AX532" s="219"/>
      <c r="AY532" s="219"/>
      <c r="AZ532" s="219"/>
      <c r="BA532" s="219"/>
      <c r="BB532" s="219"/>
      <c r="BC532" s="219"/>
      <c r="BD532" s="219"/>
      <c r="BE532" s="219"/>
      <c r="BF532" s="219"/>
      <c r="BG532" s="219"/>
      <c r="BH532" s="219"/>
      <c r="BI532" s="219"/>
      <c r="BJ532" s="219"/>
      <c r="BK532" s="219"/>
      <c r="BL532" s="219"/>
      <c r="BM532" s="219"/>
    </row>
    <row r="533" spans="1:65">
      <c r="A533" s="219"/>
      <c r="B533" s="219"/>
      <c r="C533" s="219"/>
      <c r="D533" s="219"/>
      <c r="E533" s="219"/>
      <c r="F533" s="219"/>
      <c r="G533" s="219"/>
      <c r="H533" s="219"/>
      <c r="I533" s="219"/>
      <c r="J533" s="219"/>
      <c r="K533" s="219"/>
      <c r="L533" s="219"/>
      <c r="M533" s="219"/>
      <c r="N533" s="219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19"/>
      <c r="Z533" s="219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19"/>
      <c r="AL533" s="219"/>
      <c r="AM533" s="219"/>
      <c r="AN533" s="219"/>
      <c r="AO533" s="219"/>
      <c r="AP533" s="219"/>
      <c r="AQ533" s="219"/>
      <c r="AR533" s="219"/>
      <c r="AS533" s="219"/>
      <c r="AT533" s="219"/>
      <c r="AU533" s="219"/>
      <c r="AV533" s="219"/>
      <c r="AW533" s="219"/>
      <c r="AX533" s="219"/>
      <c r="AY533" s="219"/>
      <c r="AZ533" s="219"/>
      <c r="BA533" s="219"/>
      <c r="BB533" s="219"/>
      <c r="BC533" s="219"/>
      <c r="BD533" s="219"/>
      <c r="BE533" s="219"/>
      <c r="BF533" s="219"/>
      <c r="BG533" s="219"/>
      <c r="BH533" s="219"/>
      <c r="BI533" s="219"/>
      <c r="BJ533" s="219"/>
      <c r="BK533" s="219"/>
      <c r="BL533" s="219"/>
      <c r="BM533" s="219"/>
    </row>
    <row r="534" spans="1:65">
      <c r="A534" s="219"/>
      <c r="B534" s="219"/>
      <c r="C534" s="219"/>
      <c r="D534" s="219"/>
      <c r="E534" s="219"/>
      <c r="F534" s="219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19"/>
      <c r="Z534" s="219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19"/>
      <c r="AL534" s="219"/>
      <c r="AM534" s="219"/>
      <c r="AN534" s="219"/>
      <c r="AO534" s="219"/>
      <c r="AP534" s="219"/>
      <c r="AQ534" s="219"/>
      <c r="AR534" s="219"/>
      <c r="AS534" s="219"/>
      <c r="AT534" s="219"/>
      <c r="AU534" s="219"/>
      <c r="AV534" s="219"/>
      <c r="AW534" s="219"/>
      <c r="AX534" s="219"/>
      <c r="AY534" s="219"/>
      <c r="AZ534" s="219"/>
      <c r="BA534" s="219"/>
      <c r="BB534" s="219"/>
      <c r="BC534" s="219"/>
      <c r="BD534" s="219"/>
      <c r="BE534" s="219"/>
      <c r="BF534" s="219"/>
      <c r="BG534" s="219"/>
      <c r="BH534" s="219"/>
      <c r="BI534" s="219"/>
      <c r="BJ534" s="219"/>
      <c r="BK534" s="219"/>
      <c r="BL534" s="219"/>
      <c r="BM534" s="219"/>
    </row>
    <row r="535" spans="1:65">
      <c r="A535" s="219"/>
      <c r="B535" s="219"/>
      <c r="C535" s="219"/>
      <c r="D535" s="219"/>
      <c r="E535" s="219"/>
      <c r="F535" s="219"/>
      <c r="G535" s="219"/>
      <c r="H535" s="219"/>
      <c r="I535" s="219"/>
      <c r="J535" s="219"/>
      <c r="K535" s="219"/>
      <c r="L535" s="219"/>
      <c r="M535" s="219"/>
      <c r="N535" s="219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19"/>
      <c r="Z535" s="219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19"/>
      <c r="AL535" s="219"/>
      <c r="AM535" s="219"/>
      <c r="AN535" s="219"/>
      <c r="AO535" s="219"/>
      <c r="AP535" s="219"/>
      <c r="AQ535" s="219"/>
      <c r="AR535" s="219"/>
      <c r="AS535" s="219"/>
      <c r="AT535" s="219"/>
      <c r="AU535" s="219"/>
      <c r="AV535" s="219"/>
      <c r="AW535" s="219"/>
      <c r="AX535" s="219"/>
      <c r="AY535" s="219"/>
      <c r="AZ535" s="219"/>
      <c r="BA535" s="219"/>
      <c r="BB535" s="219"/>
      <c r="BC535" s="219"/>
      <c r="BD535" s="219"/>
      <c r="BE535" s="219"/>
      <c r="BF535" s="219"/>
      <c r="BG535" s="219"/>
      <c r="BH535" s="219"/>
      <c r="BI535" s="219"/>
      <c r="BJ535" s="219"/>
      <c r="BK535" s="219"/>
      <c r="BL535" s="219"/>
      <c r="BM535" s="219"/>
    </row>
    <row r="536" spans="1:65">
      <c r="A536" s="219"/>
      <c r="B536" s="219"/>
      <c r="C536" s="219"/>
      <c r="D536" s="219"/>
      <c r="E536" s="219"/>
      <c r="F536" s="219"/>
      <c r="G536" s="219"/>
      <c r="H536" s="219"/>
      <c r="I536" s="219"/>
      <c r="J536" s="219"/>
      <c r="K536" s="219"/>
      <c r="L536" s="219"/>
      <c r="M536" s="219"/>
      <c r="N536" s="219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19"/>
      <c r="Z536" s="219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19"/>
      <c r="AL536" s="219"/>
      <c r="AM536" s="219"/>
      <c r="AN536" s="219"/>
      <c r="AO536" s="219"/>
      <c r="AP536" s="219"/>
      <c r="AQ536" s="219"/>
      <c r="AR536" s="219"/>
      <c r="AS536" s="219"/>
      <c r="AT536" s="219"/>
      <c r="AU536" s="219"/>
      <c r="AV536" s="219"/>
      <c r="AW536" s="219"/>
      <c r="AX536" s="219"/>
      <c r="AY536" s="219"/>
      <c r="AZ536" s="219"/>
      <c r="BA536" s="219"/>
      <c r="BB536" s="219"/>
      <c r="BC536" s="219"/>
      <c r="BD536" s="219"/>
      <c r="BE536" s="219"/>
      <c r="BF536" s="219"/>
      <c r="BG536" s="219"/>
      <c r="BH536" s="219"/>
      <c r="BI536" s="219"/>
      <c r="BJ536" s="219"/>
      <c r="BK536" s="219"/>
      <c r="BL536" s="219"/>
      <c r="BM536" s="219"/>
    </row>
    <row r="537" spans="1:65">
      <c r="A537" s="219"/>
      <c r="B537" s="219"/>
      <c r="C537" s="219"/>
      <c r="D537" s="219"/>
      <c r="E537" s="219"/>
      <c r="F537" s="219"/>
      <c r="G537" s="219"/>
      <c r="H537" s="219"/>
      <c r="I537" s="219"/>
      <c r="J537" s="219"/>
      <c r="K537" s="219"/>
      <c r="L537" s="219"/>
      <c r="M537" s="219"/>
      <c r="N537" s="219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19"/>
      <c r="Z537" s="219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19"/>
      <c r="AL537" s="219"/>
      <c r="AM537" s="219"/>
      <c r="AN537" s="219"/>
      <c r="AO537" s="219"/>
      <c r="AP537" s="219"/>
      <c r="AQ537" s="219"/>
      <c r="AR537" s="219"/>
      <c r="AS537" s="219"/>
      <c r="AT537" s="219"/>
      <c r="AU537" s="219"/>
      <c r="AV537" s="219"/>
      <c r="AW537" s="219"/>
      <c r="AX537" s="219"/>
      <c r="AY537" s="219"/>
      <c r="AZ537" s="219"/>
      <c r="BA537" s="219"/>
      <c r="BB537" s="219"/>
      <c r="BC537" s="219"/>
      <c r="BD537" s="219"/>
      <c r="BE537" s="219"/>
      <c r="BF537" s="219"/>
      <c r="BG537" s="219"/>
      <c r="BH537" s="219"/>
      <c r="BI537" s="219"/>
      <c r="BJ537" s="219"/>
      <c r="BK537" s="219"/>
      <c r="BL537" s="219"/>
      <c r="BM537" s="219"/>
    </row>
    <row r="538" spans="1:65">
      <c r="A538" s="219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19"/>
      <c r="Z538" s="219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19"/>
      <c r="AL538" s="219"/>
      <c r="AM538" s="219"/>
      <c r="AN538" s="219"/>
      <c r="AO538" s="219"/>
      <c r="AP538" s="219"/>
      <c r="AQ538" s="219"/>
      <c r="AR538" s="219"/>
      <c r="AS538" s="219"/>
      <c r="AT538" s="219"/>
      <c r="AU538" s="219"/>
      <c r="AV538" s="219"/>
      <c r="AW538" s="219"/>
      <c r="AX538" s="219"/>
      <c r="AY538" s="219"/>
      <c r="AZ538" s="219"/>
      <c r="BA538" s="219"/>
      <c r="BB538" s="219"/>
      <c r="BC538" s="219"/>
      <c r="BD538" s="219"/>
      <c r="BE538" s="219"/>
      <c r="BF538" s="219"/>
      <c r="BG538" s="219"/>
      <c r="BH538" s="219"/>
      <c r="BI538" s="219"/>
      <c r="BJ538" s="219"/>
      <c r="BK538" s="219"/>
      <c r="BL538" s="219"/>
      <c r="BM538" s="219"/>
    </row>
    <row r="539" spans="1:65">
      <c r="A539" s="219"/>
      <c r="B539" s="219"/>
      <c r="C539" s="219"/>
      <c r="D539" s="219"/>
      <c r="E539" s="219"/>
      <c r="F539" s="219"/>
      <c r="G539" s="219"/>
      <c r="H539" s="219"/>
      <c r="I539" s="219"/>
      <c r="J539" s="219"/>
      <c r="K539" s="219"/>
      <c r="L539" s="219"/>
      <c r="M539" s="219"/>
      <c r="N539" s="219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19"/>
      <c r="Z539" s="219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19"/>
      <c r="AL539" s="219"/>
      <c r="AM539" s="219"/>
      <c r="AN539" s="219"/>
      <c r="AO539" s="219"/>
      <c r="AP539" s="219"/>
      <c r="AQ539" s="219"/>
      <c r="AR539" s="219"/>
      <c r="AS539" s="219"/>
      <c r="AT539" s="219"/>
      <c r="AU539" s="219"/>
      <c r="AV539" s="219"/>
      <c r="AW539" s="219"/>
      <c r="AX539" s="219"/>
      <c r="AY539" s="219"/>
      <c r="AZ539" s="219"/>
      <c r="BA539" s="219"/>
      <c r="BB539" s="219"/>
      <c r="BC539" s="219"/>
      <c r="BD539" s="219"/>
      <c r="BE539" s="219"/>
      <c r="BF539" s="219"/>
      <c r="BG539" s="219"/>
      <c r="BH539" s="219"/>
      <c r="BI539" s="219"/>
      <c r="BJ539" s="219"/>
      <c r="BK539" s="219"/>
      <c r="BL539" s="219"/>
      <c r="BM539" s="219"/>
    </row>
    <row r="540" spans="1:65">
      <c r="A540" s="219"/>
      <c r="B540" s="219"/>
      <c r="C540" s="219"/>
      <c r="D540" s="219"/>
      <c r="E540" s="219"/>
      <c r="F540" s="219"/>
      <c r="G540" s="219"/>
      <c r="H540" s="219"/>
      <c r="I540" s="219"/>
      <c r="J540" s="219"/>
      <c r="K540" s="219"/>
      <c r="L540" s="219"/>
      <c r="M540" s="219"/>
      <c r="N540" s="219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19"/>
      <c r="Z540" s="219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19"/>
      <c r="AL540" s="219"/>
      <c r="AM540" s="219"/>
      <c r="AN540" s="219"/>
      <c r="AO540" s="219"/>
      <c r="AP540" s="219"/>
      <c r="AQ540" s="219"/>
      <c r="AR540" s="219"/>
      <c r="AS540" s="219"/>
      <c r="AT540" s="219"/>
      <c r="AU540" s="219"/>
      <c r="AV540" s="219"/>
      <c r="AW540" s="219"/>
      <c r="AX540" s="219"/>
      <c r="AY540" s="219"/>
      <c r="AZ540" s="219"/>
      <c r="BA540" s="219"/>
      <c r="BB540" s="219"/>
      <c r="BC540" s="219"/>
      <c r="BD540" s="219"/>
      <c r="BE540" s="219"/>
      <c r="BF540" s="219"/>
      <c r="BG540" s="219"/>
      <c r="BH540" s="219"/>
      <c r="BI540" s="219"/>
      <c r="BJ540" s="219"/>
      <c r="BK540" s="219"/>
      <c r="BL540" s="219"/>
      <c r="BM540" s="219"/>
    </row>
    <row r="541" spans="1:65">
      <c r="A541" s="219"/>
      <c r="B541" s="219"/>
      <c r="C541" s="219"/>
      <c r="D541" s="219"/>
      <c r="E541" s="219"/>
      <c r="F541" s="219"/>
      <c r="G541" s="219"/>
      <c r="H541" s="219"/>
      <c r="I541" s="219"/>
      <c r="J541" s="219"/>
      <c r="K541" s="219"/>
      <c r="L541" s="219"/>
      <c r="M541" s="219"/>
      <c r="N541" s="219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19"/>
      <c r="Z541" s="219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19"/>
      <c r="AL541" s="219"/>
      <c r="AM541" s="219"/>
      <c r="AN541" s="219"/>
      <c r="AO541" s="219"/>
      <c r="AP541" s="219"/>
      <c r="AQ541" s="219"/>
      <c r="AR541" s="219"/>
      <c r="AS541" s="219"/>
      <c r="AT541" s="219"/>
      <c r="AU541" s="219"/>
      <c r="AV541" s="219"/>
      <c r="AW541" s="219"/>
      <c r="AX541" s="219"/>
      <c r="AY541" s="219"/>
      <c r="AZ541" s="219"/>
      <c r="BA541" s="219"/>
      <c r="BB541" s="219"/>
      <c r="BC541" s="219"/>
      <c r="BD541" s="219"/>
      <c r="BE541" s="219"/>
      <c r="BF541" s="219"/>
      <c r="BG541" s="219"/>
      <c r="BH541" s="219"/>
      <c r="BI541" s="219"/>
      <c r="BJ541" s="219"/>
      <c r="BK541" s="219"/>
      <c r="BL541" s="219"/>
      <c r="BM541" s="219"/>
    </row>
    <row r="542" spans="1:65">
      <c r="A542" s="219"/>
      <c r="B542" s="219"/>
      <c r="C542" s="219"/>
      <c r="D542" s="219"/>
      <c r="E542" s="219"/>
      <c r="F542" s="219"/>
      <c r="G542" s="219"/>
      <c r="H542" s="219"/>
      <c r="I542" s="219"/>
      <c r="J542" s="219"/>
      <c r="K542" s="219"/>
      <c r="L542" s="219"/>
      <c r="M542" s="219"/>
      <c r="N542" s="219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19"/>
      <c r="Z542" s="219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19"/>
      <c r="AL542" s="219"/>
      <c r="AM542" s="219"/>
      <c r="AN542" s="219"/>
      <c r="AO542" s="219"/>
      <c r="AP542" s="219"/>
      <c r="AQ542" s="219"/>
      <c r="AR542" s="219"/>
      <c r="AS542" s="219"/>
      <c r="AT542" s="219"/>
      <c r="AU542" s="219"/>
      <c r="AV542" s="219"/>
      <c r="AW542" s="219"/>
      <c r="AX542" s="219"/>
      <c r="AY542" s="219"/>
      <c r="AZ542" s="219"/>
      <c r="BA542" s="219"/>
      <c r="BB542" s="219"/>
      <c r="BC542" s="219"/>
      <c r="BD542" s="219"/>
      <c r="BE542" s="219"/>
      <c r="BF542" s="219"/>
      <c r="BG542" s="219"/>
      <c r="BH542" s="219"/>
      <c r="BI542" s="219"/>
      <c r="BJ542" s="219"/>
      <c r="BK542" s="219"/>
      <c r="BL542" s="219"/>
      <c r="BM542" s="219"/>
    </row>
    <row r="543" spans="1:65">
      <c r="A543" s="219"/>
      <c r="B543" s="219"/>
      <c r="C543" s="219"/>
      <c r="D543" s="219"/>
      <c r="E543" s="219"/>
      <c r="F543" s="219"/>
      <c r="G543" s="219"/>
      <c r="H543" s="219"/>
      <c r="I543" s="219"/>
      <c r="J543" s="219"/>
      <c r="K543" s="219"/>
      <c r="L543" s="219"/>
      <c r="M543" s="219"/>
      <c r="N543" s="219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19"/>
      <c r="Z543" s="219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19"/>
      <c r="AL543" s="219"/>
      <c r="AM543" s="219"/>
      <c r="AN543" s="219"/>
      <c r="AO543" s="219"/>
      <c r="AP543" s="219"/>
      <c r="AQ543" s="219"/>
      <c r="AR543" s="219"/>
      <c r="AS543" s="219"/>
      <c r="AT543" s="219"/>
      <c r="AU543" s="219"/>
      <c r="AV543" s="219"/>
      <c r="AW543" s="219"/>
      <c r="AX543" s="219"/>
      <c r="AY543" s="219"/>
      <c r="AZ543" s="219"/>
      <c r="BA543" s="219"/>
      <c r="BB543" s="219"/>
      <c r="BC543" s="219"/>
      <c r="BD543" s="219"/>
      <c r="BE543" s="219"/>
      <c r="BF543" s="219"/>
      <c r="BG543" s="219"/>
      <c r="BH543" s="219"/>
      <c r="BI543" s="219"/>
      <c r="BJ543" s="219"/>
      <c r="BK543" s="219"/>
      <c r="BL543" s="219"/>
      <c r="BM543" s="219"/>
    </row>
    <row r="544" spans="1:65">
      <c r="A544" s="219"/>
      <c r="B544" s="219"/>
      <c r="C544" s="219"/>
      <c r="D544" s="219"/>
      <c r="E544" s="219"/>
      <c r="F544" s="219"/>
      <c r="G544" s="219"/>
      <c r="H544" s="219"/>
      <c r="I544" s="219"/>
      <c r="J544" s="219"/>
      <c r="K544" s="219"/>
      <c r="L544" s="219"/>
      <c r="M544" s="219"/>
      <c r="N544" s="219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19"/>
      <c r="Z544" s="219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19"/>
      <c r="AL544" s="219"/>
      <c r="AM544" s="219"/>
      <c r="AN544" s="219"/>
      <c r="AO544" s="219"/>
      <c r="AP544" s="219"/>
      <c r="AQ544" s="219"/>
      <c r="AR544" s="219"/>
      <c r="AS544" s="219"/>
      <c r="AT544" s="219"/>
      <c r="AU544" s="219"/>
      <c r="AV544" s="219"/>
      <c r="AW544" s="219"/>
      <c r="AX544" s="219"/>
      <c r="AY544" s="219"/>
      <c r="AZ544" s="219"/>
      <c r="BA544" s="219"/>
      <c r="BB544" s="219"/>
      <c r="BC544" s="219"/>
      <c r="BD544" s="219"/>
      <c r="BE544" s="219"/>
      <c r="BF544" s="219"/>
      <c r="BG544" s="219"/>
      <c r="BH544" s="219"/>
      <c r="BI544" s="219"/>
      <c r="BJ544" s="219"/>
      <c r="BK544" s="219"/>
      <c r="BL544" s="219"/>
      <c r="BM544" s="219"/>
    </row>
    <row r="545" spans="1:65">
      <c r="A545" s="219"/>
      <c r="B545" s="219"/>
      <c r="C545" s="219"/>
      <c r="D545" s="219"/>
      <c r="E545" s="219"/>
      <c r="F545" s="219"/>
      <c r="G545" s="219"/>
      <c r="H545" s="219"/>
      <c r="I545" s="219"/>
      <c r="J545" s="219"/>
      <c r="K545" s="219"/>
      <c r="L545" s="219"/>
      <c r="M545" s="219"/>
      <c r="N545" s="219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19"/>
      <c r="Z545" s="219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19"/>
      <c r="AL545" s="219"/>
      <c r="AM545" s="219"/>
      <c r="AN545" s="219"/>
      <c r="AO545" s="219"/>
      <c r="AP545" s="219"/>
      <c r="AQ545" s="219"/>
      <c r="AR545" s="219"/>
      <c r="AS545" s="219"/>
      <c r="AT545" s="219"/>
      <c r="AU545" s="219"/>
      <c r="AV545" s="219"/>
      <c r="AW545" s="219"/>
      <c r="AX545" s="219"/>
      <c r="AY545" s="219"/>
      <c r="AZ545" s="219"/>
      <c r="BA545" s="219"/>
      <c r="BB545" s="219"/>
      <c r="BC545" s="219"/>
      <c r="BD545" s="219"/>
      <c r="BE545" s="219"/>
      <c r="BF545" s="219"/>
      <c r="BG545" s="219"/>
      <c r="BH545" s="219"/>
      <c r="BI545" s="219"/>
      <c r="BJ545" s="219"/>
      <c r="BK545" s="219"/>
      <c r="BL545" s="219"/>
      <c r="BM545" s="219"/>
    </row>
    <row r="546" spans="1:65">
      <c r="A546" s="219"/>
      <c r="B546" s="219"/>
      <c r="C546" s="219"/>
      <c r="D546" s="219"/>
      <c r="E546" s="219"/>
      <c r="F546" s="219"/>
      <c r="G546" s="219"/>
      <c r="H546" s="219"/>
      <c r="I546" s="219"/>
      <c r="J546" s="219"/>
      <c r="K546" s="219"/>
      <c r="L546" s="219"/>
      <c r="M546" s="219"/>
      <c r="N546" s="219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19"/>
      <c r="Z546" s="219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19"/>
      <c r="AL546" s="219"/>
      <c r="AM546" s="219"/>
      <c r="AN546" s="219"/>
      <c r="AO546" s="219"/>
      <c r="AP546" s="219"/>
      <c r="AQ546" s="219"/>
      <c r="AR546" s="219"/>
      <c r="AS546" s="219"/>
      <c r="AT546" s="219"/>
      <c r="AU546" s="219"/>
      <c r="AV546" s="219"/>
      <c r="AW546" s="219"/>
      <c r="AX546" s="219"/>
      <c r="AY546" s="219"/>
      <c r="AZ546" s="219"/>
      <c r="BA546" s="219"/>
      <c r="BB546" s="219"/>
      <c r="BC546" s="219"/>
      <c r="BD546" s="219"/>
      <c r="BE546" s="219"/>
      <c r="BF546" s="219"/>
      <c r="BG546" s="219"/>
      <c r="BH546" s="219"/>
      <c r="BI546" s="219"/>
      <c r="BJ546" s="219"/>
      <c r="BK546" s="219"/>
      <c r="BL546" s="219"/>
      <c r="BM546" s="219"/>
    </row>
    <row r="547" spans="1:65">
      <c r="A547" s="219"/>
      <c r="B547" s="219"/>
      <c r="C547" s="219"/>
      <c r="D547" s="219"/>
      <c r="E547" s="219"/>
      <c r="F547" s="219"/>
      <c r="G547" s="219"/>
      <c r="H547" s="219"/>
      <c r="I547" s="219"/>
      <c r="J547" s="219"/>
      <c r="K547" s="219"/>
      <c r="L547" s="219"/>
      <c r="M547" s="219"/>
      <c r="N547" s="219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19"/>
      <c r="Z547" s="219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19"/>
      <c r="AL547" s="219"/>
      <c r="AM547" s="219"/>
      <c r="AN547" s="219"/>
      <c r="AO547" s="219"/>
      <c r="AP547" s="219"/>
      <c r="AQ547" s="219"/>
      <c r="AR547" s="219"/>
      <c r="AS547" s="219"/>
      <c r="AT547" s="219"/>
      <c r="AU547" s="219"/>
      <c r="AV547" s="219"/>
      <c r="AW547" s="219"/>
      <c r="AX547" s="219"/>
      <c r="AY547" s="219"/>
      <c r="AZ547" s="219"/>
      <c r="BA547" s="219"/>
      <c r="BB547" s="219"/>
      <c r="BC547" s="219"/>
      <c r="BD547" s="219"/>
      <c r="BE547" s="219"/>
      <c r="BF547" s="219"/>
      <c r="BG547" s="219"/>
      <c r="BH547" s="219"/>
      <c r="BI547" s="219"/>
      <c r="BJ547" s="219"/>
      <c r="BK547" s="219"/>
      <c r="BL547" s="219"/>
      <c r="BM547" s="219"/>
    </row>
    <row r="548" spans="1:65">
      <c r="A548" s="219"/>
      <c r="B548" s="219"/>
      <c r="C548" s="219"/>
      <c r="D548" s="219"/>
      <c r="E548" s="219"/>
      <c r="F548" s="219"/>
      <c r="G548" s="219"/>
      <c r="H548" s="219"/>
      <c r="I548" s="219"/>
      <c r="J548" s="219"/>
      <c r="K548" s="219"/>
      <c r="L548" s="219"/>
      <c r="M548" s="219"/>
      <c r="N548" s="219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19"/>
      <c r="Z548" s="219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19"/>
      <c r="AL548" s="219"/>
      <c r="AM548" s="219"/>
      <c r="AN548" s="219"/>
      <c r="AO548" s="219"/>
      <c r="AP548" s="219"/>
      <c r="AQ548" s="219"/>
      <c r="AR548" s="219"/>
      <c r="AS548" s="219"/>
      <c r="AT548" s="219"/>
      <c r="AU548" s="219"/>
      <c r="AV548" s="219"/>
      <c r="AW548" s="219"/>
      <c r="AX548" s="219"/>
      <c r="AY548" s="219"/>
      <c r="AZ548" s="219"/>
      <c r="BA548" s="219"/>
      <c r="BB548" s="219"/>
      <c r="BC548" s="219"/>
      <c r="BD548" s="219"/>
      <c r="BE548" s="219"/>
      <c r="BF548" s="219"/>
      <c r="BG548" s="219"/>
      <c r="BH548" s="219"/>
      <c r="BI548" s="219"/>
      <c r="BJ548" s="219"/>
      <c r="BK548" s="219"/>
      <c r="BL548" s="219"/>
      <c r="BM548" s="219"/>
    </row>
    <row r="549" spans="1:65">
      <c r="A549" s="219"/>
      <c r="B549" s="219"/>
      <c r="C549" s="219"/>
      <c r="D549" s="219"/>
      <c r="E549" s="219"/>
      <c r="F549" s="219"/>
      <c r="G549" s="219"/>
      <c r="H549" s="219"/>
      <c r="I549" s="219"/>
      <c r="J549" s="219"/>
      <c r="K549" s="219"/>
      <c r="L549" s="219"/>
      <c r="M549" s="219"/>
      <c r="N549" s="219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19"/>
      <c r="Z549" s="219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19"/>
      <c r="AL549" s="219"/>
      <c r="AM549" s="219"/>
      <c r="AN549" s="219"/>
      <c r="AO549" s="219"/>
      <c r="AP549" s="219"/>
      <c r="AQ549" s="219"/>
      <c r="AR549" s="219"/>
      <c r="AS549" s="219"/>
      <c r="AT549" s="219"/>
      <c r="AU549" s="219"/>
      <c r="AV549" s="219"/>
      <c r="AW549" s="219"/>
      <c r="AX549" s="219"/>
      <c r="AY549" s="219"/>
      <c r="AZ549" s="219"/>
      <c r="BA549" s="219"/>
      <c r="BB549" s="219"/>
      <c r="BC549" s="219"/>
      <c r="BD549" s="219"/>
      <c r="BE549" s="219"/>
      <c r="BF549" s="219"/>
      <c r="BG549" s="219"/>
      <c r="BH549" s="219"/>
      <c r="BI549" s="219"/>
      <c r="BJ549" s="219"/>
      <c r="BK549" s="219"/>
      <c r="BL549" s="219"/>
      <c r="BM549" s="219"/>
    </row>
    <row r="550" spans="1:65">
      <c r="A550" s="219"/>
      <c r="B550" s="219"/>
      <c r="C550" s="219"/>
      <c r="D550" s="219"/>
      <c r="E550" s="219"/>
      <c r="F550" s="219"/>
      <c r="G550" s="219"/>
      <c r="H550" s="219"/>
      <c r="I550" s="219"/>
      <c r="J550" s="219"/>
      <c r="K550" s="219"/>
      <c r="L550" s="219"/>
      <c r="M550" s="219"/>
      <c r="N550" s="219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19"/>
      <c r="Z550" s="219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19"/>
      <c r="AL550" s="219"/>
      <c r="AM550" s="219"/>
      <c r="AN550" s="219"/>
      <c r="AO550" s="219"/>
      <c r="AP550" s="219"/>
      <c r="AQ550" s="219"/>
      <c r="AR550" s="219"/>
      <c r="AS550" s="219"/>
      <c r="AT550" s="219"/>
      <c r="AU550" s="219"/>
      <c r="AV550" s="219"/>
      <c r="AW550" s="219"/>
      <c r="AX550" s="219"/>
      <c r="AY550" s="219"/>
      <c r="AZ550" s="219"/>
      <c r="BA550" s="219"/>
      <c r="BB550" s="219"/>
      <c r="BC550" s="219"/>
      <c r="BD550" s="219"/>
      <c r="BE550" s="219"/>
      <c r="BF550" s="219"/>
      <c r="BG550" s="219"/>
      <c r="BH550" s="219"/>
      <c r="BI550" s="219"/>
      <c r="BJ550" s="219"/>
      <c r="BK550" s="219"/>
      <c r="BL550" s="219"/>
      <c r="BM550" s="219"/>
    </row>
    <row r="551" spans="1:65">
      <c r="A551" s="219"/>
      <c r="B551" s="219"/>
      <c r="C551" s="219"/>
      <c r="D551" s="219"/>
      <c r="E551" s="219"/>
      <c r="F551" s="219"/>
      <c r="G551" s="219"/>
      <c r="H551" s="219"/>
      <c r="I551" s="219"/>
      <c r="J551" s="219"/>
      <c r="K551" s="219"/>
      <c r="L551" s="219"/>
      <c r="M551" s="219"/>
      <c r="N551" s="219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19"/>
      <c r="Z551" s="219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19"/>
      <c r="AL551" s="219"/>
      <c r="AM551" s="219"/>
      <c r="AN551" s="219"/>
      <c r="AO551" s="219"/>
      <c r="AP551" s="219"/>
      <c r="AQ551" s="219"/>
      <c r="AR551" s="219"/>
      <c r="AS551" s="219"/>
      <c r="AT551" s="219"/>
      <c r="AU551" s="219"/>
      <c r="AV551" s="219"/>
      <c r="AW551" s="219"/>
      <c r="AX551" s="219"/>
      <c r="AY551" s="219"/>
      <c r="AZ551" s="219"/>
      <c r="BA551" s="219"/>
      <c r="BB551" s="219"/>
      <c r="BC551" s="219"/>
      <c r="BD551" s="219"/>
      <c r="BE551" s="219"/>
      <c r="BF551" s="219"/>
      <c r="BG551" s="219"/>
      <c r="BH551" s="219"/>
      <c r="BI551" s="219"/>
      <c r="BJ551" s="219"/>
      <c r="BK551" s="219"/>
      <c r="BL551" s="219"/>
      <c r="BM551" s="219"/>
    </row>
    <row r="552" spans="1:65">
      <c r="A552" s="219"/>
      <c r="B552" s="219"/>
      <c r="C552" s="219"/>
      <c r="D552" s="219"/>
      <c r="E552" s="219"/>
      <c r="F552" s="219"/>
      <c r="G552" s="219"/>
      <c r="H552" s="219"/>
      <c r="I552" s="219"/>
      <c r="J552" s="219"/>
      <c r="K552" s="219"/>
      <c r="L552" s="219"/>
      <c r="M552" s="219"/>
      <c r="N552" s="219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19"/>
      <c r="Z552" s="219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19"/>
      <c r="AL552" s="219"/>
      <c r="AM552" s="219"/>
      <c r="AN552" s="219"/>
      <c r="AO552" s="219"/>
      <c r="AP552" s="219"/>
      <c r="AQ552" s="219"/>
      <c r="AR552" s="219"/>
      <c r="AS552" s="219"/>
      <c r="AT552" s="219"/>
      <c r="AU552" s="219"/>
      <c r="AV552" s="219"/>
      <c r="AW552" s="219"/>
      <c r="AX552" s="219"/>
      <c r="AY552" s="219"/>
      <c r="AZ552" s="219"/>
      <c r="BA552" s="219"/>
      <c r="BB552" s="219"/>
      <c r="BC552" s="219"/>
      <c r="BD552" s="219"/>
      <c r="BE552" s="219"/>
      <c r="BF552" s="219"/>
      <c r="BG552" s="219"/>
      <c r="BH552" s="219"/>
      <c r="BI552" s="219"/>
      <c r="BJ552" s="219"/>
      <c r="BK552" s="219"/>
      <c r="BL552" s="219"/>
      <c r="BM552" s="219"/>
    </row>
    <row r="553" spans="1:65">
      <c r="A553" s="219"/>
      <c r="B553" s="219"/>
      <c r="C553" s="219"/>
      <c r="D553" s="219"/>
      <c r="E553" s="219"/>
      <c r="F553" s="219"/>
      <c r="G553" s="219"/>
      <c r="H553" s="219"/>
      <c r="I553" s="219"/>
      <c r="J553" s="219"/>
      <c r="K553" s="219"/>
      <c r="L553" s="219"/>
      <c r="M553" s="219"/>
      <c r="N553" s="219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19"/>
      <c r="Z553" s="219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19"/>
      <c r="AL553" s="219"/>
      <c r="AM553" s="219"/>
      <c r="AN553" s="219"/>
      <c r="AO553" s="219"/>
      <c r="AP553" s="219"/>
      <c r="AQ553" s="219"/>
      <c r="AR553" s="219"/>
      <c r="AS553" s="219"/>
      <c r="AT553" s="219"/>
      <c r="AU553" s="219"/>
      <c r="AV553" s="219"/>
      <c r="AW553" s="219"/>
      <c r="AX553" s="219"/>
      <c r="AY553" s="219"/>
      <c r="AZ553" s="219"/>
      <c r="BA553" s="219"/>
      <c r="BB553" s="219"/>
      <c r="BC553" s="219"/>
      <c r="BD553" s="219"/>
      <c r="BE553" s="219"/>
      <c r="BF553" s="219"/>
      <c r="BG553" s="219"/>
      <c r="BH553" s="219"/>
      <c r="BI553" s="219"/>
      <c r="BJ553" s="219"/>
      <c r="BK553" s="219"/>
      <c r="BL553" s="219"/>
      <c r="BM553" s="219"/>
    </row>
    <row r="554" spans="1:65">
      <c r="A554" s="219"/>
      <c r="B554" s="219"/>
      <c r="C554" s="219"/>
      <c r="D554" s="219"/>
      <c r="E554" s="219"/>
      <c r="F554" s="219"/>
      <c r="G554" s="219"/>
      <c r="H554" s="219"/>
      <c r="I554" s="219"/>
      <c r="J554" s="219"/>
      <c r="K554" s="219"/>
      <c r="L554" s="219"/>
      <c r="M554" s="219"/>
      <c r="N554" s="219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19"/>
      <c r="Z554" s="219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19"/>
      <c r="AL554" s="219"/>
      <c r="AM554" s="219"/>
      <c r="AN554" s="219"/>
      <c r="AO554" s="219"/>
      <c r="AP554" s="219"/>
      <c r="AQ554" s="219"/>
      <c r="AR554" s="219"/>
      <c r="AS554" s="219"/>
      <c r="AT554" s="219"/>
      <c r="AU554" s="219"/>
      <c r="AV554" s="219"/>
      <c r="AW554" s="219"/>
      <c r="AX554" s="219"/>
      <c r="AY554" s="219"/>
      <c r="AZ554" s="219"/>
      <c r="BA554" s="219"/>
      <c r="BB554" s="219"/>
      <c r="BC554" s="219"/>
      <c r="BD554" s="219"/>
      <c r="BE554" s="219"/>
      <c r="BF554" s="219"/>
      <c r="BG554" s="219"/>
      <c r="BH554" s="219"/>
      <c r="BI554" s="219"/>
      <c r="BJ554" s="219"/>
      <c r="BK554" s="219"/>
      <c r="BL554" s="219"/>
      <c r="BM554" s="219"/>
    </row>
    <row r="555" spans="1:65">
      <c r="A555" s="219"/>
      <c r="B555" s="219"/>
      <c r="C555" s="219"/>
      <c r="D555" s="219"/>
      <c r="E555" s="219"/>
      <c r="F555" s="219"/>
      <c r="G555" s="219"/>
      <c r="H555" s="219"/>
      <c r="I555" s="219"/>
      <c r="J555" s="219"/>
      <c r="K555" s="219"/>
      <c r="L555" s="219"/>
      <c r="M555" s="219"/>
      <c r="N555" s="219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19"/>
      <c r="Z555" s="219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19"/>
      <c r="AL555" s="219"/>
      <c r="AM555" s="219"/>
      <c r="AN555" s="219"/>
      <c r="AO555" s="219"/>
      <c r="AP555" s="219"/>
      <c r="AQ555" s="219"/>
      <c r="AR555" s="219"/>
      <c r="AS555" s="219"/>
      <c r="AT555" s="219"/>
      <c r="AU555" s="219"/>
      <c r="AV555" s="219"/>
      <c r="AW555" s="219"/>
      <c r="AX555" s="219"/>
      <c r="AY555" s="219"/>
      <c r="AZ555" s="219"/>
      <c r="BA555" s="219"/>
      <c r="BB555" s="219"/>
      <c r="BC555" s="219"/>
      <c r="BD555" s="219"/>
      <c r="BE555" s="219"/>
      <c r="BF555" s="219"/>
      <c r="BG555" s="219"/>
      <c r="BH555" s="219"/>
      <c r="BI555" s="219"/>
      <c r="BJ555" s="219"/>
      <c r="BK555" s="219"/>
      <c r="BL555" s="219"/>
      <c r="BM555" s="219"/>
    </row>
    <row r="556" spans="1:65">
      <c r="A556" s="219"/>
      <c r="B556" s="219"/>
      <c r="C556" s="219"/>
      <c r="D556" s="219"/>
      <c r="E556" s="219"/>
      <c r="F556" s="219"/>
      <c r="G556" s="219"/>
      <c r="H556" s="219"/>
      <c r="I556" s="219"/>
      <c r="J556" s="219"/>
      <c r="K556" s="219"/>
      <c r="L556" s="219"/>
      <c r="M556" s="219"/>
      <c r="N556" s="219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19"/>
      <c r="Z556" s="219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19"/>
      <c r="AL556" s="219"/>
      <c r="AM556" s="219"/>
      <c r="AN556" s="219"/>
      <c r="AO556" s="219"/>
      <c r="AP556" s="219"/>
      <c r="AQ556" s="219"/>
      <c r="AR556" s="219"/>
      <c r="AS556" s="219"/>
      <c r="AT556" s="219"/>
      <c r="AU556" s="219"/>
      <c r="AV556" s="219"/>
      <c r="AW556" s="219"/>
      <c r="AX556" s="219"/>
      <c r="AY556" s="219"/>
      <c r="AZ556" s="219"/>
      <c r="BA556" s="219"/>
      <c r="BB556" s="219"/>
      <c r="BC556" s="219"/>
      <c r="BD556" s="219"/>
      <c r="BE556" s="219"/>
      <c r="BF556" s="219"/>
      <c r="BG556" s="219"/>
      <c r="BH556" s="219"/>
      <c r="BI556" s="219"/>
      <c r="BJ556" s="219"/>
      <c r="BK556" s="219"/>
      <c r="BL556" s="219"/>
      <c r="BM556" s="219"/>
    </row>
    <row r="557" spans="1:65">
      <c r="A557" s="219"/>
      <c r="B557" s="219"/>
      <c r="C557" s="219"/>
      <c r="D557" s="219"/>
      <c r="E557" s="219"/>
      <c r="F557" s="219"/>
      <c r="G557" s="219"/>
      <c r="H557" s="219"/>
      <c r="I557" s="219"/>
      <c r="J557" s="219"/>
      <c r="K557" s="219"/>
      <c r="L557" s="219"/>
      <c r="M557" s="219"/>
      <c r="N557" s="219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19"/>
      <c r="Z557" s="219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19"/>
      <c r="AL557" s="219"/>
      <c r="AM557" s="219"/>
      <c r="AN557" s="219"/>
      <c r="AO557" s="219"/>
      <c r="AP557" s="219"/>
      <c r="AQ557" s="219"/>
      <c r="AR557" s="219"/>
      <c r="AS557" s="219"/>
      <c r="AT557" s="219"/>
      <c r="AU557" s="219"/>
      <c r="AV557" s="219"/>
      <c r="AW557" s="219"/>
      <c r="AX557" s="219"/>
      <c r="AY557" s="219"/>
      <c r="AZ557" s="219"/>
      <c r="BA557" s="219"/>
      <c r="BB557" s="219"/>
      <c r="BC557" s="219"/>
      <c r="BD557" s="219"/>
      <c r="BE557" s="219"/>
      <c r="BF557" s="219"/>
      <c r="BG557" s="219"/>
      <c r="BH557" s="219"/>
      <c r="BI557" s="219"/>
      <c r="BJ557" s="219"/>
      <c r="BK557" s="219"/>
      <c r="BL557" s="219"/>
      <c r="BM557" s="219"/>
    </row>
    <row r="558" spans="1:65">
      <c r="A558" s="219"/>
      <c r="B558" s="219"/>
      <c r="C558" s="219"/>
      <c r="D558" s="219"/>
      <c r="E558" s="219"/>
      <c r="F558" s="219"/>
      <c r="G558" s="219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19"/>
      <c r="Z558" s="219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19"/>
      <c r="AL558" s="219"/>
      <c r="AM558" s="219"/>
      <c r="AN558" s="219"/>
      <c r="AO558" s="219"/>
      <c r="AP558" s="219"/>
      <c r="AQ558" s="219"/>
      <c r="AR558" s="219"/>
      <c r="AS558" s="219"/>
      <c r="AT558" s="219"/>
      <c r="AU558" s="219"/>
      <c r="AV558" s="219"/>
      <c r="AW558" s="219"/>
      <c r="AX558" s="219"/>
      <c r="AY558" s="219"/>
      <c r="AZ558" s="219"/>
      <c r="BA558" s="219"/>
      <c r="BB558" s="219"/>
      <c r="BC558" s="219"/>
      <c r="BD558" s="219"/>
      <c r="BE558" s="219"/>
      <c r="BF558" s="219"/>
      <c r="BG558" s="219"/>
      <c r="BH558" s="219"/>
      <c r="BI558" s="219"/>
      <c r="BJ558" s="219"/>
      <c r="BK558" s="219"/>
      <c r="BL558" s="219"/>
      <c r="BM558" s="219"/>
    </row>
    <row r="559" spans="1:65">
      <c r="A559" s="219"/>
      <c r="B559" s="219"/>
      <c r="C559" s="219"/>
      <c r="D559" s="219"/>
      <c r="E559" s="219"/>
      <c r="F559" s="219"/>
      <c r="G559" s="219"/>
      <c r="H559" s="219"/>
      <c r="I559" s="219"/>
      <c r="J559" s="219"/>
      <c r="K559" s="219"/>
      <c r="L559" s="219"/>
      <c r="M559" s="219"/>
      <c r="N559" s="219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19"/>
      <c r="Z559" s="219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19"/>
      <c r="AL559" s="219"/>
      <c r="AM559" s="219"/>
      <c r="AN559" s="219"/>
      <c r="AO559" s="219"/>
      <c r="AP559" s="219"/>
      <c r="AQ559" s="219"/>
      <c r="AR559" s="219"/>
      <c r="AS559" s="219"/>
      <c r="AT559" s="219"/>
      <c r="AU559" s="219"/>
      <c r="AV559" s="219"/>
      <c r="AW559" s="219"/>
      <c r="AX559" s="219"/>
      <c r="AY559" s="219"/>
      <c r="AZ559" s="219"/>
      <c r="BA559" s="219"/>
      <c r="BB559" s="219"/>
      <c r="BC559" s="219"/>
      <c r="BD559" s="219"/>
      <c r="BE559" s="219"/>
      <c r="BF559" s="219"/>
      <c r="BG559" s="219"/>
      <c r="BH559" s="219"/>
      <c r="BI559" s="219"/>
      <c r="BJ559" s="219"/>
      <c r="BK559" s="219"/>
      <c r="BL559" s="219"/>
      <c r="BM559" s="219"/>
    </row>
    <row r="560" spans="1:65">
      <c r="A560" s="219"/>
      <c r="B560" s="219"/>
      <c r="C560" s="219"/>
      <c r="D560" s="219"/>
      <c r="E560" s="219"/>
      <c r="F560" s="219"/>
      <c r="G560" s="219"/>
      <c r="H560" s="219"/>
      <c r="I560" s="219"/>
      <c r="J560" s="219"/>
      <c r="K560" s="219"/>
      <c r="L560" s="219"/>
      <c r="M560" s="219"/>
      <c r="N560" s="219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19"/>
      <c r="Z560" s="219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19"/>
      <c r="AL560" s="219"/>
      <c r="AM560" s="219"/>
      <c r="AN560" s="219"/>
      <c r="AO560" s="219"/>
      <c r="AP560" s="219"/>
      <c r="AQ560" s="219"/>
      <c r="AR560" s="219"/>
      <c r="AS560" s="219"/>
      <c r="AT560" s="219"/>
      <c r="AU560" s="219"/>
      <c r="AV560" s="219"/>
      <c r="AW560" s="219"/>
      <c r="AX560" s="219"/>
      <c r="AY560" s="219"/>
      <c r="AZ560" s="219"/>
      <c r="BA560" s="219"/>
      <c r="BB560" s="219"/>
      <c r="BC560" s="219"/>
      <c r="BD560" s="219"/>
      <c r="BE560" s="219"/>
      <c r="BF560" s="219"/>
      <c r="BG560" s="219"/>
      <c r="BH560" s="219"/>
      <c r="BI560" s="219"/>
      <c r="BJ560" s="219"/>
      <c r="BK560" s="219"/>
      <c r="BL560" s="219"/>
      <c r="BM560" s="219"/>
    </row>
    <row r="561" spans="1:65">
      <c r="A561" s="219"/>
      <c r="B561" s="219"/>
      <c r="C561" s="219"/>
      <c r="D561" s="219"/>
      <c r="E561" s="219"/>
      <c r="F561" s="219"/>
      <c r="G561" s="219"/>
      <c r="H561" s="219"/>
      <c r="I561" s="219"/>
      <c r="J561" s="219"/>
      <c r="K561" s="219"/>
      <c r="L561" s="219"/>
      <c r="M561" s="219"/>
      <c r="N561" s="219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19"/>
      <c r="Z561" s="219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19"/>
      <c r="AL561" s="219"/>
      <c r="AM561" s="219"/>
      <c r="AN561" s="219"/>
      <c r="AO561" s="219"/>
      <c r="AP561" s="219"/>
      <c r="AQ561" s="219"/>
      <c r="AR561" s="219"/>
      <c r="AS561" s="219"/>
      <c r="AT561" s="219"/>
      <c r="AU561" s="219"/>
      <c r="AV561" s="219"/>
      <c r="AW561" s="219"/>
      <c r="AX561" s="219"/>
      <c r="AY561" s="219"/>
      <c r="AZ561" s="219"/>
      <c r="BA561" s="219"/>
      <c r="BB561" s="219"/>
      <c r="BC561" s="219"/>
      <c r="BD561" s="219"/>
      <c r="BE561" s="219"/>
      <c r="BF561" s="219"/>
      <c r="BG561" s="219"/>
      <c r="BH561" s="219"/>
      <c r="BI561" s="219"/>
      <c r="BJ561" s="219"/>
      <c r="BK561" s="219"/>
      <c r="BL561" s="219"/>
      <c r="BM561" s="219"/>
    </row>
    <row r="562" spans="1:65">
      <c r="A562" s="219"/>
      <c r="B562" s="219"/>
      <c r="C562" s="219"/>
      <c r="D562" s="219"/>
      <c r="E562" s="219"/>
      <c r="F562" s="219"/>
      <c r="G562" s="219"/>
      <c r="H562" s="219"/>
      <c r="I562" s="219"/>
      <c r="J562" s="219"/>
      <c r="K562" s="219"/>
      <c r="L562" s="219"/>
      <c r="M562" s="219"/>
      <c r="N562" s="219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19"/>
      <c r="Z562" s="219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19"/>
      <c r="AL562" s="219"/>
      <c r="AM562" s="219"/>
      <c r="AN562" s="219"/>
      <c r="AO562" s="219"/>
      <c r="AP562" s="219"/>
      <c r="AQ562" s="219"/>
      <c r="AR562" s="219"/>
      <c r="AS562" s="219"/>
      <c r="AT562" s="219"/>
      <c r="AU562" s="219"/>
      <c r="AV562" s="219"/>
      <c r="AW562" s="219"/>
      <c r="AX562" s="219"/>
      <c r="AY562" s="219"/>
      <c r="AZ562" s="219"/>
      <c r="BA562" s="219"/>
      <c r="BB562" s="219"/>
      <c r="BC562" s="219"/>
      <c r="BD562" s="219"/>
      <c r="BE562" s="219"/>
      <c r="BF562" s="219"/>
      <c r="BG562" s="219"/>
      <c r="BH562" s="219"/>
      <c r="BI562" s="219"/>
      <c r="BJ562" s="219"/>
      <c r="BK562" s="219"/>
      <c r="BL562" s="219"/>
      <c r="BM562" s="219"/>
    </row>
    <row r="563" spans="1:65">
      <c r="A563" s="219"/>
      <c r="B563" s="219"/>
      <c r="C563" s="219"/>
      <c r="D563" s="219"/>
      <c r="E563" s="219"/>
      <c r="F563" s="219"/>
      <c r="G563" s="219"/>
      <c r="H563" s="219"/>
      <c r="I563" s="219"/>
      <c r="J563" s="219"/>
      <c r="K563" s="219"/>
      <c r="L563" s="219"/>
      <c r="M563" s="219"/>
      <c r="N563" s="219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19"/>
      <c r="Z563" s="219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19"/>
      <c r="AL563" s="219"/>
      <c r="AM563" s="219"/>
      <c r="AN563" s="219"/>
      <c r="AO563" s="219"/>
      <c r="AP563" s="219"/>
      <c r="AQ563" s="219"/>
      <c r="AR563" s="219"/>
      <c r="AS563" s="219"/>
      <c r="AT563" s="219"/>
      <c r="AU563" s="219"/>
      <c r="AV563" s="219"/>
      <c r="AW563" s="219"/>
      <c r="AX563" s="219"/>
      <c r="AY563" s="219"/>
      <c r="AZ563" s="219"/>
      <c r="BA563" s="219"/>
      <c r="BB563" s="219"/>
      <c r="BC563" s="219"/>
      <c r="BD563" s="219"/>
      <c r="BE563" s="219"/>
      <c r="BF563" s="219"/>
      <c r="BG563" s="219"/>
      <c r="BH563" s="219"/>
      <c r="BI563" s="219"/>
      <c r="BJ563" s="219"/>
      <c r="BK563" s="219"/>
      <c r="BL563" s="219"/>
      <c r="BM563" s="219"/>
    </row>
    <row r="564" spans="1:65">
      <c r="A564" s="219"/>
      <c r="B564" s="219"/>
      <c r="C564" s="219"/>
      <c r="D564" s="219"/>
      <c r="E564" s="219"/>
      <c r="F564" s="219"/>
      <c r="G564" s="219"/>
      <c r="H564" s="219"/>
      <c r="I564" s="219"/>
      <c r="J564" s="219"/>
      <c r="K564" s="219"/>
      <c r="L564" s="219"/>
      <c r="M564" s="219"/>
      <c r="N564" s="219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19"/>
      <c r="Z564" s="219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19"/>
      <c r="AL564" s="219"/>
      <c r="AM564" s="219"/>
      <c r="AN564" s="219"/>
      <c r="AO564" s="219"/>
      <c r="AP564" s="219"/>
      <c r="AQ564" s="219"/>
      <c r="AR564" s="219"/>
      <c r="AS564" s="219"/>
      <c r="AT564" s="219"/>
      <c r="AU564" s="219"/>
      <c r="AV564" s="219"/>
      <c r="AW564" s="219"/>
      <c r="AX564" s="219"/>
      <c r="AY564" s="219"/>
      <c r="AZ564" s="219"/>
      <c r="BA564" s="219"/>
      <c r="BB564" s="219"/>
      <c r="BC564" s="219"/>
      <c r="BD564" s="219"/>
      <c r="BE564" s="219"/>
      <c r="BF564" s="219"/>
      <c r="BG564" s="219"/>
      <c r="BH564" s="219"/>
      <c r="BI564" s="219"/>
      <c r="BJ564" s="219"/>
      <c r="BK564" s="219"/>
      <c r="BL564" s="219"/>
      <c r="BM564" s="219"/>
    </row>
    <row r="565" spans="1:65">
      <c r="A565" s="219"/>
      <c r="B565" s="219"/>
      <c r="C565" s="219"/>
      <c r="D565" s="219"/>
      <c r="E565" s="219"/>
      <c r="F565" s="219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19"/>
      <c r="AL565" s="219"/>
      <c r="AM565" s="219"/>
      <c r="AN565" s="219"/>
      <c r="AO565" s="219"/>
      <c r="AP565" s="219"/>
      <c r="AQ565" s="219"/>
      <c r="AR565" s="219"/>
      <c r="AS565" s="219"/>
      <c r="AT565" s="219"/>
      <c r="AU565" s="219"/>
      <c r="AV565" s="219"/>
      <c r="AW565" s="219"/>
      <c r="AX565" s="219"/>
      <c r="AY565" s="219"/>
      <c r="AZ565" s="219"/>
      <c r="BA565" s="219"/>
      <c r="BB565" s="219"/>
      <c r="BC565" s="219"/>
      <c r="BD565" s="219"/>
      <c r="BE565" s="219"/>
      <c r="BF565" s="219"/>
      <c r="BG565" s="219"/>
      <c r="BH565" s="219"/>
      <c r="BI565" s="219"/>
      <c r="BJ565" s="219"/>
      <c r="BK565" s="219"/>
      <c r="BL565" s="219"/>
      <c r="BM565" s="219"/>
    </row>
    <row r="566" spans="1:65">
      <c r="A566" s="219"/>
      <c r="B566" s="219"/>
      <c r="C566" s="219"/>
      <c r="D566" s="219"/>
      <c r="E566" s="219"/>
      <c r="F566" s="219"/>
      <c r="G566" s="219"/>
      <c r="H566" s="219"/>
      <c r="I566" s="219"/>
      <c r="J566" s="219"/>
      <c r="K566" s="219"/>
      <c r="L566" s="219"/>
      <c r="M566" s="219"/>
      <c r="N566" s="219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19"/>
      <c r="Z566" s="219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19"/>
      <c r="AL566" s="219"/>
      <c r="AM566" s="219"/>
      <c r="AN566" s="219"/>
      <c r="AO566" s="219"/>
      <c r="AP566" s="219"/>
      <c r="AQ566" s="219"/>
      <c r="AR566" s="219"/>
      <c r="AS566" s="219"/>
      <c r="AT566" s="219"/>
      <c r="AU566" s="219"/>
      <c r="AV566" s="219"/>
      <c r="AW566" s="219"/>
      <c r="AX566" s="219"/>
      <c r="AY566" s="219"/>
      <c r="AZ566" s="219"/>
      <c r="BA566" s="219"/>
      <c r="BB566" s="219"/>
      <c r="BC566" s="219"/>
      <c r="BD566" s="219"/>
      <c r="BE566" s="219"/>
      <c r="BF566" s="219"/>
      <c r="BG566" s="219"/>
      <c r="BH566" s="219"/>
      <c r="BI566" s="219"/>
      <c r="BJ566" s="219"/>
      <c r="BK566" s="219"/>
      <c r="BL566" s="219"/>
      <c r="BM566" s="219"/>
    </row>
    <row r="567" spans="1:65">
      <c r="A567" s="219"/>
      <c r="B567" s="219"/>
      <c r="C567" s="219"/>
      <c r="D567" s="219"/>
      <c r="E567" s="219"/>
      <c r="F567" s="219"/>
      <c r="G567" s="219"/>
      <c r="H567" s="219"/>
      <c r="I567" s="219"/>
      <c r="J567" s="219"/>
      <c r="K567" s="219"/>
      <c r="L567" s="219"/>
      <c r="M567" s="219"/>
      <c r="N567" s="219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19"/>
      <c r="Z567" s="219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19"/>
      <c r="AL567" s="219"/>
      <c r="AM567" s="219"/>
      <c r="AN567" s="219"/>
      <c r="AO567" s="219"/>
      <c r="AP567" s="219"/>
      <c r="AQ567" s="219"/>
      <c r="AR567" s="219"/>
      <c r="AS567" s="219"/>
      <c r="AT567" s="219"/>
      <c r="AU567" s="219"/>
      <c r="AV567" s="219"/>
      <c r="AW567" s="219"/>
      <c r="AX567" s="219"/>
      <c r="AY567" s="219"/>
      <c r="AZ567" s="219"/>
      <c r="BA567" s="219"/>
      <c r="BB567" s="219"/>
      <c r="BC567" s="219"/>
      <c r="BD567" s="219"/>
      <c r="BE567" s="219"/>
      <c r="BF567" s="219"/>
      <c r="BG567" s="219"/>
      <c r="BH567" s="219"/>
      <c r="BI567" s="219"/>
      <c r="BJ567" s="219"/>
      <c r="BK567" s="219"/>
      <c r="BL567" s="219"/>
      <c r="BM567" s="219"/>
    </row>
    <row r="568" spans="1:65">
      <c r="A568" s="219"/>
      <c r="B568" s="219"/>
      <c r="C568" s="219"/>
      <c r="D568" s="219"/>
      <c r="E568" s="219"/>
      <c r="F568" s="219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19"/>
      <c r="AL568" s="219"/>
      <c r="AM568" s="219"/>
      <c r="AN568" s="219"/>
      <c r="AO568" s="219"/>
      <c r="AP568" s="219"/>
      <c r="AQ568" s="219"/>
      <c r="AR568" s="219"/>
      <c r="AS568" s="219"/>
      <c r="AT568" s="219"/>
      <c r="AU568" s="219"/>
      <c r="AV568" s="219"/>
      <c r="AW568" s="219"/>
      <c r="AX568" s="219"/>
      <c r="AY568" s="219"/>
      <c r="AZ568" s="219"/>
      <c r="BA568" s="219"/>
      <c r="BB568" s="219"/>
      <c r="BC568" s="219"/>
      <c r="BD568" s="219"/>
      <c r="BE568" s="219"/>
      <c r="BF568" s="219"/>
      <c r="BG568" s="219"/>
      <c r="BH568" s="219"/>
      <c r="BI568" s="219"/>
      <c r="BJ568" s="219"/>
      <c r="BK568" s="219"/>
      <c r="BL568" s="219"/>
      <c r="BM568" s="219"/>
    </row>
    <row r="569" spans="1:65">
      <c r="A569" s="219"/>
      <c r="B569" s="219"/>
      <c r="C569" s="219"/>
      <c r="D569" s="219"/>
      <c r="E569" s="219"/>
      <c r="F569" s="219"/>
      <c r="G569" s="219"/>
      <c r="H569" s="219"/>
      <c r="I569" s="219"/>
      <c r="J569" s="219"/>
      <c r="K569" s="219"/>
      <c r="L569" s="219"/>
      <c r="M569" s="219"/>
      <c r="N569" s="219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19"/>
      <c r="Z569" s="219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19"/>
      <c r="AL569" s="219"/>
      <c r="AM569" s="219"/>
      <c r="AN569" s="219"/>
      <c r="AO569" s="219"/>
      <c r="AP569" s="219"/>
      <c r="AQ569" s="219"/>
      <c r="AR569" s="219"/>
      <c r="AS569" s="219"/>
      <c r="AT569" s="219"/>
      <c r="AU569" s="219"/>
      <c r="AV569" s="219"/>
      <c r="AW569" s="219"/>
      <c r="AX569" s="219"/>
      <c r="AY569" s="219"/>
      <c r="AZ569" s="219"/>
      <c r="BA569" s="219"/>
      <c r="BB569" s="219"/>
      <c r="BC569" s="219"/>
      <c r="BD569" s="219"/>
      <c r="BE569" s="219"/>
      <c r="BF569" s="219"/>
      <c r="BG569" s="219"/>
      <c r="BH569" s="219"/>
      <c r="BI569" s="219"/>
      <c r="BJ569" s="219"/>
      <c r="BK569" s="219"/>
      <c r="BL569" s="219"/>
      <c r="BM569" s="219"/>
    </row>
    <row r="570" spans="1:65">
      <c r="A570" s="219"/>
      <c r="B570" s="219"/>
      <c r="C570" s="219"/>
      <c r="D570" s="219"/>
      <c r="E570" s="219"/>
      <c r="F570" s="219"/>
      <c r="G570" s="219"/>
      <c r="H570" s="219"/>
      <c r="I570" s="219"/>
      <c r="J570" s="219"/>
      <c r="K570" s="219"/>
      <c r="L570" s="219"/>
      <c r="M570" s="219"/>
      <c r="N570" s="219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19"/>
      <c r="Z570" s="219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19"/>
      <c r="AL570" s="219"/>
      <c r="AM570" s="219"/>
      <c r="AN570" s="219"/>
      <c r="AO570" s="219"/>
      <c r="AP570" s="219"/>
      <c r="AQ570" s="219"/>
      <c r="AR570" s="219"/>
      <c r="AS570" s="219"/>
      <c r="AT570" s="219"/>
      <c r="AU570" s="219"/>
      <c r="AV570" s="219"/>
      <c r="AW570" s="219"/>
      <c r="AX570" s="219"/>
      <c r="AY570" s="219"/>
      <c r="AZ570" s="219"/>
      <c r="BA570" s="219"/>
      <c r="BB570" s="219"/>
      <c r="BC570" s="219"/>
      <c r="BD570" s="219"/>
      <c r="BE570" s="219"/>
      <c r="BF570" s="219"/>
      <c r="BG570" s="219"/>
      <c r="BH570" s="219"/>
      <c r="BI570" s="219"/>
      <c r="BJ570" s="219"/>
      <c r="BK570" s="219"/>
      <c r="BL570" s="219"/>
      <c r="BM570" s="219"/>
    </row>
    <row r="571" spans="1:65">
      <c r="A571" s="219"/>
      <c r="B571" s="219"/>
      <c r="C571" s="219"/>
      <c r="D571" s="219"/>
      <c r="E571" s="219"/>
      <c r="F571" s="219"/>
      <c r="G571" s="219"/>
      <c r="H571" s="219"/>
      <c r="I571" s="219"/>
      <c r="J571" s="219"/>
      <c r="K571" s="219"/>
      <c r="L571" s="219"/>
      <c r="M571" s="219"/>
      <c r="N571" s="219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19"/>
      <c r="Z571" s="219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19"/>
      <c r="AL571" s="219"/>
      <c r="AM571" s="219"/>
      <c r="AN571" s="219"/>
      <c r="AO571" s="219"/>
      <c r="AP571" s="219"/>
      <c r="AQ571" s="219"/>
      <c r="AR571" s="219"/>
      <c r="AS571" s="219"/>
      <c r="AT571" s="219"/>
      <c r="AU571" s="219"/>
      <c r="AV571" s="219"/>
      <c r="AW571" s="219"/>
      <c r="AX571" s="219"/>
      <c r="AY571" s="219"/>
      <c r="AZ571" s="219"/>
      <c r="BA571" s="219"/>
      <c r="BB571" s="219"/>
      <c r="BC571" s="219"/>
      <c r="BD571" s="219"/>
      <c r="BE571" s="219"/>
      <c r="BF571" s="219"/>
      <c r="BG571" s="219"/>
      <c r="BH571" s="219"/>
      <c r="BI571" s="219"/>
      <c r="BJ571" s="219"/>
      <c r="BK571" s="219"/>
      <c r="BL571" s="219"/>
      <c r="BM571" s="2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zoomScale="120" zoomScaleNormal="120" zoomScaleSheetLayoutView="100" workbookViewId="0">
      <selection activeCell="B13" sqref="B13"/>
    </sheetView>
  </sheetViews>
  <sheetFormatPr baseColWidth="10" defaultColWidth="11.42578125" defaultRowHeight="12.75"/>
  <cols>
    <col min="1" max="1" width="55" style="11" customWidth="1"/>
    <col min="2" max="2" width="18" style="11" customWidth="1"/>
    <col min="3" max="4" width="17.28515625" style="11" customWidth="1"/>
    <col min="5" max="5" width="16.7109375" style="11" customWidth="1"/>
    <col min="6" max="6" width="13.28515625" style="11" bestFit="1" customWidth="1"/>
    <col min="7" max="16384" width="11.42578125" style="11"/>
  </cols>
  <sheetData>
    <row r="1" spans="1:6" ht="27.75" customHeight="1">
      <c r="A1" s="401" t="s">
        <v>249</v>
      </c>
      <c r="B1" s="401"/>
      <c r="C1" s="401"/>
      <c r="D1" s="401"/>
    </row>
    <row r="3" spans="1:6" ht="25.5">
      <c r="A3" s="64" t="s">
        <v>119</v>
      </c>
      <c r="B3" s="64" t="s">
        <v>120</v>
      </c>
      <c r="C3" s="64" t="s">
        <v>121</v>
      </c>
      <c r="D3" s="64" t="s">
        <v>138</v>
      </c>
    </row>
    <row r="4" spans="1:6" ht="25.5" customHeight="1">
      <c r="A4" s="58" t="s">
        <v>122</v>
      </c>
      <c r="B4" s="358">
        <v>32556595955</v>
      </c>
      <c r="C4" s="359">
        <v>20</v>
      </c>
      <c r="D4" s="359">
        <f>+C4/100*B4</f>
        <v>6511319191</v>
      </c>
    </row>
    <row r="5" spans="1:6" ht="25.5" customHeight="1">
      <c r="A5" s="58" t="s">
        <v>151</v>
      </c>
      <c r="B5" s="358">
        <v>879482811</v>
      </c>
      <c r="C5" s="359">
        <v>100</v>
      </c>
      <c r="D5" s="359">
        <f t="shared" ref="D5:D12" si="0">+C5/100*B5</f>
        <v>879482811</v>
      </c>
      <c r="E5" s="220" t="s">
        <v>184</v>
      </c>
    </row>
    <row r="6" spans="1:6" ht="25.5" customHeight="1">
      <c r="A6" s="58" t="s">
        <v>150</v>
      </c>
      <c r="B6" s="358">
        <v>275623933</v>
      </c>
      <c r="C6" s="359">
        <v>100</v>
      </c>
      <c r="D6" s="359">
        <f t="shared" si="0"/>
        <v>275623933</v>
      </c>
    </row>
    <row r="7" spans="1:6" ht="25.5" customHeight="1">
      <c r="A7" s="58" t="s">
        <v>123</v>
      </c>
      <c r="B7" s="358">
        <v>988038740</v>
      </c>
      <c r="C7" s="359">
        <v>20</v>
      </c>
      <c r="D7" s="359">
        <f t="shared" si="0"/>
        <v>197607748</v>
      </c>
    </row>
    <row r="8" spans="1:6" ht="25.5" customHeight="1">
      <c r="A8" s="58" t="s">
        <v>137</v>
      </c>
      <c r="B8" s="358">
        <v>1683772415.1303682</v>
      </c>
      <c r="C8" s="359">
        <v>20</v>
      </c>
      <c r="D8" s="359">
        <f t="shared" si="0"/>
        <v>336754483.02607369</v>
      </c>
    </row>
    <row r="9" spans="1:6" ht="25.5" customHeight="1">
      <c r="A9" s="357" t="s">
        <v>335</v>
      </c>
      <c r="B9" s="360">
        <v>-41428270</v>
      </c>
      <c r="C9" s="361">
        <v>20</v>
      </c>
      <c r="D9" s="359">
        <f t="shared" si="0"/>
        <v>-8285654</v>
      </c>
    </row>
    <row r="10" spans="1:6" ht="25.5" customHeight="1">
      <c r="A10" s="58" t="s">
        <v>143</v>
      </c>
      <c r="B10" s="358">
        <v>758082262</v>
      </c>
      <c r="C10" s="359">
        <v>20</v>
      </c>
      <c r="D10" s="359">
        <f t="shared" si="0"/>
        <v>151616452.40000001</v>
      </c>
      <c r="E10" s="24"/>
    </row>
    <row r="11" spans="1:6" ht="25.5" customHeight="1">
      <c r="A11" s="58" t="s">
        <v>142</v>
      </c>
      <c r="B11" s="358">
        <v>196144488</v>
      </c>
      <c r="C11" s="359">
        <v>20</v>
      </c>
      <c r="D11" s="359">
        <f t="shared" si="0"/>
        <v>39228897.600000001</v>
      </c>
    </row>
    <row r="12" spans="1:6" ht="25.5" customHeight="1">
      <c r="A12" s="58" t="s">
        <v>136</v>
      </c>
      <c r="B12" s="358">
        <v>935474525</v>
      </c>
      <c r="C12" s="359">
        <v>20</v>
      </c>
      <c r="D12" s="359">
        <f t="shared" si="0"/>
        <v>187094905</v>
      </c>
    </row>
    <row r="13" spans="1:6">
      <c r="A13" s="65" t="s">
        <v>53</v>
      </c>
      <c r="B13" s="362">
        <f>SUM(B4:B12)</f>
        <v>38231786859.130371</v>
      </c>
      <c r="C13" s="362"/>
      <c r="D13" s="362">
        <f>SUM(D4:D12)</f>
        <v>8570442767.0260735</v>
      </c>
      <c r="E13" s="69">
        <f>+D13-D6-D12</f>
        <v>8107723929.0260735</v>
      </c>
      <c r="F13" s="66" t="e">
        <f>+D4+D5+D7+D8+#REF!+D10+D11</f>
        <v>#REF!</v>
      </c>
    </row>
    <row r="14" spans="1:6">
      <c r="A14" s="12"/>
      <c r="B14" s="13"/>
      <c r="C14" s="14"/>
      <c r="D14" s="13"/>
    </row>
    <row r="15" spans="1:6">
      <c r="A15" s="15" t="s">
        <v>318</v>
      </c>
    </row>
    <row r="16" spans="1:6">
      <c r="A16" s="11" t="s">
        <v>184</v>
      </c>
    </row>
    <row r="20" spans="2:2">
      <c r="B20" s="11" t="s">
        <v>184</v>
      </c>
    </row>
    <row r="21" spans="2:2">
      <c r="B21" s="11" t="s">
        <v>184</v>
      </c>
    </row>
    <row r="22" spans="2:2">
      <c r="B22" s="199" t="s">
        <v>184</v>
      </c>
    </row>
    <row r="23" spans="2:2">
      <c r="B23" s="199" t="s">
        <v>184</v>
      </c>
    </row>
    <row r="24" spans="2:2">
      <c r="B24" s="11" t="s">
        <v>184</v>
      </c>
    </row>
    <row r="25" spans="2:2">
      <c r="B25" s="24" t="s">
        <v>184</v>
      </c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369"/>
  <sheetViews>
    <sheetView topLeftCell="A2" zoomScaleSheetLayoutView="100" workbookViewId="0">
      <selection activeCell="I7" sqref="I7:I57"/>
    </sheetView>
  </sheetViews>
  <sheetFormatPr baseColWidth="10" defaultColWidth="9.7109375" defaultRowHeight="14.25"/>
  <cols>
    <col min="1" max="1" width="26.28515625" style="2" customWidth="1"/>
    <col min="2" max="2" width="11.140625" style="2" hidden="1" customWidth="1"/>
    <col min="3" max="3" width="14.5703125" style="2" hidden="1" customWidth="1"/>
    <col min="4" max="4" width="15.140625" style="2" hidden="1" customWidth="1"/>
    <col min="5" max="5" width="16.140625" style="2" hidden="1" customWidth="1"/>
    <col min="6" max="6" width="14.85546875" style="2" hidden="1" customWidth="1"/>
    <col min="7" max="7" width="12" style="2" hidden="1" customWidth="1"/>
    <col min="8" max="8" width="15.28515625" style="2" hidden="1" customWidth="1"/>
    <col min="9" max="16" width="19.42578125" style="2" customWidth="1"/>
    <col min="17" max="17" width="19.42578125" style="22" customWidth="1"/>
    <col min="18" max="18" width="5.42578125" style="2" customWidth="1"/>
    <col min="19" max="16384" width="9.7109375" style="2"/>
  </cols>
  <sheetData>
    <row r="1" spans="1:63" ht="47.25" hidden="1" customHeight="1">
      <c r="A1" s="413" t="s">
        <v>144</v>
      </c>
      <c r="B1" s="413"/>
      <c r="C1" s="413"/>
      <c r="D1" s="413"/>
      <c r="E1" s="413"/>
      <c r="F1" s="413"/>
      <c r="G1" s="413"/>
      <c r="H1" s="413"/>
      <c r="I1" s="414"/>
      <c r="J1" s="414"/>
      <c r="K1" s="414"/>
      <c r="L1" s="414"/>
      <c r="M1" s="414"/>
      <c r="N1" s="414"/>
      <c r="O1" s="414"/>
      <c r="P1" s="414"/>
      <c r="Q1" s="414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ht="8.25" customHeight="1" thickBot="1">
      <c r="A2" s="80"/>
      <c r="B2" s="80"/>
      <c r="C2" s="80"/>
      <c r="D2" s="80"/>
      <c r="E2" s="80"/>
      <c r="F2" s="80"/>
      <c r="G2" s="80"/>
      <c r="H2" s="80"/>
      <c r="I2" s="81"/>
      <c r="J2" s="80"/>
      <c r="K2" s="80"/>
      <c r="L2" s="80"/>
      <c r="M2" s="80"/>
      <c r="N2" s="80"/>
      <c r="O2" s="80"/>
      <c r="P2" s="80"/>
      <c r="Q2" s="82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</row>
    <row r="3" spans="1:63" ht="69" customHeight="1" thickBot="1">
      <c r="A3" s="417" t="s">
        <v>0</v>
      </c>
      <c r="B3" s="415" t="s">
        <v>111</v>
      </c>
      <c r="C3" s="420" t="s">
        <v>112</v>
      </c>
      <c r="D3" s="409" t="s">
        <v>113</v>
      </c>
      <c r="E3" s="409" t="s">
        <v>132</v>
      </c>
      <c r="F3" s="409" t="s">
        <v>126</v>
      </c>
      <c r="G3" s="409" t="s">
        <v>145</v>
      </c>
      <c r="H3" s="411" t="s">
        <v>146</v>
      </c>
      <c r="I3" s="415" t="s">
        <v>180</v>
      </c>
      <c r="J3" s="83" t="s">
        <v>181</v>
      </c>
      <c r="K3" s="415" t="s">
        <v>313</v>
      </c>
      <c r="L3" s="415" t="s">
        <v>182</v>
      </c>
      <c r="M3" s="415" t="s">
        <v>314</v>
      </c>
      <c r="N3" s="83" t="s">
        <v>315</v>
      </c>
      <c r="O3" s="415" t="s">
        <v>316</v>
      </c>
      <c r="P3" s="415" t="s">
        <v>317</v>
      </c>
      <c r="Q3" s="415" t="s">
        <v>312</v>
      </c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</row>
    <row r="4" spans="1:63" ht="20.45" customHeight="1" thickBot="1">
      <c r="A4" s="418"/>
      <c r="B4" s="419"/>
      <c r="C4" s="421"/>
      <c r="D4" s="410"/>
      <c r="E4" s="410"/>
      <c r="F4" s="410"/>
      <c r="G4" s="410"/>
      <c r="H4" s="412"/>
      <c r="I4" s="419"/>
      <c r="J4" s="84">
        <f>IF(I60&lt;I61,I60,I61)</f>
        <v>1.2011813321793347E-2</v>
      </c>
      <c r="K4" s="416"/>
      <c r="L4" s="419"/>
      <c r="M4" s="419"/>
      <c r="N4" s="85">
        <f>+L58/M58</f>
        <v>1.0000000000000024</v>
      </c>
      <c r="O4" s="419"/>
      <c r="P4" s="419"/>
      <c r="Q4" s="419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</row>
    <row r="5" spans="1:63" ht="20.45" customHeight="1">
      <c r="A5" s="86"/>
      <c r="B5" s="87" t="s">
        <v>109</v>
      </c>
      <c r="C5" s="86"/>
      <c r="D5" s="86"/>
      <c r="E5" s="86"/>
      <c r="F5" s="86"/>
      <c r="G5" s="86"/>
      <c r="H5" s="86"/>
      <c r="I5" s="87" t="s">
        <v>109</v>
      </c>
      <c r="J5" s="87" t="s">
        <v>109</v>
      </c>
      <c r="K5" s="88" t="s">
        <v>109</v>
      </c>
      <c r="L5" s="87" t="s">
        <v>109</v>
      </c>
      <c r="M5" s="89" t="s">
        <v>109</v>
      </c>
      <c r="N5" s="87" t="s">
        <v>109</v>
      </c>
      <c r="O5" s="87" t="s">
        <v>109</v>
      </c>
      <c r="P5" s="87"/>
      <c r="Q5" s="87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</row>
    <row r="6" spans="1:63" ht="15.75" thickBot="1">
      <c r="A6" s="90"/>
      <c r="B6" s="90"/>
      <c r="C6" s="90"/>
      <c r="D6" s="90"/>
      <c r="E6" s="90"/>
      <c r="F6" s="90"/>
      <c r="G6" s="90"/>
      <c r="H6" s="90"/>
      <c r="I6" s="90" t="s">
        <v>184</v>
      </c>
      <c r="J6" s="90"/>
      <c r="K6" s="91" t="s">
        <v>127</v>
      </c>
      <c r="L6" s="91" t="s">
        <v>128</v>
      </c>
      <c r="M6" s="91" t="s">
        <v>129</v>
      </c>
      <c r="N6" s="91" t="s">
        <v>130</v>
      </c>
      <c r="O6" s="91"/>
      <c r="P6" s="91"/>
      <c r="Q6" s="91" t="s">
        <v>131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</row>
    <row r="7" spans="1:63" ht="12.75" customHeight="1" thickTop="1">
      <c r="A7" s="72" t="s">
        <v>1</v>
      </c>
      <c r="B7" s="92">
        <v>7961092.290000001</v>
      </c>
      <c r="C7" s="92">
        <v>1176115.3700000003</v>
      </c>
      <c r="D7" s="92">
        <v>243429.76000000001</v>
      </c>
      <c r="E7" s="92">
        <v>414772.02999999991</v>
      </c>
      <c r="F7" s="92">
        <v>10300.939999999999</v>
      </c>
      <c r="G7" s="92">
        <v>174909.15999999997</v>
      </c>
      <c r="H7" s="92">
        <v>47521.079999999987</v>
      </c>
      <c r="I7" s="92">
        <f>SUM(B7:H7)</f>
        <v>10028140.630000001</v>
      </c>
      <c r="J7" s="92">
        <f>(+I7*J$4)+I7</f>
        <v>10148596.783212252</v>
      </c>
      <c r="K7" s="92">
        <f>+'COEF Art 14 F I'!AH8</f>
        <v>20736523.602803193</v>
      </c>
      <c r="L7" s="92">
        <f t="shared" ref="L7:L57" si="0">IF(K7&lt;J7,J7-K7,0)</f>
        <v>0</v>
      </c>
      <c r="M7" s="92">
        <f t="shared" ref="M7:M57" si="1">IF(K7&gt;J7,K7-J7,0)</f>
        <v>10587926.819590941</v>
      </c>
      <c r="N7" s="92">
        <f>+M7*N$4</f>
        <v>10587926.819590967</v>
      </c>
      <c r="O7" s="92">
        <f t="shared" ref="O7:O57" si="2">IF(L7&lt;&gt;0,K7+L7,K7-N7)</f>
        <v>10148596.783212226</v>
      </c>
      <c r="P7" s="93">
        <f t="shared" ref="P7:P58" si="3">+(O7-I7)/I7</f>
        <v>1.2011813321790746E-2</v>
      </c>
      <c r="Q7" s="365">
        <f>+O7/O$58</f>
        <v>1.2517195790152304E-3</v>
      </c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</row>
    <row r="8" spans="1:63" ht="12.75" customHeight="1">
      <c r="A8" s="73" t="s">
        <v>2</v>
      </c>
      <c r="B8" s="94">
        <v>15769151.479999999</v>
      </c>
      <c r="C8" s="95">
        <v>2329622.7000000002</v>
      </c>
      <c r="D8" s="95">
        <v>482180.15000000008</v>
      </c>
      <c r="E8" s="95">
        <v>821571.08</v>
      </c>
      <c r="F8" s="95">
        <v>20403.87</v>
      </c>
      <c r="G8" s="95">
        <v>346456.14</v>
      </c>
      <c r="H8" s="95">
        <v>94128.719999999987</v>
      </c>
      <c r="I8" s="94">
        <f t="shared" ref="I8:I57" si="4">SUM(B8:H8)</f>
        <v>19863514.139999997</v>
      </c>
      <c r="J8" s="94">
        <f t="shared" ref="J8:J57" si="5">(+I8*J$4)+I8</f>
        <v>20102110.963764478</v>
      </c>
      <c r="K8" s="94">
        <f>+'COEF Art 14 F I'!AH9</f>
        <v>11004405.650619961</v>
      </c>
      <c r="L8" s="94">
        <f t="shared" si="0"/>
        <v>9097705.3131445162</v>
      </c>
      <c r="M8" s="94">
        <f t="shared" si="1"/>
        <v>0</v>
      </c>
      <c r="N8" s="94">
        <f t="shared" ref="N8:N57" si="6">+M8*N$4</f>
        <v>0</v>
      </c>
      <c r="O8" s="94">
        <f t="shared" si="2"/>
        <v>20102110.963764478</v>
      </c>
      <c r="P8" s="96">
        <f t="shared" si="3"/>
        <v>1.2011813321793255E-2</v>
      </c>
      <c r="Q8" s="366">
        <f t="shared" ref="Q8:Q57" si="7">+O8/O$58</f>
        <v>2.4793778302931451E-3</v>
      </c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</row>
    <row r="9" spans="1:63" ht="12.75" customHeight="1">
      <c r="A9" s="73" t="s">
        <v>3</v>
      </c>
      <c r="B9" s="94">
        <v>16404570.699999999</v>
      </c>
      <c r="C9" s="95">
        <v>2423495.0299999998</v>
      </c>
      <c r="D9" s="95">
        <v>501609.65</v>
      </c>
      <c r="E9" s="95">
        <v>854676.37000000011</v>
      </c>
      <c r="F9" s="95">
        <v>21226.04</v>
      </c>
      <c r="G9" s="95">
        <v>360416.6</v>
      </c>
      <c r="H9" s="95">
        <v>97921.680000000008</v>
      </c>
      <c r="I9" s="94">
        <f t="shared" si="4"/>
        <v>20663916.07</v>
      </c>
      <c r="J9" s="94">
        <f t="shared" si="5"/>
        <v>20912127.172330044</v>
      </c>
      <c r="K9" s="94">
        <f>+'COEF Art 14 F I'!AH10</f>
        <v>27326175.96497624</v>
      </c>
      <c r="L9" s="94">
        <f t="shared" si="0"/>
        <v>0</v>
      </c>
      <c r="M9" s="94">
        <f t="shared" si="1"/>
        <v>6414048.7926461957</v>
      </c>
      <c r="N9" s="94">
        <f t="shared" si="6"/>
        <v>6414048.7926462116</v>
      </c>
      <c r="O9" s="94">
        <f t="shared" si="2"/>
        <v>20912127.172330029</v>
      </c>
      <c r="P9" s="96">
        <f t="shared" si="3"/>
        <v>1.2011813321792544E-2</v>
      </c>
      <c r="Q9" s="366">
        <f t="shared" si="7"/>
        <v>2.5792845631390491E-3</v>
      </c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</row>
    <row r="10" spans="1:63" ht="12.75" customHeight="1">
      <c r="A10" s="73" t="s">
        <v>4</v>
      </c>
      <c r="B10" s="94">
        <v>45373965.81000001</v>
      </c>
      <c r="C10" s="95">
        <v>6703228.169999999</v>
      </c>
      <c r="D10" s="95">
        <v>1387419.3800000001</v>
      </c>
      <c r="E10" s="95">
        <v>2363978.77</v>
      </c>
      <c r="F10" s="95">
        <v>58709.840000000004</v>
      </c>
      <c r="G10" s="95">
        <v>996888.63000000012</v>
      </c>
      <c r="H10" s="95">
        <v>270845.03999999992</v>
      </c>
      <c r="I10" s="94">
        <f t="shared" si="4"/>
        <v>57155035.640000023</v>
      </c>
      <c r="J10" s="94">
        <f t="shared" si="5"/>
        <v>57841571.258508146</v>
      </c>
      <c r="K10" s="94">
        <f>+'COEF Art 14 F I'!AH11</f>
        <v>70156479.164633244</v>
      </c>
      <c r="L10" s="94">
        <f t="shared" si="0"/>
        <v>0</v>
      </c>
      <c r="M10" s="94">
        <f t="shared" si="1"/>
        <v>12314907.906125098</v>
      </c>
      <c r="N10" s="94">
        <f t="shared" si="6"/>
        <v>12314907.906125128</v>
      </c>
      <c r="O10" s="94">
        <f t="shared" si="2"/>
        <v>57841571.258508116</v>
      </c>
      <c r="P10" s="96">
        <f t="shared" si="3"/>
        <v>1.2011813321792774E-2</v>
      </c>
      <c r="Q10" s="366">
        <f t="shared" si="7"/>
        <v>7.1341318186022937E-3</v>
      </c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</row>
    <row r="11" spans="1:63" ht="12.75" customHeight="1">
      <c r="A11" s="73" t="s">
        <v>5</v>
      </c>
      <c r="B11" s="94">
        <v>57306237.120000005</v>
      </c>
      <c r="C11" s="95">
        <v>8466017.379999999</v>
      </c>
      <c r="D11" s="95">
        <v>1752277.57</v>
      </c>
      <c r="E11" s="95">
        <v>2985648.85</v>
      </c>
      <c r="F11" s="95">
        <v>74149.13</v>
      </c>
      <c r="G11" s="95">
        <v>1259046.6000000001</v>
      </c>
      <c r="H11" s="95">
        <v>342070.80000000005</v>
      </c>
      <c r="I11" s="94">
        <f t="shared" si="4"/>
        <v>72185447.449999973</v>
      </c>
      <c r="J11" s="94">
        <f t="shared" si="5"/>
        <v>73052525.569319502</v>
      </c>
      <c r="K11" s="94">
        <f>+'COEF Art 14 F I'!AH12</f>
        <v>59245180.319348454</v>
      </c>
      <c r="L11" s="94">
        <f t="shared" si="0"/>
        <v>13807345.249971047</v>
      </c>
      <c r="M11" s="94">
        <f t="shared" si="1"/>
        <v>0</v>
      </c>
      <c r="N11" s="94">
        <f t="shared" si="6"/>
        <v>0</v>
      </c>
      <c r="O11" s="94">
        <f t="shared" si="2"/>
        <v>73052525.569319502</v>
      </c>
      <c r="P11" s="96">
        <f t="shared" si="3"/>
        <v>1.2011813321793418E-2</v>
      </c>
      <c r="Q11" s="366">
        <f t="shared" si="7"/>
        <v>9.0102384107810657E-3</v>
      </c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</row>
    <row r="12" spans="1:63" ht="12.75" customHeight="1">
      <c r="A12" s="73" t="s">
        <v>6</v>
      </c>
      <c r="B12" s="94">
        <v>390968214.71999997</v>
      </c>
      <c r="C12" s="95">
        <v>57758873.440000005</v>
      </c>
      <c r="D12" s="95">
        <v>11954804.030000003</v>
      </c>
      <c r="E12" s="95">
        <v>20369402.180000003</v>
      </c>
      <c r="F12" s="95">
        <v>505877.82000000007</v>
      </c>
      <c r="G12" s="95">
        <v>8589766.5599999987</v>
      </c>
      <c r="H12" s="95">
        <v>2333756.4</v>
      </c>
      <c r="I12" s="94">
        <f t="shared" si="4"/>
        <v>492480695.14999998</v>
      </c>
      <c r="J12" s="94">
        <f t="shared" si="5"/>
        <v>498396281.32472879</v>
      </c>
      <c r="K12" s="94">
        <f>+'COEF Art 14 F I'!AH13</f>
        <v>610969675.88423216</v>
      </c>
      <c r="L12" s="94">
        <f t="shared" si="0"/>
        <v>0</v>
      </c>
      <c r="M12" s="94">
        <f t="shared" si="1"/>
        <v>112573394.55950338</v>
      </c>
      <c r="N12" s="94">
        <f t="shared" si="6"/>
        <v>112573394.55950364</v>
      </c>
      <c r="O12" s="94">
        <f t="shared" si="2"/>
        <v>498396281.32472849</v>
      </c>
      <c r="P12" s="96">
        <f t="shared" si="3"/>
        <v>1.2011813321792728E-2</v>
      </c>
      <c r="Q12" s="366">
        <f t="shared" si="7"/>
        <v>6.1471787358279906E-2</v>
      </c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</row>
    <row r="13" spans="1:63" ht="12.75" customHeight="1">
      <c r="A13" s="73" t="s">
        <v>7</v>
      </c>
      <c r="B13" s="94">
        <v>65415439.799999997</v>
      </c>
      <c r="C13" s="95">
        <v>9664013.5300000012</v>
      </c>
      <c r="D13" s="95">
        <v>2000236.1900000002</v>
      </c>
      <c r="E13" s="95">
        <v>3408137.44</v>
      </c>
      <c r="F13" s="95">
        <v>84641.71</v>
      </c>
      <c r="G13" s="95">
        <v>1437209.8199999998</v>
      </c>
      <c r="H13" s="95">
        <v>390476.03999999986</v>
      </c>
      <c r="I13" s="94">
        <f t="shared" si="4"/>
        <v>82400154.529999986</v>
      </c>
      <c r="J13" s="94">
        <f t="shared" si="5"/>
        <v>83389929.80390127</v>
      </c>
      <c r="K13" s="94">
        <f>+'COEF Art 14 F I'!AH14</f>
        <v>79212229.848700464</v>
      </c>
      <c r="L13" s="94">
        <f t="shared" si="0"/>
        <v>4177699.9552008063</v>
      </c>
      <c r="M13" s="94">
        <f t="shared" si="1"/>
        <v>0</v>
      </c>
      <c r="N13" s="94">
        <f t="shared" si="6"/>
        <v>0</v>
      </c>
      <c r="O13" s="94">
        <f t="shared" si="2"/>
        <v>83389929.80390127</v>
      </c>
      <c r="P13" s="96">
        <f t="shared" si="3"/>
        <v>1.2011813321793342E-2</v>
      </c>
      <c r="Q13" s="366">
        <f t="shared" si="7"/>
        <v>1.0285245345535383E-2</v>
      </c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</row>
    <row r="14" spans="1:63" ht="12.75" customHeight="1">
      <c r="A14" s="73" t="s">
        <v>8</v>
      </c>
      <c r="B14" s="94">
        <v>10401401.620000001</v>
      </c>
      <c r="C14" s="95">
        <v>1536629.36</v>
      </c>
      <c r="D14" s="95">
        <v>318048.15000000002</v>
      </c>
      <c r="E14" s="95">
        <v>541911.89</v>
      </c>
      <c r="F14" s="95">
        <v>13458.469999999998</v>
      </c>
      <c r="G14" s="95">
        <v>228524.00000000003</v>
      </c>
      <c r="H14" s="95">
        <v>62087.75999999998</v>
      </c>
      <c r="I14" s="94">
        <f t="shared" si="4"/>
        <v>13102061.250000002</v>
      </c>
      <c r="J14" s="94">
        <f t="shared" si="5"/>
        <v>13259440.763865704</v>
      </c>
      <c r="K14" s="94">
        <f>+'COEF Art 14 F I'!AH15</f>
        <v>7719280.4008514425</v>
      </c>
      <c r="L14" s="94">
        <f t="shared" si="0"/>
        <v>5540160.3630142612</v>
      </c>
      <c r="M14" s="94">
        <f t="shared" si="1"/>
        <v>0</v>
      </c>
      <c r="N14" s="94">
        <f t="shared" si="6"/>
        <v>0</v>
      </c>
      <c r="O14" s="94">
        <f t="shared" si="2"/>
        <v>13259440.763865704</v>
      </c>
      <c r="P14" s="96">
        <f t="shared" si="3"/>
        <v>1.2011813321793303E-2</v>
      </c>
      <c r="Q14" s="366">
        <f t="shared" si="7"/>
        <v>1.6354085166116986E-3</v>
      </c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</row>
    <row r="15" spans="1:63" ht="12.75" customHeight="1">
      <c r="A15" s="73" t="s">
        <v>9</v>
      </c>
      <c r="B15" s="94">
        <v>103391967.3</v>
      </c>
      <c r="C15" s="95">
        <v>15274396.569999997</v>
      </c>
      <c r="D15" s="95">
        <v>3161460.84</v>
      </c>
      <c r="E15" s="95">
        <v>5386710.4800000004</v>
      </c>
      <c r="F15" s="95">
        <v>133779.93</v>
      </c>
      <c r="G15" s="95">
        <v>2271573.06</v>
      </c>
      <c r="H15" s="95">
        <v>617164.44000000006</v>
      </c>
      <c r="I15" s="94">
        <f t="shared" si="4"/>
        <v>130237052.62</v>
      </c>
      <c r="J15" s="94">
        <f t="shared" si="5"/>
        <v>131801435.78365202</v>
      </c>
      <c r="K15" s="94">
        <f>+'COEF Art 14 F I'!AH16</f>
        <v>103785173.70304069</v>
      </c>
      <c r="L15" s="94">
        <f t="shared" si="0"/>
        <v>28016262.080611333</v>
      </c>
      <c r="M15" s="94">
        <f t="shared" si="1"/>
        <v>0</v>
      </c>
      <c r="N15" s="94">
        <f t="shared" si="6"/>
        <v>0</v>
      </c>
      <c r="O15" s="94">
        <f t="shared" si="2"/>
        <v>131801435.78365202</v>
      </c>
      <c r="P15" s="96">
        <f t="shared" si="3"/>
        <v>1.201181332179335E-2</v>
      </c>
      <c r="Q15" s="366">
        <f t="shared" si="7"/>
        <v>1.625628066981857E-2</v>
      </c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</row>
    <row r="16" spans="1:63" ht="12.75" customHeight="1">
      <c r="A16" s="73" t="s">
        <v>10</v>
      </c>
      <c r="B16" s="94">
        <v>17178452.890000001</v>
      </c>
      <c r="C16" s="95">
        <v>2537822.9000000004</v>
      </c>
      <c r="D16" s="95">
        <v>525272.97</v>
      </c>
      <c r="E16" s="95">
        <v>894995.54</v>
      </c>
      <c r="F16" s="95">
        <v>22227.370000000003</v>
      </c>
      <c r="G16" s="95">
        <v>377419.17</v>
      </c>
      <c r="H16" s="95">
        <v>102541.07999999997</v>
      </c>
      <c r="I16" s="94">
        <f t="shared" si="4"/>
        <v>21638731.919999998</v>
      </c>
      <c r="J16" s="94">
        <f t="shared" si="5"/>
        <v>21898652.328343369</v>
      </c>
      <c r="K16" s="94">
        <f>+'COEF Art 14 F I'!AH17</f>
        <v>54457890.315900363</v>
      </c>
      <c r="L16" s="94">
        <f t="shared" si="0"/>
        <v>0</v>
      </c>
      <c r="M16" s="94">
        <f t="shared" si="1"/>
        <v>32559237.987556994</v>
      </c>
      <c r="N16" s="94">
        <f t="shared" si="6"/>
        <v>32559237.987557072</v>
      </c>
      <c r="O16" s="94">
        <f t="shared" si="2"/>
        <v>21898652.328343291</v>
      </c>
      <c r="P16" s="96">
        <f t="shared" si="3"/>
        <v>1.2011813321789737E-2</v>
      </c>
      <c r="Q16" s="366">
        <f t="shared" si="7"/>
        <v>2.7009617643670597E-3</v>
      </c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</row>
    <row r="17" spans="1:63" s="1" customFormat="1" ht="12.75" customHeight="1">
      <c r="A17" s="73" t="s">
        <v>11</v>
      </c>
      <c r="B17" s="94">
        <v>24957742.009999994</v>
      </c>
      <c r="C17" s="95">
        <v>3687079.94</v>
      </c>
      <c r="D17" s="95">
        <v>763143.66</v>
      </c>
      <c r="E17" s="95">
        <v>1300295.69</v>
      </c>
      <c r="F17" s="95">
        <v>32293.07</v>
      </c>
      <c r="G17" s="95">
        <v>548334.04</v>
      </c>
      <c r="H17" s="95">
        <v>148977</v>
      </c>
      <c r="I17" s="94">
        <f t="shared" si="4"/>
        <v>31437865.409999996</v>
      </c>
      <c r="J17" s="94">
        <f t="shared" si="5"/>
        <v>31815491.18054058</v>
      </c>
      <c r="K17" s="94">
        <f>+'COEF Art 14 F I'!AH18</f>
        <v>17712923.227165699</v>
      </c>
      <c r="L17" s="94">
        <f t="shared" si="0"/>
        <v>14102567.953374881</v>
      </c>
      <c r="M17" s="94">
        <f t="shared" si="1"/>
        <v>0</v>
      </c>
      <c r="N17" s="94">
        <f t="shared" si="6"/>
        <v>0</v>
      </c>
      <c r="O17" s="94">
        <f t="shared" si="2"/>
        <v>31815491.18054058</v>
      </c>
      <c r="P17" s="96">
        <f t="shared" si="3"/>
        <v>1.2011813321793336E-2</v>
      </c>
      <c r="Q17" s="366">
        <f t="shared" si="7"/>
        <v>3.9240965108147639E-3</v>
      </c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</row>
    <row r="18" spans="1:63" ht="12.75" customHeight="1">
      <c r="A18" s="73" t="s">
        <v>12</v>
      </c>
      <c r="B18" s="94">
        <v>52489783.149999991</v>
      </c>
      <c r="C18" s="95">
        <v>7754468.5899999999</v>
      </c>
      <c r="D18" s="95">
        <v>1605002.8</v>
      </c>
      <c r="E18" s="95">
        <v>2734712.13</v>
      </c>
      <c r="F18" s="95">
        <v>67917.070000000007</v>
      </c>
      <c r="G18" s="95">
        <v>1153226.7</v>
      </c>
      <c r="H18" s="95">
        <v>313320.48000000004</v>
      </c>
      <c r="I18" s="94">
        <f t="shared" si="4"/>
        <v>66118430.919999994</v>
      </c>
      <c r="J18" s="94">
        <f t="shared" si="5"/>
        <v>66912633.169340923</v>
      </c>
      <c r="K18" s="94">
        <f>+'COEF Art 14 F I'!AH19</f>
        <v>51995630.776227027</v>
      </c>
      <c r="L18" s="94">
        <f t="shared" si="0"/>
        <v>14917002.393113896</v>
      </c>
      <c r="M18" s="94">
        <f t="shared" si="1"/>
        <v>0</v>
      </c>
      <c r="N18" s="94">
        <f t="shared" si="6"/>
        <v>0</v>
      </c>
      <c r="O18" s="94">
        <f t="shared" si="2"/>
        <v>66912633.169340923</v>
      </c>
      <c r="P18" s="96">
        <f t="shared" si="3"/>
        <v>1.2011813321793347E-2</v>
      </c>
      <c r="Q18" s="366">
        <f t="shared" si="7"/>
        <v>8.2529491328374189E-3</v>
      </c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</row>
    <row r="19" spans="1:63" ht="12.75" customHeight="1">
      <c r="A19" s="73" t="s">
        <v>13</v>
      </c>
      <c r="B19" s="94">
        <v>26707303.090000011</v>
      </c>
      <c r="C19" s="95">
        <v>3945547.709999999</v>
      </c>
      <c r="D19" s="95">
        <v>816640.74000000011</v>
      </c>
      <c r="E19" s="95">
        <v>1391447.5900000003</v>
      </c>
      <c r="F19" s="95">
        <v>34556.86</v>
      </c>
      <c r="G19" s="95">
        <v>586772.76</v>
      </c>
      <c r="H19" s="95">
        <v>159420.48000000007</v>
      </c>
      <c r="I19" s="94">
        <f t="shared" si="4"/>
        <v>33641689.230000012</v>
      </c>
      <c r="J19" s="94">
        <f t="shared" si="5"/>
        <v>34045786.920860559</v>
      </c>
      <c r="K19" s="94">
        <f>+'COEF Art 14 F I'!AH20</f>
        <v>43038499.489040315</v>
      </c>
      <c r="L19" s="94">
        <f t="shared" si="0"/>
        <v>0</v>
      </c>
      <c r="M19" s="94">
        <f t="shared" si="1"/>
        <v>8992712.5681797564</v>
      </c>
      <c r="N19" s="94">
        <f t="shared" si="6"/>
        <v>8992712.5681797788</v>
      </c>
      <c r="O19" s="94">
        <f t="shared" si="2"/>
        <v>34045786.920860536</v>
      </c>
      <c r="P19" s="96">
        <f t="shared" si="3"/>
        <v>1.2011813321792719E-2</v>
      </c>
      <c r="Q19" s="366">
        <f t="shared" si="7"/>
        <v>4.1991793527866497E-3</v>
      </c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</row>
    <row r="20" spans="1:63" ht="12.75" customHeight="1">
      <c r="A20" s="73" t="s">
        <v>14</v>
      </c>
      <c r="B20" s="94">
        <v>146285856.51000002</v>
      </c>
      <c r="C20" s="95">
        <v>21611235.77</v>
      </c>
      <c r="D20" s="95">
        <v>4473045.8500000006</v>
      </c>
      <c r="E20" s="95">
        <v>7621477.4600000009</v>
      </c>
      <c r="F20" s="95">
        <v>189280.80000000002</v>
      </c>
      <c r="G20" s="95">
        <v>3213973.1799999997</v>
      </c>
      <c r="H20" s="95">
        <v>873205.32</v>
      </c>
      <c r="I20" s="94">
        <f t="shared" si="4"/>
        <v>184268074.89000005</v>
      </c>
      <c r="J20" s="94">
        <f t="shared" si="5"/>
        <v>186481468.60674497</v>
      </c>
      <c r="K20" s="94">
        <f>+'COEF Art 14 F I'!AH21</f>
        <v>228957569.05807525</v>
      </c>
      <c r="L20" s="94">
        <f t="shared" si="0"/>
        <v>0</v>
      </c>
      <c r="M20" s="94">
        <f t="shared" si="1"/>
        <v>42476100.451330274</v>
      </c>
      <c r="N20" s="94">
        <f t="shared" si="6"/>
        <v>42476100.451330379</v>
      </c>
      <c r="O20" s="94">
        <f t="shared" si="2"/>
        <v>186481468.60674489</v>
      </c>
      <c r="P20" s="96">
        <f t="shared" si="3"/>
        <v>1.2011813321792932E-2</v>
      </c>
      <c r="Q20" s="366">
        <f t="shared" si="7"/>
        <v>2.3000470938475289E-2</v>
      </c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</row>
    <row r="21" spans="1:63" ht="12.75" customHeight="1">
      <c r="A21" s="73" t="s">
        <v>15</v>
      </c>
      <c r="B21" s="94">
        <v>18674970.939999998</v>
      </c>
      <c r="C21" s="95">
        <v>2758907.88</v>
      </c>
      <c r="D21" s="95">
        <v>571032.65</v>
      </c>
      <c r="E21" s="95">
        <v>972963.99999999977</v>
      </c>
      <c r="F21" s="95">
        <v>24163.729999999996</v>
      </c>
      <c r="G21" s="95">
        <v>410298.41999999993</v>
      </c>
      <c r="H21" s="95">
        <v>111474.11999999998</v>
      </c>
      <c r="I21" s="94">
        <f t="shared" si="4"/>
        <v>23523811.739999998</v>
      </c>
      <c r="J21" s="94">
        <f t="shared" si="5"/>
        <v>23806375.37523789</v>
      </c>
      <c r="K21" s="94">
        <f>+'COEF Art 14 F I'!AH22</f>
        <v>6475966.700536292</v>
      </c>
      <c r="L21" s="94">
        <f t="shared" si="0"/>
        <v>17330408.674701598</v>
      </c>
      <c r="M21" s="94">
        <f t="shared" si="1"/>
        <v>0</v>
      </c>
      <c r="N21" s="94">
        <f t="shared" si="6"/>
        <v>0</v>
      </c>
      <c r="O21" s="94">
        <f t="shared" si="2"/>
        <v>23806375.37523789</v>
      </c>
      <c r="P21" s="96">
        <f t="shared" si="3"/>
        <v>1.2011813321793369E-2</v>
      </c>
      <c r="Q21" s="366">
        <f t="shared" si="7"/>
        <v>2.9362587556798557E-3</v>
      </c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</row>
    <row r="22" spans="1:63" ht="12.75" customHeight="1">
      <c r="A22" s="73" t="s">
        <v>16</v>
      </c>
      <c r="B22" s="94">
        <v>13004749.23</v>
      </c>
      <c r="C22" s="95">
        <v>1921229.47</v>
      </c>
      <c r="D22" s="95">
        <v>397651.83999999997</v>
      </c>
      <c r="E22" s="95">
        <v>677546.05000000016</v>
      </c>
      <c r="F22" s="95">
        <v>16826.969999999998</v>
      </c>
      <c r="G22" s="95">
        <v>285720.82</v>
      </c>
      <c r="H22" s="95">
        <v>77627.520000000004</v>
      </c>
      <c r="I22" s="94">
        <f t="shared" si="4"/>
        <v>16381351.900000002</v>
      </c>
      <c r="J22" s="94">
        <f t="shared" si="5"/>
        <v>16578121.640981408</v>
      </c>
      <c r="K22" s="94">
        <f>+'COEF Art 14 F I'!AH23</f>
        <v>20384398.860973332</v>
      </c>
      <c r="L22" s="94">
        <f t="shared" si="0"/>
        <v>0</v>
      </c>
      <c r="M22" s="94">
        <f t="shared" si="1"/>
        <v>3806277.2199919242</v>
      </c>
      <c r="N22" s="94">
        <f t="shared" si="6"/>
        <v>3806277.2199919336</v>
      </c>
      <c r="O22" s="94">
        <f t="shared" si="2"/>
        <v>16578121.640981399</v>
      </c>
      <c r="P22" s="96">
        <f t="shared" si="3"/>
        <v>1.2011813321792828E-2</v>
      </c>
      <c r="Q22" s="366">
        <f t="shared" si="7"/>
        <v>2.0447318860513813E-3</v>
      </c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</row>
    <row r="23" spans="1:63" ht="12.75" customHeight="1">
      <c r="A23" s="73" t="s">
        <v>17</v>
      </c>
      <c r="B23" s="94">
        <v>114053395.42999996</v>
      </c>
      <c r="C23" s="95">
        <v>16849440.399999999</v>
      </c>
      <c r="D23" s="95">
        <v>3487459.9400000004</v>
      </c>
      <c r="E23" s="95">
        <v>5942169.7300000004</v>
      </c>
      <c r="F23" s="95">
        <v>147574.87</v>
      </c>
      <c r="G23" s="95">
        <v>2505809.9700000002</v>
      </c>
      <c r="H23" s="95">
        <v>680804.28</v>
      </c>
      <c r="I23" s="94">
        <f t="shared" si="4"/>
        <v>143666654.61999995</v>
      </c>
      <c r="J23" s="94">
        <f t="shared" si="5"/>
        <v>145392351.65586194</v>
      </c>
      <c r="K23" s="94">
        <f>+'COEF Art 14 F I'!AH24</f>
        <v>131234142.07734632</v>
      </c>
      <c r="L23" s="94">
        <f t="shared" si="0"/>
        <v>14158209.578515619</v>
      </c>
      <c r="M23" s="94">
        <f t="shared" si="1"/>
        <v>0</v>
      </c>
      <c r="N23" s="94">
        <f t="shared" si="6"/>
        <v>0</v>
      </c>
      <c r="O23" s="94">
        <f t="shared" si="2"/>
        <v>145392351.65586194</v>
      </c>
      <c r="P23" s="96">
        <f t="shared" si="3"/>
        <v>1.2011813321793345E-2</v>
      </c>
      <c r="Q23" s="366">
        <f t="shared" si="7"/>
        <v>1.7932573053622333E-2</v>
      </c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</row>
    <row r="24" spans="1:63" ht="12.75" customHeight="1">
      <c r="A24" s="73" t="s">
        <v>18</v>
      </c>
      <c r="B24" s="94">
        <v>139890405.95999998</v>
      </c>
      <c r="C24" s="95">
        <v>20666417.229999997</v>
      </c>
      <c r="D24" s="95">
        <v>4277489.3999999994</v>
      </c>
      <c r="E24" s="95">
        <v>7288275.1599999983</v>
      </c>
      <c r="F24" s="95">
        <v>181005.63999999998</v>
      </c>
      <c r="G24" s="95">
        <v>3073461.9500000007</v>
      </c>
      <c r="H24" s="95">
        <v>835029.84000000032</v>
      </c>
      <c r="I24" s="94">
        <f t="shared" si="4"/>
        <v>176212085.17999995</v>
      </c>
      <c r="J24" s="94">
        <f t="shared" si="5"/>
        <v>178328711.85222605</v>
      </c>
      <c r="K24" s="94">
        <f>+'COEF Art 14 F I'!AH25</f>
        <v>237005467.65544802</v>
      </c>
      <c r="L24" s="94">
        <f t="shared" si="0"/>
        <v>0</v>
      </c>
      <c r="M24" s="94">
        <f t="shared" si="1"/>
        <v>58676755.803221971</v>
      </c>
      <c r="N24" s="94">
        <f t="shared" si="6"/>
        <v>58676755.803222112</v>
      </c>
      <c r="O24" s="94">
        <f t="shared" si="2"/>
        <v>178328711.8522259</v>
      </c>
      <c r="P24" s="96">
        <f t="shared" si="3"/>
        <v>1.2011813321792466E-2</v>
      </c>
      <c r="Q24" s="366">
        <f t="shared" si="7"/>
        <v>2.1994916626822951E-2</v>
      </c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</row>
    <row r="25" spans="1:63" ht="12.75" customHeight="1">
      <c r="A25" s="73" t="s">
        <v>19</v>
      </c>
      <c r="B25" s="94">
        <v>21921102.199999996</v>
      </c>
      <c r="C25" s="95">
        <v>3238468.27</v>
      </c>
      <c r="D25" s="95">
        <v>670291.01</v>
      </c>
      <c r="E25" s="95">
        <v>1142087.0899999999</v>
      </c>
      <c r="F25" s="95">
        <v>28363.940000000002</v>
      </c>
      <c r="G25" s="95">
        <v>481617.55</v>
      </c>
      <c r="H25" s="95">
        <v>130850.75999999997</v>
      </c>
      <c r="I25" s="94">
        <f t="shared" si="4"/>
        <v>27612780.82</v>
      </c>
      <c r="J25" s="94">
        <f t="shared" si="5"/>
        <v>27944460.388505436</v>
      </c>
      <c r="K25" s="94">
        <f>+'COEF Art 14 F I'!AH26</f>
        <v>27232348.059541076</v>
      </c>
      <c r="L25" s="94">
        <f t="shared" si="0"/>
        <v>712112.32896436006</v>
      </c>
      <c r="M25" s="94">
        <f t="shared" si="1"/>
        <v>0</v>
      </c>
      <c r="N25" s="94">
        <f t="shared" si="6"/>
        <v>0</v>
      </c>
      <c r="O25" s="94">
        <f t="shared" si="2"/>
        <v>27944460.388505436</v>
      </c>
      <c r="P25" s="96">
        <f t="shared" si="3"/>
        <v>1.2011813321793361E-2</v>
      </c>
      <c r="Q25" s="366">
        <f t="shared" si="7"/>
        <v>3.4466467572314362E-3</v>
      </c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</row>
    <row r="26" spans="1:63" ht="12.75" customHeight="1">
      <c r="A26" s="73" t="s">
        <v>20</v>
      </c>
      <c r="B26" s="94">
        <v>299648492.95999986</v>
      </c>
      <c r="C26" s="95">
        <v>44267944.899999991</v>
      </c>
      <c r="D26" s="95">
        <v>9162481.4399999995</v>
      </c>
      <c r="E26" s="95">
        <v>15611654.469999999</v>
      </c>
      <c r="F26" s="95">
        <v>387718.30000000005</v>
      </c>
      <c r="G26" s="95">
        <v>6583426.7300000004</v>
      </c>
      <c r="H26" s="95">
        <v>1788653.2799999996</v>
      </c>
      <c r="I26" s="94">
        <f t="shared" si="4"/>
        <v>377450372.07999986</v>
      </c>
      <c r="J26" s="94">
        <f t="shared" si="5"/>
        <v>381984235.48766625</v>
      </c>
      <c r="K26" s="94">
        <f>+'COEF Art 14 F I'!AH27</f>
        <v>338518407.13627297</v>
      </c>
      <c r="L26" s="94">
        <f t="shared" si="0"/>
        <v>43465828.351393282</v>
      </c>
      <c r="M26" s="94">
        <f t="shared" si="1"/>
        <v>0</v>
      </c>
      <c r="N26" s="94">
        <f t="shared" si="6"/>
        <v>0</v>
      </c>
      <c r="O26" s="94">
        <f t="shared" si="2"/>
        <v>381984235.48766625</v>
      </c>
      <c r="P26" s="96">
        <f t="shared" si="3"/>
        <v>1.2011813321793314E-2</v>
      </c>
      <c r="Q26" s="366">
        <f t="shared" si="7"/>
        <v>4.7113621385176031E-2</v>
      </c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</row>
    <row r="27" spans="1:63" s="1" customFormat="1" ht="12.75" customHeight="1">
      <c r="A27" s="73" t="s">
        <v>21</v>
      </c>
      <c r="B27" s="94">
        <v>44241967.469999991</v>
      </c>
      <c r="C27" s="95">
        <v>6535994.7699999996</v>
      </c>
      <c r="D27" s="95">
        <v>1352805.76</v>
      </c>
      <c r="E27" s="95">
        <v>2305001.75</v>
      </c>
      <c r="F27" s="95">
        <v>57245.14</v>
      </c>
      <c r="G27" s="95">
        <v>972018.05999999994</v>
      </c>
      <c r="H27" s="95">
        <v>264087.84000000003</v>
      </c>
      <c r="I27" s="94">
        <f t="shared" si="4"/>
        <v>55729120.789999999</v>
      </c>
      <c r="J27" s="94">
        <f t="shared" si="5"/>
        <v>56398528.585517153</v>
      </c>
      <c r="K27" s="94">
        <f>+'COEF Art 14 F I'!AH28</f>
        <v>53739018.540631518</v>
      </c>
      <c r="L27" s="94">
        <f t="shared" si="0"/>
        <v>2659510.0448856354</v>
      </c>
      <c r="M27" s="94">
        <f t="shared" si="1"/>
        <v>0</v>
      </c>
      <c r="N27" s="94">
        <f t="shared" si="6"/>
        <v>0</v>
      </c>
      <c r="O27" s="94">
        <f t="shared" si="2"/>
        <v>56398528.585517153</v>
      </c>
      <c r="P27" s="96">
        <f t="shared" si="3"/>
        <v>1.2011813321793373E-2</v>
      </c>
      <c r="Q27" s="366">
        <f t="shared" si="7"/>
        <v>6.9561481223611339E-3</v>
      </c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</row>
    <row r="28" spans="1:63" ht="12.75" customHeight="1">
      <c r="A28" s="73" t="s">
        <v>22</v>
      </c>
      <c r="B28" s="94">
        <v>7096430.4199999999</v>
      </c>
      <c r="C28" s="95">
        <v>1048376.3099999999</v>
      </c>
      <c r="D28" s="95">
        <v>216990.62</v>
      </c>
      <c r="E28" s="95">
        <v>369723.23999999987</v>
      </c>
      <c r="F28" s="95">
        <v>9182.14</v>
      </c>
      <c r="G28" s="95">
        <v>155912.12000000002</v>
      </c>
      <c r="H28" s="95">
        <v>42359.760000000009</v>
      </c>
      <c r="I28" s="94">
        <f t="shared" si="4"/>
        <v>8938974.6099999994</v>
      </c>
      <c r="J28" s="94">
        <f t="shared" si="5"/>
        <v>9046347.9043035693</v>
      </c>
      <c r="K28" s="94">
        <f>+'COEF Art 14 F I'!AH29</f>
        <v>13867598.843758713</v>
      </c>
      <c r="L28" s="94">
        <f t="shared" si="0"/>
        <v>0</v>
      </c>
      <c r="M28" s="94">
        <f t="shared" si="1"/>
        <v>4821250.9394551441</v>
      </c>
      <c r="N28" s="94">
        <f t="shared" si="6"/>
        <v>4821250.9394551562</v>
      </c>
      <c r="O28" s="94">
        <f t="shared" si="2"/>
        <v>9046347.9043035582</v>
      </c>
      <c r="P28" s="96">
        <f t="shared" si="3"/>
        <v>1.2011813321792037E-2</v>
      </c>
      <c r="Q28" s="366">
        <f t="shared" si="7"/>
        <v>1.1157691089995259E-3</v>
      </c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</row>
    <row r="29" spans="1:63" ht="12.75" customHeight="1">
      <c r="A29" s="73" t="s">
        <v>23</v>
      </c>
      <c r="B29" s="94">
        <v>32863508.580000002</v>
      </c>
      <c r="C29" s="95">
        <v>4855021.8699999992</v>
      </c>
      <c r="D29" s="95">
        <v>1004881.7299999999</v>
      </c>
      <c r="E29" s="95">
        <v>1712185.2700000003</v>
      </c>
      <c r="F29" s="95">
        <v>42522.45</v>
      </c>
      <c r="G29" s="95">
        <v>722027.67</v>
      </c>
      <c r="H29" s="95">
        <v>196167.95999999996</v>
      </c>
      <c r="I29" s="94">
        <f t="shared" si="4"/>
        <v>41396315.530000009</v>
      </c>
      <c r="J29" s="94">
        <f t="shared" si="5"/>
        <v>41893560.344356425</v>
      </c>
      <c r="K29" s="94">
        <f>+'COEF Art 14 F I'!AH30</f>
        <v>43813514.562108487</v>
      </c>
      <c r="L29" s="94">
        <f t="shared" si="0"/>
        <v>0</v>
      </c>
      <c r="M29" s="94">
        <f t="shared" si="1"/>
        <v>1919954.2177520618</v>
      </c>
      <c r="N29" s="94">
        <f t="shared" si="6"/>
        <v>1919954.2177520664</v>
      </c>
      <c r="O29" s="94">
        <f t="shared" si="2"/>
        <v>41893560.344356418</v>
      </c>
      <c r="P29" s="96">
        <f t="shared" si="3"/>
        <v>1.2011813321793205E-2</v>
      </c>
      <c r="Q29" s="366">
        <f t="shared" si="7"/>
        <v>5.1671172712695968E-3</v>
      </c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</row>
    <row r="30" spans="1:63" ht="12.75" customHeight="1">
      <c r="A30" s="73" t="s">
        <v>24</v>
      </c>
      <c r="B30" s="94">
        <v>32021360.150000002</v>
      </c>
      <c r="C30" s="95">
        <v>4730608.8600000003</v>
      </c>
      <c r="D30" s="95">
        <v>979130.96</v>
      </c>
      <c r="E30" s="95">
        <v>1668309.4500000004</v>
      </c>
      <c r="F30" s="95">
        <v>41432.769999999997</v>
      </c>
      <c r="G30" s="95">
        <v>703525.24999999988</v>
      </c>
      <c r="H30" s="95">
        <v>191141.04000000004</v>
      </c>
      <c r="I30" s="94">
        <f t="shared" si="4"/>
        <v>40335508.480000012</v>
      </c>
      <c r="J30" s="94">
        <f t="shared" si="5"/>
        <v>40820011.078101382</v>
      </c>
      <c r="K30" s="94">
        <f>+'COEF Art 14 F I'!AH31</f>
        <v>72599631.041200027</v>
      </c>
      <c r="L30" s="94">
        <f t="shared" si="0"/>
        <v>0</v>
      </c>
      <c r="M30" s="94">
        <f t="shared" si="1"/>
        <v>31779619.963098645</v>
      </c>
      <c r="N30" s="94">
        <f t="shared" si="6"/>
        <v>31779619.963098723</v>
      </c>
      <c r="O30" s="94">
        <f t="shared" si="2"/>
        <v>40820011.078101307</v>
      </c>
      <c r="P30" s="96">
        <f t="shared" si="3"/>
        <v>1.2011813321791435E-2</v>
      </c>
      <c r="Q30" s="366">
        <f t="shared" si="7"/>
        <v>5.0347065878703079E-3</v>
      </c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</row>
    <row r="31" spans="1:63" ht="12.75" customHeight="1">
      <c r="A31" s="73" t="s">
        <v>25</v>
      </c>
      <c r="B31" s="94">
        <v>512493199.22000003</v>
      </c>
      <c r="C31" s="95">
        <v>75712113.450000003</v>
      </c>
      <c r="D31" s="95">
        <v>15670725.99</v>
      </c>
      <c r="E31" s="95">
        <v>26700840.909999996</v>
      </c>
      <c r="F31" s="95">
        <v>663120.25000000012</v>
      </c>
      <c r="G31" s="95">
        <v>11259731.030000001</v>
      </c>
      <c r="H31" s="95">
        <v>3059159.8800000008</v>
      </c>
      <c r="I31" s="94">
        <f t="shared" si="4"/>
        <v>645558890.73000002</v>
      </c>
      <c r="J31" s="94">
        <f t="shared" si="5"/>
        <v>653313223.61367273</v>
      </c>
      <c r="K31" s="94">
        <f>+'COEF Art 14 F I'!AH32</f>
        <v>534346876.10052037</v>
      </c>
      <c r="L31" s="94">
        <f t="shared" si="0"/>
        <v>118966347.51315236</v>
      </c>
      <c r="M31" s="94">
        <f t="shared" si="1"/>
        <v>0</v>
      </c>
      <c r="N31" s="94">
        <f t="shared" si="6"/>
        <v>0</v>
      </c>
      <c r="O31" s="94">
        <f t="shared" si="2"/>
        <v>653313223.61367273</v>
      </c>
      <c r="P31" s="96">
        <f t="shared" si="3"/>
        <v>1.2011813321793291E-2</v>
      </c>
      <c r="Q31" s="366">
        <f t="shared" si="7"/>
        <v>8.0579115585667313E-2</v>
      </c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</row>
    <row r="32" spans="1:63" ht="12.75" customHeight="1">
      <c r="A32" s="73" t="s">
        <v>26</v>
      </c>
      <c r="B32" s="94">
        <v>13196489.440000005</v>
      </c>
      <c r="C32" s="95">
        <v>1949555.8299999996</v>
      </c>
      <c r="D32" s="95">
        <v>403514.75000000006</v>
      </c>
      <c r="E32" s="95">
        <v>687535.7200000002</v>
      </c>
      <c r="F32" s="95">
        <v>17075.079999999998</v>
      </c>
      <c r="G32" s="95">
        <v>289933.42</v>
      </c>
      <c r="H32" s="95">
        <v>78772.079999999973</v>
      </c>
      <c r="I32" s="94">
        <f t="shared" si="4"/>
        <v>16622876.320000006</v>
      </c>
      <c r="J32" s="94">
        <f t="shared" si="5"/>
        <v>16822547.207227103</v>
      </c>
      <c r="K32" s="94">
        <f>+'COEF Art 14 F I'!AH33</f>
        <v>5866754.6279414296</v>
      </c>
      <c r="L32" s="94">
        <f t="shared" si="0"/>
        <v>10955792.579285674</v>
      </c>
      <c r="M32" s="94">
        <f t="shared" si="1"/>
        <v>0</v>
      </c>
      <c r="N32" s="94">
        <f t="shared" si="6"/>
        <v>0</v>
      </c>
      <c r="O32" s="94">
        <f t="shared" si="2"/>
        <v>16822547.207227103</v>
      </c>
      <c r="P32" s="96">
        <f t="shared" si="3"/>
        <v>1.2011813321793244E-2</v>
      </c>
      <c r="Q32" s="366">
        <f t="shared" si="7"/>
        <v>2.0748791343278856E-3</v>
      </c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</row>
    <row r="33" spans="1:63" ht="12.75" customHeight="1">
      <c r="A33" s="73" t="s">
        <v>27</v>
      </c>
      <c r="B33" s="94">
        <v>22715715.980000004</v>
      </c>
      <c r="C33" s="95">
        <v>3355858.8999999994</v>
      </c>
      <c r="D33" s="95">
        <v>694588.26</v>
      </c>
      <c r="E33" s="95">
        <v>1183486.3899999999</v>
      </c>
      <c r="F33" s="95">
        <v>29392.100000000002</v>
      </c>
      <c r="G33" s="95">
        <v>499075.59</v>
      </c>
      <c r="H33" s="95">
        <v>135594</v>
      </c>
      <c r="I33" s="94">
        <f t="shared" si="4"/>
        <v>28613711.220000006</v>
      </c>
      <c r="J33" s="94">
        <f t="shared" si="5"/>
        <v>28957413.777618349</v>
      </c>
      <c r="K33" s="94">
        <f>+'COEF Art 14 F I'!AH34</f>
        <v>12975875.128574269</v>
      </c>
      <c r="L33" s="94">
        <f t="shared" si="0"/>
        <v>15981538.64904408</v>
      </c>
      <c r="M33" s="94">
        <f t="shared" si="1"/>
        <v>0</v>
      </c>
      <c r="N33" s="94">
        <f t="shared" si="6"/>
        <v>0</v>
      </c>
      <c r="O33" s="94">
        <f t="shared" si="2"/>
        <v>28957413.777618349</v>
      </c>
      <c r="P33" s="96">
        <f t="shared" si="3"/>
        <v>1.2011813321793295E-2</v>
      </c>
      <c r="Q33" s="366">
        <f t="shared" si="7"/>
        <v>3.5715835949901181E-3</v>
      </c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</row>
    <row r="34" spans="1:63" ht="12.75" customHeight="1">
      <c r="A34" s="73" t="s">
        <v>28</v>
      </c>
      <c r="B34" s="94">
        <v>13037091.569999998</v>
      </c>
      <c r="C34" s="95">
        <v>1926007.5099999998</v>
      </c>
      <c r="D34" s="95">
        <v>398640.79</v>
      </c>
      <c r="E34" s="95">
        <v>679231.07999999973</v>
      </c>
      <c r="F34" s="95">
        <v>16868.82</v>
      </c>
      <c r="G34" s="95">
        <v>286431.42</v>
      </c>
      <c r="H34" s="95">
        <v>77820.60000000002</v>
      </c>
      <c r="I34" s="94">
        <f t="shared" si="4"/>
        <v>16422091.789999997</v>
      </c>
      <c r="J34" s="94">
        <f t="shared" si="5"/>
        <v>16619350.890934832</v>
      </c>
      <c r="K34" s="94">
        <f>+'COEF Art 14 F I'!AH35</f>
        <v>5716060.2444882113</v>
      </c>
      <c r="L34" s="94">
        <f t="shared" si="0"/>
        <v>10903290.646446621</v>
      </c>
      <c r="M34" s="94">
        <f t="shared" si="1"/>
        <v>0</v>
      </c>
      <c r="N34" s="94">
        <f t="shared" si="6"/>
        <v>0</v>
      </c>
      <c r="O34" s="94">
        <f t="shared" si="2"/>
        <v>16619350.890934832</v>
      </c>
      <c r="P34" s="96">
        <f t="shared" si="3"/>
        <v>1.2011813321793349E-2</v>
      </c>
      <c r="Q34" s="366">
        <f t="shared" si="7"/>
        <v>2.0498170678254954E-3</v>
      </c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</row>
    <row r="35" spans="1:63" ht="12.75" customHeight="1">
      <c r="A35" s="73" t="s">
        <v>29</v>
      </c>
      <c r="B35" s="94">
        <v>18185303.399999999</v>
      </c>
      <c r="C35" s="95">
        <v>2686567.8599999994</v>
      </c>
      <c r="D35" s="95">
        <v>556059.87999999989</v>
      </c>
      <c r="E35" s="95">
        <v>947452.34000000008</v>
      </c>
      <c r="F35" s="95">
        <v>23530.159999999996</v>
      </c>
      <c r="G35" s="95">
        <v>399540.18</v>
      </c>
      <c r="H35" s="95">
        <v>108551.15999999997</v>
      </c>
      <c r="I35" s="94">
        <f t="shared" si="4"/>
        <v>22907004.979999997</v>
      </c>
      <c r="J35" s="94">
        <f t="shared" si="5"/>
        <v>23182159.647581149</v>
      </c>
      <c r="K35" s="94">
        <f>+'COEF Art 14 F I'!AH36</f>
        <v>14019817.585587336</v>
      </c>
      <c r="L35" s="94">
        <f t="shared" si="0"/>
        <v>9162342.0619938131</v>
      </c>
      <c r="M35" s="94">
        <f t="shared" si="1"/>
        <v>0</v>
      </c>
      <c r="N35" s="94">
        <f t="shared" si="6"/>
        <v>0</v>
      </c>
      <c r="O35" s="94">
        <f t="shared" si="2"/>
        <v>23182159.647581149</v>
      </c>
      <c r="P35" s="96">
        <f t="shared" si="3"/>
        <v>1.201181332179342E-2</v>
      </c>
      <c r="Q35" s="366">
        <f t="shared" si="7"/>
        <v>2.8592685013099435E-3</v>
      </c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</row>
    <row r="36" spans="1:63" ht="12.75" customHeight="1">
      <c r="A36" s="73" t="s">
        <v>30</v>
      </c>
      <c r="B36" s="94">
        <v>17116674.110000003</v>
      </c>
      <c r="C36" s="95">
        <v>2528696.1400000006</v>
      </c>
      <c r="D36" s="95">
        <v>523383.95</v>
      </c>
      <c r="E36" s="95">
        <v>891776.89000000013</v>
      </c>
      <c r="F36" s="95">
        <v>22147.440000000002</v>
      </c>
      <c r="G36" s="95">
        <v>376061.87</v>
      </c>
      <c r="H36" s="95">
        <v>102172.32</v>
      </c>
      <c r="I36" s="94">
        <f t="shared" si="4"/>
        <v>21560912.720000006</v>
      </c>
      <c r="J36" s="94">
        <f t="shared" si="5"/>
        <v>21819898.378640126</v>
      </c>
      <c r="K36" s="94">
        <f>+'COEF Art 14 F I'!AH37</f>
        <v>31438139.489584003</v>
      </c>
      <c r="L36" s="94">
        <f t="shared" si="0"/>
        <v>0</v>
      </c>
      <c r="M36" s="94">
        <f t="shared" si="1"/>
        <v>9618241.1109438762</v>
      </c>
      <c r="N36" s="94">
        <f t="shared" si="6"/>
        <v>9618241.1109439004</v>
      </c>
      <c r="O36" s="94">
        <f t="shared" si="2"/>
        <v>21819898.3786401</v>
      </c>
      <c r="P36" s="96">
        <f t="shared" si="3"/>
        <v>1.201181332179216E-2</v>
      </c>
      <c r="Q36" s="366">
        <f t="shared" si="7"/>
        <v>2.6912483169935927E-3</v>
      </c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</row>
    <row r="37" spans="1:63" ht="12.75" customHeight="1">
      <c r="A37" s="73" t="s">
        <v>31</v>
      </c>
      <c r="B37" s="94">
        <v>159003898.21000001</v>
      </c>
      <c r="C37" s="95">
        <v>23490109.129999999</v>
      </c>
      <c r="D37" s="95">
        <v>4861930.8899999997</v>
      </c>
      <c r="E37" s="95">
        <v>8284086.0999999996</v>
      </c>
      <c r="F37" s="95">
        <v>205736.78</v>
      </c>
      <c r="G37" s="95">
        <v>3493394.91</v>
      </c>
      <c r="H37" s="95">
        <v>949121.5199999999</v>
      </c>
      <c r="I37" s="94">
        <f t="shared" si="4"/>
        <v>200288277.53999999</v>
      </c>
      <c r="J37" s="94">
        <f t="shared" si="5"/>
        <v>202694102.94035402</v>
      </c>
      <c r="K37" s="94">
        <f>+'COEF Art 14 F I'!AH38</f>
        <v>279962167.79958397</v>
      </c>
      <c r="L37" s="94">
        <f t="shared" si="0"/>
        <v>0</v>
      </c>
      <c r="M37" s="94">
        <f t="shared" si="1"/>
        <v>77268064.859229952</v>
      </c>
      <c r="N37" s="94">
        <f t="shared" si="6"/>
        <v>77268064.859230146</v>
      </c>
      <c r="O37" s="94">
        <f t="shared" si="2"/>
        <v>202694102.94035381</v>
      </c>
      <c r="P37" s="96">
        <f t="shared" si="3"/>
        <v>1.2011813321792368E-2</v>
      </c>
      <c r="Q37" s="366">
        <f t="shared" si="7"/>
        <v>2.5000123920684864E-2</v>
      </c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</row>
    <row r="38" spans="1:63" ht="12.75" customHeight="1">
      <c r="A38" s="73" t="s">
        <v>32</v>
      </c>
      <c r="B38" s="94">
        <v>30986252.440000001</v>
      </c>
      <c r="C38" s="95">
        <v>4577689.37</v>
      </c>
      <c r="D38" s="95">
        <v>947480.03999999992</v>
      </c>
      <c r="E38" s="95">
        <v>1614380.4300000004</v>
      </c>
      <c r="F38" s="95">
        <v>40093.439999999995</v>
      </c>
      <c r="G38" s="95">
        <v>680783.39999999991</v>
      </c>
      <c r="H38" s="95">
        <v>184962.24</v>
      </c>
      <c r="I38" s="94">
        <f t="shared" si="4"/>
        <v>39031641.359999999</v>
      </c>
      <c r="J38" s="94">
        <f t="shared" si="5"/>
        <v>39500482.149659507</v>
      </c>
      <c r="K38" s="94">
        <f>+'COEF Art 14 F I'!AH39</f>
        <v>25285352.434962213</v>
      </c>
      <c r="L38" s="94">
        <f t="shared" si="0"/>
        <v>14215129.714697294</v>
      </c>
      <c r="M38" s="94">
        <f t="shared" si="1"/>
        <v>0</v>
      </c>
      <c r="N38" s="94">
        <f t="shared" si="6"/>
        <v>0</v>
      </c>
      <c r="O38" s="94">
        <f t="shared" si="2"/>
        <v>39500482.149659507</v>
      </c>
      <c r="P38" s="96">
        <f t="shared" si="3"/>
        <v>1.2011813321793331E-2</v>
      </c>
      <c r="Q38" s="366">
        <f t="shared" si="7"/>
        <v>4.8719569752795509E-3</v>
      </c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</row>
    <row r="39" spans="1:63" s="1" customFormat="1" ht="12.75" customHeight="1">
      <c r="A39" s="73" t="s">
        <v>33</v>
      </c>
      <c r="B39" s="94">
        <v>113608223.21000001</v>
      </c>
      <c r="C39" s="95">
        <v>16783673.820000004</v>
      </c>
      <c r="D39" s="95">
        <v>3473847.7300000004</v>
      </c>
      <c r="E39" s="95">
        <v>5918976.2900000019</v>
      </c>
      <c r="F39" s="95">
        <v>146998.86000000002</v>
      </c>
      <c r="G39" s="95">
        <v>2496029.2800000003</v>
      </c>
      <c r="H39" s="95">
        <v>678147</v>
      </c>
      <c r="I39" s="94">
        <f t="shared" si="4"/>
        <v>143105896.19000003</v>
      </c>
      <c r="J39" s="94">
        <f t="shared" si="5"/>
        <v>144824857.50028226</v>
      </c>
      <c r="K39" s="94">
        <f>+'COEF Art 14 F I'!AH40</f>
        <v>133998388.79544269</v>
      </c>
      <c r="L39" s="94">
        <f t="shared" si="0"/>
        <v>10826468.704839572</v>
      </c>
      <c r="M39" s="94">
        <f t="shared" si="1"/>
        <v>0</v>
      </c>
      <c r="N39" s="94">
        <f t="shared" si="6"/>
        <v>0</v>
      </c>
      <c r="O39" s="94">
        <f t="shared" si="2"/>
        <v>144824857.50028226</v>
      </c>
      <c r="P39" s="96">
        <f t="shared" si="3"/>
        <v>1.2011813321793434E-2</v>
      </c>
      <c r="Q39" s="366">
        <f t="shared" si="7"/>
        <v>1.7862578791293292E-2</v>
      </c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</row>
    <row r="40" spans="1:63" ht="12.75" customHeight="1">
      <c r="A40" s="73" t="s">
        <v>34</v>
      </c>
      <c r="B40" s="94">
        <v>24240160.689999998</v>
      </c>
      <c r="C40" s="95">
        <v>3581069.57</v>
      </c>
      <c r="D40" s="95">
        <v>741201.86</v>
      </c>
      <c r="E40" s="95">
        <v>1262909.7900000003</v>
      </c>
      <c r="F40" s="95">
        <v>31364.6</v>
      </c>
      <c r="G40" s="95">
        <v>532568.40999999992</v>
      </c>
      <c r="H40" s="95">
        <v>144693.72</v>
      </c>
      <c r="I40" s="94">
        <f t="shared" si="4"/>
        <v>30533968.639999997</v>
      </c>
      <c r="J40" s="94">
        <f t="shared" si="5"/>
        <v>30900736.97127717</v>
      </c>
      <c r="K40" s="94">
        <f>+'COEF Art 14 F I'!AH41</f>
        <v>19082093.0771848</v>
      </c>
      <c r="L40" s="94">
        <f t="shared" si="0"/>
        <v>11818643.89409237</v>
      </c>
      <c r="M40" s="94">
        <f t="shared" si="1"/>
        <v>0</v>
      </c>
      <c r="N40" s="94">
        <f t="shared" si="6"/>
        <v>0</v>
      </c>
      <c r="O40" s="94">
        <f t="shared" si="2"/>
        <v>30900736.97127717</v>
      </c>
      <c r="P40" s="96">
        <f t="shared" si="3"/>
        <v>1.2011813321793373E-2</v>
      </c>
      <c r="Q40" s="366">
        <f t="shared" si="7"/>
        <v>3.8112714791201665E-3</v>
      </c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</row>
    <row r="41" spans="1:63" ht="12.75" customHeight="1">
      <c r="A41" s="73" t="s">
        <v>35</v>
      </c>
      <c r="B41" s="94">
        <v>23299723.010000002</v>
      </c>
      <c r="C41" s="95">
        <v>3442135.9600000004</v>
      </c>
      <c r="D41" s="95">
        <v>712445.71</v>
      </c>
      <c r="E41" s="95">
        <v>1213913.06</v>
      </c>
      <c r="F41" s="95">
        <v>30147.759999999998</v>
      </c>
      <c r="G41" s="95">
        <v>511906.51999999996</v>
      </c>
      <c r="H41" s="95">
        <v>139080</v>
      </c>
      <c r="I41" s="94">
        <f t="shared" si="4"/>
        <v>29349352.020000003</v>
      </c>
      <c r="J41" s="94">
        <f t="shared" si="5"/>
        <v>29701890.95757984</v>
      </c>
      <c r="K41" s="94">
        <f>+'COEF Art 14 F I'!AH42</f>
        <v>2337844.9756900547</v>
      </c>
      <c r="L41" s="94">
        <f t="shared" si="0"/>
        <v>27364045.981889784</v>
      </c>
      <c r="M41" s="94">
        <f t="shared" si="1"/>
        <v>0</v>
      </c>
      <c r="N41" s="94">
        <f t="shared" si="6"/>
        <v>0</v>
      </c>
      <c r="O41" s="94">
        <f t="shared" si="2"/>
        <v>29701890.95757984</v>
      </c>
      <c r="P41" s="96">
        <f t="shared" si="3"/>
        <v>1.2011813321793284E-2</v>
      </c>
      <c r="Q41" s="366">
        <f t="shared" si="7"/>
        <v>3.6634067979603407E-3</v>
      </c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</row>
    <row r="42" spans="1:63" ht="12.75" customHeight="1">
      <c r="A42" s="73" t="s">
        <v>36</v>
      </c>
      <c r="B42" s="94">
        <v>24464426.359999999</v>
      </c>
      <c r="C42" s="95">
        <v>3614200.9799999995</v>
      </c>
      <c r="D42" s="95">
        <v>748059.33</v>
      </c>
      <c r="E42" s="95">
        <v>1274594.0100000002</v>
      </c>
      <c r="F42" s="95">
        <v>31654.780000000002</v>
      </c>
      <c r="G42" s="95">
        <v>537495.63</v>
      </c>
      <c r="H42" s="95">
        <v>146032.32000000001</v>
      </c>
      <c r="I42" s="94">
        <f t="shared" si="4"/>
        <v>30816463.41</v>
      </c>
      <c r="J42" s="94">
        <f t="shared" si="5"/>
        <v>31186625.015718795</v>
      </c>
      <c r="K42" s="94">
        <f>+'COEF Art 14 F I'!AH43</f>
        <v>58577704.276908405</v>
      </c>
      <c r="L42" s="94">
        <f t="shared" si="0"/>
        <v>0</v>
      </c>
      <c r="M42" s="94">
        <f t="shared" si="1"/>
        <v>27391079.26118961</v>
      </c>
      <c r="N42" s="94">
        <f t="shared" si="6"/>
        <v>27391079.261189677</v>
      </c>
      <c r="O42" s="94">
        <f t="shared" si="2"/>
        <v>31186625.015718728</v>
      </c>
      <c r="P42" s="96">
        <f t="shared" si="3"/>
        <v>1.201181332179117E-2</v>
      </c>
      <c r="Q42" s="366">
        <f t="shared" si="7"/>
        <v>3.8465326753503518E-3</v>
      </c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</row>
    <row r="43" spans="1:63" ht="12.75" customHeight="1">
      <c r="A43" s="73" t="s">
        <v>37</v>
      </c>
      <c r="B43" s="94">
        <v>34459204.980000004</v>
      </c>
      <c r="C43" s="95">
        <v>5090758.7399999993</v>
      </c>
      <c r="D43" s="95">
        <v>1053674</v>
      </c>
      <c r="E43" s="95">
        <v>1795320.8699999996</v>
      </c>
      <c r="F43" s="95">
        <v>44587.119999999995</v>
      </c>
      <c r="G43" s="95">
        <v>757085.92</v>
      </c>
      <c r="H43" s="95">
        <v>205692.96000000008</v>
      </c>
      <c r="I43" s="94">
        <f t="shared" si="4"/>
        <v>43406324.590000004</v>
      </c>
      <c r="J43" s="94">
        <f t="shared" si="5"/>
        <v>43927713.257960252</v>
      </c>
      <c r="K43" s="94">
        <f>+'COEF Art 14 F I'!AH44</f>
        <v>36406459.59007293</v>
      </c>
      <c r="L43" s="94">
        <f t="shared" si="0"/>
        <v>7521253.6678873226</v>
      </c>
      <c r="M43" s="94">
        <f t="shared" si="1"/>
        <v>0</v>
      </c>
      <c r="N43" s="94">
        <f t="shared" si="6"/>
        <v>0</v>
      </c>
      <c r="O43" s="94">
        <f t="shared" si="2"/>
        <v>43927713.257960252</v>
      </c>
      <c r="P43" s="96">
        <f t="shared" si="3"/>
        <v>1.2011813321793362E-2</v>
      </c>
      <c r="Q43" s="366">
        <f t="shared" si="7"/>
        <v>5.4180080183412211E-3</v>
      </c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</row>
    <row r="44" spans="1:63" s="1" customFormat="1" ht="12.75" customHeight="1">
      <c r="A44" s="73" t="s">
        <v>38</v>
      </c>
      <c r="B44" s="94">
        <v>80844476.999999985</v>
      </c>
      <c r="C44" s="95">
        <v>11943390.130000003</v>
      </c>
      <c r="D44" s="95">
        <v>2472016.5099999998</v>
      </c>
      <c r="E44" s="95">
        <v>4211988.58</v>
      </c>
      <c r="F44" s="95">
        <v>104605.51999999999</v>
      </c>
      <c r="G44" s="95">
        <v>1776193.46</v>
      </c>
      <c r="H44" s="95">
        <v>482574.59999999992</v>
      </c>
      <c r="I44" s="94">
        <f t="shared" si="4"/>
        <v>101835245.79999998</v>
      </c>
      <c r="J44" s="94">
        <f t="shared" si="5"/>
        <v>103058471.76212852</v>
      </c>
      <c r="K44" s="94">
        <f>+'COEF Art 14 F I'!AH45</f>
        <v>97890631.834339052</v>
      </c>
      <c r="L44" s="94">
        <f t="shared" si="0"/>
        <v>5167839.9277894646</v>
      </c>
      <c r="M44" s="94">
        <f t="shared" si="1"/>
        <v>0</v>
      </c>
      <c r="N44" s="94">
        <f t="shared" si="6"/>
        <v>0</v>
      </c>
      <c r="O44" s="94">
        <f t="shared" si="2"/>
        <v>103058471.76212852</v>
      </c>
      <c r="P44" s="96">
        <f t="shared" si="3"/>
        <v>1.20118133217933E-2</v>
      </c>
      <c r="Q44" s="366">
        <f t="shared" si="7"/>
        <v>1.2711147131339022E-2</v>
      </c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</row>
    <row r="45" spans="1:63" ht="12.75" customHeight="1">
      <c r="A45" s="73" t="s">
        <v>39</v>
      </c>
      <c r="B45" s="94">
        <v>1673093482.5799999</v>
      </c>
      <c r="C45" s="95">
        <v>247170974.37999997</v>
      </c>
      <c r="D45" s="95">
        <v>51158902.350000001</v>
      </c>
      <c r="E45" s="95">
        <v>87167991.600000009</v>
      </c>
      <c r="F45" s="95">
        <v>2164833.0099999998</v>
      </c>
      <c r="G45" s="95">
        <v>36758697.729999997</v>
      </c>
      <c r="H45" s="95">
        <v>9986982.0399999991</v>
      </c>
      <c r="I45" s="94">
        <f t="shared" si="4"/>
        <v>2107501863.6899996</v>
      </c>
      <c r="J45" s="94">
        <f t="shared" si="5"/>
        <v>2132816782.6519754</v>
      </c>
      <c r="K45" s="94">
        <f>+'COEF Art 14 F I'!AH46</f>
        <v>2128461991.8800926</v>
      </c>
      <c r="L45" s="94">
        <f t="shared" si="0"/>
        <v>4354790.7718827724</v>
      </c>
      <c r="M45" s="94">
        <f t="shared" si="1"/>
        <v>0</v>
      </c>
      <c r="N45" s="94">
        <f t="shared" si="6"/>
        <v>0</v>
      </c>
      <c r="O45" s="94">
        <f t="shared" si="2"/>
        <v>2132816782.6519754</v>
      </c>
      <c r="P45" s="96">
        <f t="shared" si="3"/>
        <v>1.2011813321793333E-2</v>
      </c>
      <c r="Q45" s="366">
        <f t="shared" si="7"/>
        <v>0.2630598675192159</v>
      </c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</row>
    <row r="46" spans="1:63" ht="12.75" customHeight="1">
      <c r="A46" s="73" t="s">
        <v>40</v>
      </c>
      <c r="B46" s="94">
        <v>8640862.4000000004</v>
      </c>
      <c r="C46" s="95">
        <v>1276539.7600000002</v>
      </c>
      <c r="D46" s="95">
        <v>264215.39</v>
      </c>
      <c r="E46" s="95">
        <v>450188.04</v>
      </c>
      <c r="F46" s="95">
        <v>11180.5</v>
      </c>
      <c r="G46" s="95">
        <v>189844.06</v>
      </c>
      <c r="H46" s="95">
        <v>51578.75999999998</v>
      </c>
      <c r="I46" s="94">
        <f t="shared" si="4"/>
        <v>10884408.91</v>
      </c>
      <c r="J46" s="94">
        <f t="shared" si="5"/>
        <v>11015150.397944985</v>
      </c>
      <c r="K46" s="94">
        <f>+'COEF Art 14 F I'!AH47</f>
        <v>22101862.738740057</v>
      </c>
      <c r="L46" s="94">
        <f t="shared" si="0"/>
        <v>0</v>
      </c>
      <c r="M46" s="94">
        <f t="shared" si="1"/>
        <v>11086712.340795072</v>
      </c>
      <c r="N46" s="94">
        <f t="shared" si="6"/>
        <v>11086712.3407951</v>
      </c>
      <c r="O46" s="94">
        <f t="shared" si="2"/>
        <v>11015150.397944957</v>
      </c>
      <c r="P46" s="96">
        <f t="shared" si="3"/>
        <v>1.2011813321790835E-2</v>
      </c>
      <c r="Q46" s="366">
        <f t="shared" si="7"/>
        <v>1.3585995890301771E-3</v>
      </c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</row>
    <row r="47" spans="1:63" s="1" customFormat="1" ht="12.75" customHeight="1">
      <c r="A47" s="73" t="s">
        <v>41</v>
      </c>
      <c r="B47" s="94">
        <v>36380011.600000001</v>
      </c>
      <c r="C47" s="95">
        <v>5374525.1199999992</v>
      </c>
      <c r="D47" s="95">
        <v>1112407.3199999998</v>
      </c>
      <c r="E47" s="95">
        <v>1895394.74</v>
      </c>
      <c r="F47" s="95">
        <v>47072.480000000003</v>
      </c>
      <c r="G47" s="95">
        <v>799286.98999999987</v>
      </c>
      <c r="H47" s="95">
        <v>217158.48000000007</v>
      </c>
      <c r="I47" s="94">
        <f t="shared" si="4"/>
        <v>45825856.729999997</v>
      </c>
      <c r="J47" s="94">
        <f t="shared" si="5"/>
        <v>46376308.366352007</v>
      </c>
      <c r="K47" s="94">
        <f>+'COEF Art 14 F I'!AH48</f>
        <v>77955663.463618368</v>
      </c>
      <c r="L47" s="94">
        <f t="shared" si="0"/>
        <v>0</v>
      </c>
      <c r="M47" s="94">
        <f t="shared" si="1"/>
        <v>31579355.097266361</v>
      </c>
      <c r="N47" s="94">
        <f t="shared" si="6"/>
        <v>31579355.097266439</v>
      </c>
      <c r="O47" s="94">
        <f t="shared" si="2"/>
        <v>46376308.366351932</v>
      </c>
      <c r="P47" s="96">
        <f t="shared" si="3"/>
        <v>1.2011813321791782E-2</v>
      </c>
      <c r="Q47" s="366">
        <f t="shared" si="7"/>
        <v>5.7200157247982181E-3</v>
      </c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</row>
    <row r="48" spans="1:63" ht="12.75" customHeight="1">
      <c r="A48" s="73" t="s">
        <v>42</v>
      </c>
      <c r="B48" s="94">
        <v>18327006.490000002</v>
      </c>
      <c r="C48" s="95">
        <v>2707502.0599999996</v>
      </c>
      <c r="D48" s="95">
        <v>560392.80000000005</v>
      </c>
      <c r="E48" s="95">
        <v>954835.08000000007</v>
      </c>
      <c r="F48" s="95">
        <v>23713.5</v>
      </c>
      <c r="G48" s="95">
        <v>402653.45</v>
      </c>
      <c r="H48" s="95">
        <v>109397.04</v>
      </c>
      <c r="I48" s="94">
        <f t="shared" si="4"/>
        <v>23085500.419999998</v>
      </c>
      <c r="J48" s="94">
        <f t="shared" si="5"/>
        <v>23362799.141485222</v>
      </c>
      <c r="K48" s="94">
        <f>+'COEF Art 14 F I'!AH49</f>
        <v>21522855.695258118</v>
      </c>
      <c r="L48" s="94">
        <f t="shared" si="0"/>
        <v>1839943.4462271035</v>
      </c>
      <c r="M48" s="94">
        <f t="shared" si="1"/>
        <v>0</v>
      </c>
      <c r="N48" s="94">
        <f t="shared" si="6"/>
        <v>0</v>
      </c>
      <c r="O48" s="94">
        <f t="shared" si="2"/>
        <v>23362799.141485222</v>
      </c>
      <c r="P48" s="96">
        <f t="shared" si="3"/>
        <v>1.2011813321793421E-2</v>
      </c>
      <c r="Q48" s="366">
        <f t="shared" si="7"/>
        <v>2.8815484278941943E-3</v>
      </c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</row>
    <row r="49" spans="1:63" ht="12.75" customHeight="1">
      <c r="A49" s="73" t="s">
        <v>43</v>
      </c>
      <c r="B49" s="94">
        <v>20536773.130000003</v>
      </c>
      <c r="C49" s="95">
        <v>3033957.3300000005</v>
      </c>
      <c r="D49" s="95">
        <v>627961.79000000015</v>
      </c>
      <c r="E49" s="95">
        <v>1069963.7</v>
      </c>
      <c r="F49" s="95">
        <v>26572.749999999996</v>
      </c>
      <c r="G49" s="95">
        <v>451203.14000000007</v>
      </c>
      <c r="H49" s="95">
        <v>122587.56000000001</v>
      </c>
      <c r="I49" s="94">
        <f t="shared" si="4"/>
        <v>25869019.400000002</v>
      </c>
      <c r="J49" s="94">
        <f t="shared" si="5"/>
        <v>26179753.231850654</v>
      </c>
      <c r="K49" s="94">
        <f>+'COEF Art 14 F I'!AH50</f>
        <v>13489796.652746197</v>
      </c>
      <c r="L49" s="94">
        <f t="shared" si="0"/>
        <v>12689956.579104457</v>
      </c>
      <c r="M49" s="94">
        <f t="shared" si="1"/>
        <v>0</v>
      </c>
      <c r="N49" s="94">
        <f t="shared" si="6"/>
        <v>0</v>
      </c>
      <c r="O49" s="94">
        <f t="shared" si="2"/>
        <v>26179753.231850654</v>
      </c>
      <c r="P49" s="96">
        <f t="shared" si="3"/>
        <v>1.2011813321793388E-2</v>
      </c>
      <c r="Q49" s="366">
        <f t="shared" si="7"/>
        <v>3.2289892281760824E-3</v>
      </c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</row>
    <row r="50" spans="1:63" ht="12.75" customHeight="1">
      <c r="A50" s="73" t="s">
        <v>44</v>
      </c>
      <c r="B50" s="94">
        <v>59087516.599999994</v>
      </c>
      <c r="C50" s="95">
        <v>8729170.9900000002</v>
      </c>
      <c r="D50" s="95">
        <v>1806744.53</v>
      </c>
      <c r="E50" s="95">
        <v>3078453.2899999996</v>
      </c>
      <c r="F50" s="95">
        <v>76453.959999999992</v>
      </c>
      <c r="G50" s="95">
        <v>1298182.18</v>
      </c>
      <c r="H50" s="95">
        <v>352703.52</v>
      </c>
      <c r="I50" s="94">
        <f t="shared" si="4"/>
        <v>74429225.069999993</v>
      </c>
      <c r="J50" s="94">
        <f t="shared" si="5"/>
        <v>75323255.027226567</v>
      </c>
      <c r="K50" s="94">
        <f>+'COEF Art 14 F I'!AH51</f>
        <v>50344363.266690239</v>
      </c>
      <c r="L50" s="94">
        <f t="shared" si="0"/>
        <v>24978891.760536328</v>
      </c>
      <c r="M50" s="94">
        <f t="shared" si="1"/>
        <v>0</v>
      </c>
      <c r="N50" s="94">
        <f t="shared" si="6"/>
        <v>0</v>
      </c>
      <c r="O50" s="94">
        <f t="shared" si="2"/>
        <v>75323255.027226567</v>
      </c>
      <c r="P50" s="96">
        <f t="shared" si="3"/>
        <v>1.2011813321793255E-2</v>
      </c>
      <c r="Q50" s="366">
        <f t="shared" si="7"/>
        <v>9.2903083142194063E-3</v>
      </c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</row>
    <row r="51" spans="1:63" ht="12.75" customHeight="1">
      <c r="A51" s="73" t="s">
        <v>45</v>
      </c>
      <c r="B51" s="94">
        <v>50847905.830000006</v>
      </c>
      <c r="C51" s="95">
        <v>7511909.2699999977</v>
      </c>
      <c r="D51" s="95">
        <v>1554798.39</v>
      </c>
      <c r="E51" s="95">
        <v>2649170.4499999993</v>
      </c>
      <c r="F51" s="95">
        <v>65792.62</v>
      </c>
      <c r="G51" s="95">
        <v>1117153.83</v>
      </c>
      <c r="H51" s="95">
        <v>303519.84000000003</v>
      </c>
      <c r="I51" s="94">
        <f t="shared" si="4"/>
        <v>64050250.229999997</v>
      </c>
      <c r="J51" s="94">
        <f t="shared" si="5"/>
        <v>64819609.878976911</v>
      </c>
      <c r="K51" s="94">
        <f>+'COEF Art 14 F I'!AH52</f>
        <v>78822425.587339148</v>
      </c>
      <c r="L51" s="94">
        <f t="shared" si="0"/>
        <v>0</v>
      </c>
      <c r="M51" s="94">
        <f t="shared" si="1"/>
        <v>14002815.708362237</v>
      </c>
      <c r="N51" s="94">
        <f t="shared" si="6"/>
        <v>14002815.70836227</v>
      </c>
      <c r="O51" s="94">
        <f t="shared" si="2"/>
        <v>64819609.878976882</v>
      </c>
      <c r="P51" s="96">
        <f t="shared" si="3"/>
        <v>1.2011813321792932E-2</v>
      </c>
      <c r="Q51" s="366">
        <f t="shared" si="7"/>
        <v>7.994797361922908E-3</v>
      </c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</row>
    <row r="52" spans="1:63" ht="12.75" customHeight="1">
      <c r="A52" s="73" t="s">
        <v>46</v>
      </c>
      <c r="B52" s="94">
        <v>460099828.91000009</v>
      </c>
      <c r="C52" s="95">
        <v>67971888.239999995</v>
      </c>
      <c r="D52" s="95">
        <v>14068671.27</v>
      </c>
      <c r="E52" s="95">
        <v>23971151.900000002</v>
      </c>
      <c r="F52" s="95">
        <v>595327.93999999994</v>
      </c>
      <c r="G52" s="95">
        <v>10108622.569999998</v>
      </c>
      <c r="H52" s="95">
        <v>2746414.7999999993</v>
      </c>
      <c r="I52" s="94">
        <f t="shared" si="4"/>
        <v>579561905.63000011</v>
      </c>
      <c r="J52" s="94">
        <f t="shared" si="5"/>
        <v>586523495.04885054</v>
      </c>
      <c r="K52" s="94">
        <f>+'COEF Art 14 F I'!AH53</f>
        <v>557630551.15038991</v>
      </c>
      <c r="L52" s="94">
        <f t="shared" si="0"/>
        <v>28892943.898460627</v>
      </c>
      <c r="M52" s="94">
        <f t="shared" si="1"/>
        <v>0</v>
      </c>
      <c r="N52" s="94">
        <f t="shared" si="6"/>
        <v>0</v>
      </c>
      <c r="O52" s="94">
        <f t="shared" si="2"/>
        <v>586523495.04885054</v>
      </c>
      <c r="P52" s="96">
        <f t="shared" si="3"/>
        <v>1.201181332179343E-2</v>
      </c>
      <c r="Q52" s="366">
        <f t="shared" si="7"/>
        <v>7.2341325405650025E-2</v>
      </c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</row>
    <row r="53" spans="1:63" ht="12.75" customHeight="1">
      <c r="A53" s="73" t="s">
        <v>47</v>
      </c>
      <c r="B53" s="94">
        <v>889030126.80000007</v>
      </c>
      <c r="C53" s="95">
        <v>131339010.85000001</v>
      </c>
      <c r="D53" s="95">
        <v>27184258.32</v>
      </c>
      <c r="E53" s="95">
        <v>46318374.57</v>
      </c>
      <c r="F53" s="95">
        <v>1150325.31</v>
      </c>
      <c r="G53" s="95">
        <v>19532435</v>
      </c>
      <c r="H53" s="95">
        <v>5306773.32</v>
      </c>
      <c r="I53" s="94">
        <f t="shared" si="4"/>
        <v>1119861304.1700001</v>
      </c>
      <c r="J53" s="94">
        <f t="shared" si="5"/>
        <v>1133312869.1019902</v>
      </c>
      <c r="K53" s="94">
        <f>+'COEF Art 14 F I'!AH54</f>
        <v>1084488514.5792906</v>
      </c>
      <c r="L53" s="94">
        <f t="shared" si="0"/>
        <v>48824354.522699594</v>
      </c>
      <c r="M53" s="94">
        <f t="shared" si="1"/>
        <v>0</v>
      </c>
      <c r="N53" s="94">
        <f t="shared" si="6"/>
        <v>0</v>
      </c>
      <c r="O53" s="94">
        <f t="shared" si="2"/>
        <v>1133312869.1019902</v>
      </c>
      <c r="P53" s="96">
        <f t="shared" si="3"/>
        <v>1.2011813321793408E-2</v>
      </c>
      <c r="Q53" s="366">
        <f t="shared" si="7"/>
        <v>0.13978187701293962</v>
      </c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</row>
    <row r="54" spans="1:63" s="1" customFormat="1" ht="12.75" customHeight="1">
      <c r="A54" s="73" t="s">
        <v>48</v>
      </c>
      <c r="B54" s="94">
        <v>239562344.57999995</v>
      </c>
      <c r="C54" s="95">
        <v>35391243.140000008</v>
      </c>
      <c r="D54" s="95">
        <v>7325201.3199999984</v>
      </c>
      <c r="E54" s="95">
        <v>12481172.560000001</v>
      </c>
      <c r="F54" s="95">
        <v>309972.21000000002</v>
      </c>
      <c r="G54" s="95">
        <v>5263304.1199999992</v>
      </c>
      <c r="H54" s="95">
        <v>1429988.76</v>
      </c>
      <c r="I54" s="94">
        <f t="shared" si="4"/>
        <v>301763226.68999994</v>
      </c>
      <c r="J54" s="94">
        <f t="shared" si="5"/>
        <v>305387950.23638225</v>
      </c>
      <c r="K54" s="94">
        <f>+'COEF Art 14 F I'!AH55</f>
        <v>284926520.89312279</v>
      </c>
      <c r="L54" s="94">
        <f t="shared" si="0"/>
        <v>20461429.343259454</v>
      </c>
      <c r="M54" s="94">
        <f t="shared" si="1"/>
        <v>0</v>
      </c>
      <c r="N54" s="94">
        <f t="shared" si="6"/>
        <v>0</v>
      </c>
      <c r="O54" s="94">
        <f t="shared" si="2"/>
        <v>305387950.23638225</v>
      </c>
      <c r="P54" s="96">
        <f t="shared" si="3"/>
        <v>1.2011813321793416E-2</v>
      </c>
      <c r="Q54" s="366">
        <f t="shared" si="7"/>
        <v>3.7666298570314845E-2</v>
      </c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</row>
    <row r="55" spans="1:63" s="1" customFormat="1" ht="12.75" customHeight="1">
      <c r="A55" s="73" t="s">
        <v>49</v>
      </c>
      <c r="B55" s="94">
        <v>76359741.650000021</v>
      </c>
      <c r="C55" s="95">
        <v>11280847.090000002</v>
      </c>
      <c r="D55" s="95">
        <v>2334884.8199999998</v>
      </c>
      <c r="E55" s="95">
        <v>3978334.3599999989</v>
      </c>
      <c r="F55" s="95">
        <v>98802.669999999984</v>
      </c>
      <c r="G55" s="95">
        <v>1677661.5900000003</v>
      </c>
      <c r="H55" s="95">
        <v>455804.40000000008</v>
      </c>
      <c r="I55" s="94">
        <f t="shared" si="4"/>
        <v>96186076.580000028</v>
      </c>
      <c r="J55" s="94">
        <f t="shared" si="5"/>
        <v>97341445.776034713</v>
      </c>
      <c r="K55" s="94">
        <f>+'COEF Art 14 F I'!AH56</f>
        <v>148331901.02840161</v>
      </c>
      <c r="L55" s="94">
        <f t="shared" si="0"/>
        <v>0</v>
      </c>
      <c r="M55" s="94">
        <f t="shared" si="1"/>
        <v>50990455.2523669</v>
      </c>
      <c r="N55" s="94">
        <f t="shared" si="6"/>
        <v>50990455.252367027</v>
      </c>
      <c r="O55" s="94">
        <f t="shared" si="2"/>
        <v>97341445.776034594</v>
      </c>
      <c r="P55" s="96">
        <f t="shared" si="3"/>
        <v>1.2011813321792164E-2</v>
      </c>
      <c r="Q55" s="366">
        <f t="shared" si="7"/>
        <v>1.2006013849034394E-2</v>
      </c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</row>
    <row r="56" spans="1:63" ht="12.75" customHeight="1">
      <c r="A56" s="73" t="s">
        <v>50</v>
      </c>
      <c r="B56" s="94">
        <v>15342654.370000001</v>
      </c>
      <c r="C56" s="95">
        <v>2266615.0499999998</v>
      </c>
      <c r="D56" s="95">
        <v>469138.98000000004</v>
      </c>
      <c r="E56" s="95">
        <v>799350.69000000006</v>
      </c>
      <c r="F56" s="95">
        <v>19852.02</v>
      </c>
      <c r="G56" s="95">
        <v>337085.74999999994</v>
      </c>
      <c r="H56" s="95">
        <v>91582.920000000027</v>
      </c>
      <c r="I56" s="94">
        <f t="shared" si="4"/>
        <v>19326279.780000005</v>
      </c>
      <c r="J56" s="94">
        <f t="shared" si="5"/>
        <v>19558423.444922116</v>
      </c>
      <c r="K56" s="94">
        <f>+'COEF Art 14 F I'!AH57</f>
        <v>31447563.967964448</v>
      </c>
      <c r="L56" s="94">
        <f t="shared" si="0"/>
        <v>0</v>
      </c>
      <c r="M56" s="94">
        <f t="shared" si="1"/>
        <v>11889140.523042332</v>
      </c>
      <c r="N56" s="94">
        <f t="shared" si="6"/>
        <v>11889140.523042362</v>
      </c>
      <c r="O56" s="94">
        <f t="shared" si="2"/>
        <v>19558423.444922086</v>
      </c>
      <c r="P56" s="96">
        <f t="shared" si="3"/>
        <v>1.2011813321791871E-2</v>
      </c>
      <c r="Q56" s="366">
        <f t="shared" si="7"/>
        <v>2.4123198589559658E-3</v>
      </c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</row>
    <row r="57" spans="1:63" ht="12.75" customHeight="1">
      <c r="A57" s="73" t="s">
        <v>51</v>
      </c>
      <c r="B57" s="94">
        <v>21137744.940000005</v>
      </c>
      <c r="C57" s="95">
        <v>3122740.67</v>
      </c>
      <c r="D57" s="95">
        <v>646337.98</v>
      </c>
      <c r="E57" s="95">
        <v>1101274.25</v>
      </c>
      <c r="F57" s="95">
        <v>27350.35</v>
      </c>
      <c r="G57" s="95">
        <v>464406.77999999997</v>
      </c>
      <c r="H57" s="95">
        <v>126174.84000000003</v>
      </c>
      <c r="I57" s="94">
        <f t="shared" si="4"/>
        <v>26626029.81000001</v>
      </c>
      <c r="J57" s="94">
        <f t="shared" si="5"/>
        <v>26945856.709578235</v>
      </c>
      <c r="K57" s="94">
        <f>+'COEF Art 14 F I'!AH58</f>
        <v>19107621.278108276</v>
      </c>
      <c r="L57" s="94">
        <f t="shared" si="0"/>
        <v>7838235.4314699583</v>
      </c>
      <c r="M57" s="94">
        <f t="shared" si="1"/>
        <v>0</v>
      </c>
      <c r="N57" s="94">
        <f t="shared" si="6"/>
        <v>0</v>
      </c>
      <c r="O57" s="94">
        <f t="shared" si="2"/>
        <v>26945856.709578235</v>
      </c>
      <c r="P57" s="96">
        <f t="shared" si="3"/>
        <v>1.2011813321793345E-2</v>
      </c>
      <c r="Q57" s="366">
        <f t="shared" si="7"/>
        <v>3.3234798009230022E-3</v>
      </c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</row>
    <row r="58" spans="1:63" s="23" customFormat="1" ht="16.5" customHeight="1" thickBot="1">
      <c r="A58" s="97" t="s">
        <v>52</v>
      </c>
      <c r="B58" s="98">
        <f>SUM(B7:B57)</f>
        <v>6360124401.3299999</v>
      </c>
      <c r="C58" s="98">
        <f t="shared" ref="C58:I58" si="8">SUM(C7:C57)</f>
        <v>939599707.75999987</v>
      </c>
      <c r="D58" s="98">
        <f t="shared" si="8"/>
        <v>194476272.03999993</v>
      </c>
      <c r="E58" s="98">
        <f t="shared" si="8"/>
        <v>331361801.39999998</v>
      </c>
      <c r="F58" s="98">
        <f t="shared" si="8"/>
        <v>8229430.8999999994</v>
      </c>
      <c r="G58" s="98">
        <f t="shared" si="8"/>
        <v>139735103.19000003</v>
      </c>
      <c r="H58" s="98">
        <f t="shared" si="8"/>
        <v>37964673.400000006</v>
      </c>
      <c r="I58" s="98">
        <f t="shared" si="8"/>
        <v>8011491390.0199976</v>
      </c>
      <c r="J58" s="98">
        <f t="shared" ref="J58:O58" si="9">SUM(J7:J57)</f>
        <v>8107723929.0260754</v>
      </c>
      <c r="K58" s="98">
        <f t="shared" si="9"/>
        <v>8107723929.0260725</v>
      </c>
      <c r="L58" s="98">
        <f t="shared" si="9"/>
        <v>560748051.38164997</v>
      </c>
      <c r="M58" s="98">
        <f t="shared" si="9"/>
        <v>560748051.38164866</v>
      </c>
      <c r="N58" s="98">
        <f t="shared" si="9"/>
        <v>560748051.38165009</v>
      </c>
      <c r="O58" s="98">
        <f t="shared" si="9"/>
        <v>8107723929.0260735</v>
      </c>
      <c r="P58" s="99">
        <f t="shared" si="3"/>
        <v>1.2011813321793467E-2</v>
      </c>
      <c r="Q58" s="100">
        <f>SUM(Q7:Q57)</f>
        <v>1.0000000000000002</v>
      </c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</row>
    <row r="59" spans="1:63" ht="15" thickTop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102"/>
      <c r="L59" s="103"/>
      <c r="M59" s="103"/>
      <c r="N59" s="103"/>
      <c r="O59" s="104"/>
      <c r="P59" s="103"/>
      <c r="Q59" s="105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</row>
    <row r="60" spans="1:63">
      <c r="A60" s="106" t="s">
        <v>178</v>
      </c>
      <c r="B60" s="106"/>
      <c r="C60" s="106"/>
      <c r="D60" s="106"/>
      <c r="E60" s="106"/>
      <c r="F60" s="106"/>
      <c r="G60" s="106"/>
      <c r="H60" s="106"/>
      <c r="I60" s="107">
        <v>3.15E-2</v>
      </c>
      <c r="J60" s="80"/>
      <c r="K60" s="108"/>
      <c r="L60" s="80"/>
      <c r="M60" s="80"/>
      <c r="N60" s="80"/>
      <c r="O60" s="80"/>
      <c r="P60" s="80"/>
      <c r="Q60" s="82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</row>
    <row r="61" spans="1:63">
      <c r="A61" s="106" t="s">
        <v>183</v>
      </c>
      <c r="B61" s="106"/>
      <c r="C61" s="106"/>
      <c r="D61" s="106"/>
      <c r="E61" s="106"/>
      <c r="F61" s="106"/>
      <c r="G61" s="106"/>
      <c r="H61" s="106"/>
      <c r="I61" s="107">
        <f>+(K58-I58)/I58</f>
        <v>1.2011813321793347E-2</v>
      </c>
      <c r="J61" s="80"/>
      <c r="K61" s="109"/>
      <c r="L61" s="80"/>
      <c r="M61" s="80"/>
      <c r="N61" s="80"/>
      <c r="O61" s="80"/>
      <c r="P61" s="80"/>
      <c r="Q61" s="82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</row>
    <row r="62" spans="1:63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2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</row>
    <row r="63" spans="1:63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2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</row>
    <row r="64" spans="1:63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2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</row>
    <row r="65" spans="1:63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110"/>
      <c r="O65" s="80"/>
      <c r="P65" s="80"/>
      <c r="Q65" s="82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</row>
    <row r="66" spans="1:63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2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</row>
    <row r="67" spans="1:63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2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</row>
    <row r="68" spans="1:63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2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</row>
    <row r="69" spans="1:63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2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</row>
    <row r="70" spans="1:63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2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</row>
    <row r="71" spans="1:63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2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</row>
    <row r="72" spans="1:63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2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</row>
    <row r="73" spans="1:63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2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</row>
    <row r="74" spans="1:63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2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</row>
    <row r="75" spans="1:63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2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</row>
    <row r="76" spans="1:63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2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</row>
    <row r="77" spans="1:63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2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</row>
    <row r="78" spans="1:63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2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</row>
    <row r="79" spans="1:63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2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</row>
    <row r="80" spans="1:63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2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</row>
    <row r="81" spans="1:63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2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</row>
    <row r="82" spans="1:63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2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</row>
    <row r="83" spans="1:63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2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</row>
    <row r="84" spans="1:63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2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</row>
    <row r="85" spans="1:63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2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</row>
    <row r="86" spans="1:63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2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</row>
    <row r="87" spans="1:63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2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</row>
    <row r="88" spans="1:63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2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</row>
    <row r="89" spans="1:63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2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</row>
    <row r="90" spans="1:63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2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</row>
    <row r="91" spans="1:63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2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</row>
    <row r="92" spans="1:63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2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</row>
    <row r="93" spans="1:63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2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</row>
    <row r="94" spans="1:63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2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</row>
    <row r="95" spans="1:63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2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</row>
    <row r="96" spans="1:63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2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</row>
    <row r="97" spans="1:63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2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</row>
    <row r="98" spans="1:63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2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</row>
    <row r="99" spans="1:63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2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</row>
    <row r="100" spans="1:63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2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</row>
    <row r="101" spans="1:63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2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</row>
    <row r="102" spans="1:63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2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</row>
    <row r="103" spans="1:63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2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</row>
    <row r="104" spans="1:63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2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</row>
    <row r="105" spans="1:63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2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</row>
    <row r="106" spans="1:63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2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</row>
    <row r="107" spans="1:63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2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</row>
    <row r="108" spans="1:63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2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</row>
    <row r="109" spans="1:63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2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</row>
    <row r="110" spans="1:63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2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</row>
    <row r="111" spans="1:63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2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</row>
    <row r="112" spans="1:63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2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</row>
    <row r="113" spans="1:63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2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</row>
    <row r="114" spans="1:63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2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</row>
    <row r="115" spans="1:63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2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</row>
    <row r="116" spans="1:63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2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</row>
    <row r="117" spans="1:63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2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</row>
    <row r="118" spans="1:63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2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</row>
    <row r="119" spans="1:63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2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</row>
    <row r="120" spans="1:63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2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</row>
    <row r="121" spans="1:63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2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</row>
    <row r="122" spans="1:63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2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</row>
    <row r="123" spans="1:63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2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</row>
    <row r="124" spans="1:63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2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</row>
    <row r="125" spans="1:63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2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</row>
    <row r="126" spans="1:63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2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</row>
    <row r="127" spans="1:63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2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</row>
    <row r="128" spans="1:63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2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</row>
    <row r="129" spans="1:63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2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</row>
    <row r="130" spans="1:63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2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</row>
    <row r="131" spans="1:63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2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</row>
    <row r="132" spans="1:63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2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</row>
    <row r="133" spans="1:63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2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</row>
    <row r="134" spans="1:63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2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</row>
    <row r="135" spans="1:63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2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</row>
    <row r="136" spans="1:63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2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</row>
    <row r="137" spans="1:63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2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</row>
    <row r="138" spans="1:63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2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</row>
    <row r="139" spans="1:63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2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</row>
    <row r="140" spans="1:63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2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</row>
    <row r="141" spans="1:63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2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</row>
    <row r="142" spans="1:63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2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</row>
    <row r="143" spans="1:63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2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</row>
    <row r="144" spans="1:63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2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</row>
    <row r="145" spans="1:63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2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</row>
    <row r="146" spans="1:63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2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</row>
    <row r="147" spans="1:63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2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</row>
    <row r="148" spans="1:63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2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</row>
    <row r="149" spans="1:63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2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</row>
    <row r="150" spans="1:63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2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</row>
    <row r="151" spans="1:63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2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</row>
    <row r="152" spans="1:63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2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</row>
    <row r="153" spans="1:63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2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</row>
    <row r="154" spans="1:63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2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</row>
    <row r="155" spans="1:63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2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</row>
    <row r="156" spans="1:63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2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</row>
    <row r="157" spans="1:63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2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</row>
    <row r="158" spans="1:63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2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</row>
    <row r="159" spans="1:63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2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</row>
    <row r="160" spans="1:63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2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</row>
    <row r="161" spans="1:63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2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</row>
    <row r="162" spans="1:63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2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</row>
    <row r="163" spans="1:63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2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</row>
    <row r="164" spans="1:63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2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</row>
    <row r="165" spans="1:63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2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</row>
    <row r="166" spans="1:63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2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</row>
    <row r="167" spans="1:63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2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</row>
    <row r="168" spans="1:63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2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</row>
    <row r="169" spans="1:63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2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</row>
    <row r="170" spans="1:63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2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</row>
    <row r="171" spans="1:63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2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</row>
    <row r="172" spans="1:63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2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</row>
    <row r="173" spans="1:63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2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</row>
    <row r="174" spans="1:63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2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</row>
    <row r="175" spans="1:63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2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</row>
    <row r="176" spans="1:63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2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</row>
    <row r="177" spans="1:63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2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</row>
    <row r="178" spans="1:63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2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</row>
    <row r="179" spans="1:63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2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</row>
    <row r="180" spans="1:63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2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</row>
    <row r="181" spans="1:63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2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</row>
    <row r="182" spans="1:63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2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</row>
    <row r="183" spans="1:63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2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</row>
    <row r="184" spans="1:63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2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</row>
    <row r="185" spans="1:63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2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</row>
    <row r="186" spans="1:63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2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</row>
    <row r="187" spans="1:63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2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</row>
    <row r="188" spans="1:63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2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</row>
    <row r="189" spans="1:63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2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</row>
    <row r="190" spans="1:63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2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</row>
    <row r="191" spans="1:63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2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</row>
    <row r="192" spans="1:63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2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</row>
    <row r="193" spans="1:63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2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</row>
    <row r="194" spans="1:63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2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</row>
    <row r="195" spans="1:63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2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</row>
    <row r="196" spans="1:63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2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</row>
    <row r="197" spans="1:63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2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</row>
    <row r="198" spans="1:63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2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</row>
    <row r="199" spans="1:63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2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</row>
    <row r="200" spans="1:63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2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</row>
    <row r="201" spans="1:63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2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</row>
    <row r="202" spans="1:63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2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</row>
    <row r="203" spans="1:63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2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</row>
    <row r="204" spans="1:63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2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</row>
    <row r="205" spans="1:63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2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</row>
    <row r="206" spans="1:63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2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</row>
    <row r="207" spans="1:63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2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</row>
    <row r="208" spans="1:63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2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</row>
    <row r="209" spans="1:63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2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</row>
    <row r="210" spans="1:63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2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</row>
    <row r="211" spans="1:63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2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</row>
    <row r="212" spans="1:63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2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</row>
    <row r="213" spans="1:63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2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</row>
    <row r="214" spans="1:63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2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</row>
    <row r="215" spans="1:63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2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</row>
    <row r="216" spans="1:63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2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</row>
    <row r="217" spans="1:63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2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</row>
    <row r="218" spans="1:63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2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</row>
    <row r="219" spans="1:63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2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</row>
    <row r="220" spans="1:63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2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</row>
    <row r="221" spans="1:63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2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</row>
    <row r="222" spans="1:63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2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</row>
    <row r="223" spans="1:63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2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</row>
    <row r="224" spans="1:63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2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</row>
    <row r="225" spans="1:63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2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</row>
    <row r="226" spans="1:63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2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</row>
    <row r="227" spans="1:63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2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</row>
    <row r="228" spans="1:63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2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</row>
    <row r="229" spans="1:63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2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</row>
    <row r="230" spans="1:63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2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</row>
    <row r="231" spans="1:63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2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</row>
    <row r="232" spans="1:63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2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</row>
    <row r="233" spans="1:63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2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</row>
    <row r="234" spans="1:63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2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</row>
    <row r="235" spans="1:63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2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</row>
    <row r="236" spans="1:63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2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</row>
    <row r="237" spans="1:63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2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</row>
    <row r="238" spans="1:63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2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</row>
    <row r="239" spans="1:63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2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</row>
    <row r="240" spans="1:63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2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</row>
    <row r="241" spans="1:63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2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</row>
    <row r="242" spans="1:63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2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</row>
    <row r="243" spans="1:63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2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</row>
    <row r="244" spans="1:63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2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</row>
    <row r="245" spans="1:63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2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</row>
    <row r="246" spans="1:63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2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</row>
    <row r="247" spans="1:63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2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</row>
    <row r="248" spans="1:63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2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</row>
    <row r="249" spans="1:63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2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</row>
    <row r="250" spans="1:63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2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</row>
    <row r="251" spans="1:63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2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</row>
    <row r="252" spans="1:63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2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</row>
    <row r="253" spans="1:63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2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</row>
    <row r="254" spans="1:63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2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</row>
    <row r="255" spans="1:63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2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</row>
    <row r="256" spans="1:63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2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</row>
    <row r="257" spans="1:63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2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</row>
    <row r="258" spans="1:63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2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</row>
    <row r="259" spans="1:63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2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</row>
    <row r="260" spans="1:63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2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</row>
    <row r="261" spans="1:63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2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</row>
    <row r="262" spans="1:63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2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</row>
    <row r="263" spans="1:63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2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</row>
    <row r="264" spans="1:63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2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</row>
    <row r="265" spans="1:63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2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</row>
    <row r="266" spans="1:63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2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</row>
    <row r="267" spans="1:63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2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</row>
    <row r="268" spans="1:63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2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</row>
    <row r="269" spans="1:63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2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</row>
    <row r="270" spans="1:63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2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</row>
    <row r="271" spans="1:63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2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</row>
    <row r="272" spans="1:63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2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</row>
    <row r="273" spans="1:63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2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</row>
    <row r="274" spans="1:63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2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</row>
    <row r="275" spans="1:63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2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</row>
    <row r="276" spans="1:63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2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</row>
    <row r="277" spans="1:63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2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</row>
    <row r="278" spans="1:63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2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</row>
    <row r="279" spans="1:63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2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</row>
    <row r="280" spans="1:63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2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</row>
    <row r="281" spans="1:63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2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</row>
    <row r="282" spans="1:63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2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</row>
    <row r="283" spans="1:63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2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</row>
    <row r="284" spans="1:63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2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</row>
    <row r="285" spans="1:63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2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</row>
    <row r="286" spans="1:63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2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</row>
    <row r="287" spans="1:63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2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</row>
    <row r="288" spans="1:63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2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</row>
    <row r="289" spans="1:63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2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</row>
    <row r="290" spans="1:63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2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</row>
    <row r="291" spans="1:63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2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</row>
    <row r="292" spans="1:63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2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</row>
    <row r="293" spans="1:63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2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</row>
    <row r="294" spans="1:63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2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</row>
    <row r="295" spans="1:63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2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</row>
    <row r="296" spans="1:63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2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</row>
    <row r="297" spans="1:63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2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</row>
    <row r="298" spans="1:63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2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</row>
    <row r="299" spans="1:63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2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</row>
    <row r="300" spans="1:63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2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</row>
    <row r="301" spans="1:63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2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</row>
    <row r="302" spans="1:63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2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</row>
    <row r="303" spans="1:63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2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</row>
    <row r="304" spans="1:63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2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</row>
    <row r="305" spans="1:63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2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</row>
    <row r="306" spans="1:63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2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</row>
    <row r="307" spans="1:63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2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</row>
    <row r="308" spans="1:63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2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</row>
    <row r="309" spans="1:63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2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</row>
    <row r="310" spans="1:63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2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</row>
    <row r="311" spans="1:63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2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</row>
    <row r="312" spans="1:63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2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</row>
    <row r="313" spans="1:63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2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</row>
    <row r="314" spans="1:63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2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</row>
    <row r="315" spans="1:63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2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</row>
    <row r="316" spans="1:63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2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</row>
    <row r="317" spans="1:63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2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</row>
    <row r="318" spans="1:63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2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</row>
    <row r="319" spans="1:63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2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</row>
    <row r="320" spans="1:63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2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</row>
    <row r="321" spans="1:63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2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</row>
    <row r="322" spans="1:63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2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</row>
    <row r="323" spans="1:63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2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</row>
    <row r="324" spans="1:63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2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</row>
    <row r="325" spans="1:63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2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</row>
    <row r="326" spans="1:63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2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</row>
    <row r="327" spans="1:63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2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</row>
    <row r="328" spans="1:63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2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</row>
    <row r="329" spans="1:63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2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</row>
    <row r="330" spans="1:63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2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</row>
    <row r="331" spans="1:63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2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</row>
    <row r="332" spans="1:63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2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</row>
    <row r="333" spans="1:63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2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</row>
    <row r="334" spans="1:63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2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</row>
    <row r="335" spans="1:63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2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</row>
    <row r="336" spans="1:63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2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</row>
    <row r="337" spans="1:63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2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</row>
    <row r="338" spans="1:63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2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</row>
    <row r="339" spans="1:63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2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</row>
    <row r="340" spans="1:63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2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</row>
    <row r="341" spans="1:63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2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</row>
    <row r="342" spans="1:63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2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</row>
    <row r="343" spans="1:63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2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</row>
    <row r="344" spans="1:63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2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</row>
    <row r="345" spans="1:63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2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</row>
    <row r="346" spans="1:63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2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</row>
    <row r="347" spans="1:63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2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</row>
    <row r="348" spans="1:63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2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</row>
    <row r="349" spans="1:63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2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</row>
    <row r="350" spans="1:63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2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</row>
    <row r="351" spans="1:63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2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</row>
    <row r="352" spans="1:63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2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</row>
    <row r="353" spans="1:63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2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</row>
    <row r="354" spans="1:63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2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</row>
    <row r="355" spans="1:63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2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</row>
    <row r="356" spans="1:63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2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</row>
    <row r="357" spans="1:63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2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</row>
    <row r="358" spans="1:63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2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</row>
    <row r="359" spans="1:63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2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</row>
    <row r="360" spans="1:63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2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</row>
    <row r="361" spans="1:63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2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</row>
    <row r="362" spans="1:63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2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</row>
    <row r="363" spans="1:63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2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</row>
    <row r="364" spans="1:63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2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</row>
    <row r="365" spans="1:63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2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</row>
    <row r="366" spans="1:63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2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</row>
    <row r="367" spans="1:63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2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</row>
    <row r="368" spans="1:63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2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</row>
    <row r="369" spans="1:63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2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</row>
  </sheetData>
  <mergeCells count="16">
    <mergeCell ref="E3:E4"/>
    <mergeCell ref="F3:F4"/>
    <mergeCell ref="G3:G4"/>
    <mergeCell ref="H3:H4"/>
    <mergeCell ref="A1:Q1"/>
    <mergeCell ref="K3:K4"/>
    <mergeCell ref="A3:A4"/>
    <mergeCell ref="I3:I4"/>
    <mergeCell ref="Q3:Q4"/>
    <mergeCell ref="P3:P4"/>
    <mergeCell ref="O3:O4"/>
    <mergeCell ref="L3:L4"/>
    <mergeCell ref="M3:M4"/>
    <mergeCell ref="B3:B4"/>
    <mergeCell ref="C3:C4"/>
    <mergeCell ref="D3:D4"/>
  </mergeCells>
  <conditionalFormatting sqref="P7:P57">
    <cfRule type="cellIs" dxfId="0" priority="1" operator="lessThan">
      <formula>#REF!-0.00001</formula>
    </cfRule>
  </conditionalFormatting>
  <printOptions horizontalCentered="1" verticalCentered="1"/>
  <pageMargins left="0.2" right="0.2" top="0.38" bottom="0.19685039370078741" header="0.11811023622047245" footer="0.15748031496062992"/>
  <pageSetup scale="65" orientation="landscape" horizontalDpi="300" verticalDpi="30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8"/>
  <sheetViews>
    <sheetView zoomScale="89" zoomScaleNormal="89" workbookViewId="0">
      <selection activeCell="G9" sqref="G9"/>
    </sheetView>
  </sheetViews>
  <sheetFormatPr baseColWidth="10" defaultColWidth="9.7109375" defaultRowHeight="12.75"/>
  <cols>
    <col min="1" max="1" width="28.7109375" style="2" customWidth="1"/>
    <col min="2" max="2" width="12.42578125" style="2" customWidth="1"/>
    <col min="3" max="3" width="14.140625" style="6" customWidth="1"/>
    <col min="4" max="4" width="17.28515625" style="2" customWidth="1"/>
    <col min="5" max="5" width="15.7109375" style="6" customWidth="1"/>
    <col min="6" max="6" width="2" style="1" customWidth="1"/>
    <col min="7" max="7" width="16.140625" style="6" customWidth="1"/>
    <col min="8" max="10" width="18.42578125" style="2" customWidth="1"/>
    <col min="11" max="11" width="15.7109375" style="2" customWidth="1"/>
    <col min="12" max="12" width="15.7109375" style="6" customWidth="1"/>
    <col min="13" max="16384" width="9.7109375" style="2"/>
  </cols>
  <sheetData>
    <row r="1" spans="1:54" s="8" customFormat="1" ht="51" customHeight="1">
      <c r="A1" s="422" t="s">
        <v>139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</row>
    <row r="2" spans="1:54" ht="26.25" customHeight="1">
      <c r="A2" s="80"/>
      <c r="B2" s="80"/>
      <c r="C2" s="111"/>
      <c r="D2" s="80"/>
      <c r="E2" s="111"/>
      <c r="F2" s="80"/>
      <c r="G2" s="111"/>
      <c r="H2" s="80"/>
      <c r="I2" s="80"/>
      <c r="J2" s="80"/>
      <c r="K2" s="80"/>
      <c r="L2" s="111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</row>
    <row r="3" spans="1:54" ht="37.5" customHeight="1" thickBot="1">
      <c r="A3" s="80"/>
      <c r="B3" s="424" t="s">
        <v>106</v>
      </c>
      <c r="C3" s="425"/>
      <c r="D3" s="426" t="s">
        <v>108</v>
      </c>
      <c r="E3" s="426"/>
      <c r="F3" s="80"/>
      <c r="G3" s="240" t="s">
        <v>107</v>
      </c>
      <c r="H3" s="80"/>
      <c r="I3" s="80"/>
      <c r="J3" s="80"/>
      <c r="K3" s="80"/>
      <c r="L3" s="111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ht="39" customHeight="1" thickBot="1">
      <c r="A4" s="112" t="s">
        <v>0</v>
      </c>
      <c r="B4" s="112" t="s">
        <v>319</v>
      </c>
      <c r="C4" s="257" t="s">
        <v>94</v>
      </c>
      <c r="D4" s="241" t="s">
        <v>326</v>
      </c>
      <c r="E4" s="257" t="s">
        <v>95</v>
      </c>
      <c r="F4" s="80"/>
      <c r="G4" s="257" t="s">
        <v>101</v>
      </c>
      <c r="H4" s="258" t="s">
        <v>98</v>
      </c>
      <c r="I4" s="258" t="s">
        <v>99</v>
      </c>
      <c r="J4" s="258" t="s">
        <v>100</v>
      </c>
      <c r="K4" s="258" t="s">
        <v>140</v>
      </c>
      <c r="L4" s="259" t="s">
        <v>93</v>
      </c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</row>
    <row r="5" spans="1:54">
      <c r="A5" s="256"/>
      <c r="B5" s="255"/>
      <c r="C5" s="260"/>
      <c r="D5" s="242"/>
      <c r="E5" s="260"/>
      <c r="F5" s="103"/>
      <c r="G5" s="260"/>
      <c r="H5" s="261" t="s">
        <v>109</v>
      </c>
      <c r="I5" s="261" t="s">
        <v>109</v>
      </c>
      <c r="J5" s="261" t="s">
        <v>109</v>
      </c>
      <c r="K5" s="261" t="s">
        <v>109</v>
      </c>
      <c r="L5" s="262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</row>
    <row r="6" spans="1:54" s="3" customFormat="1" ht="11.25">
      <c r="A6" s="243"/>
      <c r="B6" s="118" t="s">
        <v>57</v>
      </c>
      <c r="C6" s="263" t="s">
        <v>72</v>
      </c>
      <c r="D6" s="244" t="s">
        <v>56</v>
      </c>
      <c r="E6" s="263" t="s">
        <v>73</v>
      </c>
      <c r="F6" s="119"/>
      <c r="G6" s="245" t="s">
        <v>69</v>
      </c>
      <c r="H6" s="121">
        <f>+K6*0.35</f>
        <v>65483216.749999993</v>
      </c>
      <c r="I6" s="121">
        <f>+K6*0.35</f>
        <v>65483216.749999993</v>
      </c>
      <c r="J6" s="121">
        <f>+K6*0.3</f>
        <v>56128471.5</v>
      </c>
      <c r="K6" s="121">
        <f>+'PART PEF2021'!D12</f>
        <v>187094905</v>
      </c>
      <c r="L6" s="246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</row>
    <row r="7" spans="1:54" s="4" customFormat="1" ht="23.25" customHeight="1" thickBot="1">
      <c r="A7" s="122"/>
      <c r="B7" s="122"/>
      <c r="C7" s="247"/>
      <c r="D7" s="248"/>
      <c r="E7" s="249"/>
      <c r="F7" s="123"/>
      <c r="G7" s="264"/>
      <c r="H7" s="121" t="s">
        <v>96</v>
      </c>
      <c r="I7" s="121" t="s">
        <v>68</v>
      </c>
      <c r="J7" s="121" t="s">
        <v>97</v>
      </c>
      <c r="K7" s="125" t="s">
        <v>110</v>
      </c>
      <c r="L7" s="250" t="s">
        <v>70</v>
      </c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</row>
    <row r="8" spans="1:54" ht="13.5" thickTop="1">
      <c r="A8" s="72" t="s">
        <v>1</v>
      </c>
      <c r="B8" s="265">
        <v>2974</v>
      </c>
      <c r="C8" s="327">
        <f t="shared" ref="C8:C58" si="0">+B8/$B$59</f>
        <v>5.141377508841821E-4</v>
      </c>
      <c r="D8" s="251">
        <v>2918</v>
      </c>
      <c r="E8" s="327">
        <f t="shared" ref="E8:E59" si="1">(D8/D$59)</f>
        <v>5.2012841717507521E-4</v>
      </c>
      <c r="F8" s="80"/>
      <c r="G8" s="330">
        <f>+'COEF Art 14 F I'!AI8</f>
        <v>2.5576257633249402E-3</v>
      </c>
      <c r="H8" s="127">
        <f t="shared" ref="H8:H58" si="2">+C8*H$6</f>
        <v>33667.393780506398</v>
      </c>
      <c r="I8" s="252">
        <f t="shared" ref="I8:I58" si="3">+E8*I$6</f>
        <v>34059.681879709868</v>
      </c>
      <c r="J8" s="252">
        <f t="shared" ref="J8:J58" si="4">+G8*J$6</f>
        <v>143555.62476444966</v>
      </c>
      <c r="K8" s="252">
        <f>SUM(H8:J8)</f>
        <v>211282.70042466593</v>
      </c>
      <c r="L8" s="355">
        <f>+K8/K$59</f>
        <v>1.1292808878182225E-3</v>
      </c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</row>
    <row r="9" spans="1:54">
      <c r="A9" s="73" t="s">
        <v>2</v>
      </c>
      <c r="B9" s="266">
        <v>3382</v>
      </c>
      <c r="C9" s="328">
        <f t="shared" si="0"/>
        <v>5.8467177992276519E-4</v>
      </c>
      <c r="D9" s="253">
        <v>2599</v>
      </c>
      <c r="E9" s="328">
        <f t="shared" si="1"/>
        <v>4.6326722283688166E-4</v>
      </c>
      <c r="F9" s="80"/>
      <c r="G9" s="331">
        <f>+'COEF Art 14 F I'!AI9</f>
        <v>1.3572743407337315E-3</v>
      </c>
      <c r="H9" s="130">
        <f t="shared" si="2"/>
        <v>38286.188892290724</v>
      </c>
      <c r="I9" s="131">
        <f t="shared" si="3"/>
        <v>30336.227966198068</v>
      </c>
      <c r="J9" s="131">
        <f t="shared" si="4"/>
        <v>76181.734151554541</v>
      </c>
      <c r="K9" s="131">
        <f t="shared" ref="K9:K58" si="5">SUM(H9:J9)</f>
        <v>144804.15101004334</v>
      </c>
      <c r="L9" s="356">
        <f t="shared" ref="L9:L58" si="6">+K9/K$59</f>
        <v>7.7396095318599592E-4</v>
      </c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</row>
    <row r="10" spans="1:54">
      <c r="A10" s="73" t="s">
        <v>3</v>
      </c>
      <c r="B10" s="266">
        <v>1407</v>
      </c>
      <c r="C10" s="328">
        <f t="shared" si="0"/>
        <v>2.4323867366981983E-4</v>
      </c>
      <c r="D10" s="253">
        <v>1506</v>
      </c>
      <c r="E10" s="328">
        <f t="shared" si="1"/>
        <v>2.6844187671887026E-4</v>
      </c>
      <c r="F10" s="80"/>
      <c r="G10" s="331">
        <f>+'COEF Art 14 F I'!AI10</f>
        <v>3.3703880650335308E-3</v>
      </c>
      <c r="H10" s="130">
        <f t="shared" si="2"/>
        <v>15928.050789903327</v>
      </c>
      <c r="I10" s="131">
        <f t="shared" si="3"/>
        <v>17578.437597958557</v>
      </c>
      <c r="J10" s="131">
        <f t="shared" si="4"/>
        <v>189174.73045217467</v>
      </c>
      <c r="K10" s="131">
        <f t="shared" si="5"/>
        <v>222681.21884003654</v>
      </c>
      <c r="L10" s="356">
        <f t="shared" si="6"/>
        <v>1.1902046121461008E-3</v>
      </c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</row>
    <row r="11" spans="1:54" ht="13.5" customHeight="1">
      <c r="A11" s="73" t="s">
        <v>4</v>
      </c>
      <c r="B11" s="266">
        <v>35289</v>
      </c>
      <c r="C11" s="328">
        <f t="shared" si="0"/>
        <v>6.1006748792709828E-3</v>
      </c>
      <c r="D11" s="253">
        <v>38297</v>
      </c>
      <c r="E11" s="328">
        <f t="shared" si="1"/>
        <v>6.8263735409711639E-3</v>
      </c>
      <c r="F11" s="80"/>
      <c r="G11" s="331">
        <f>+'COEF Art 14 F I'!AI11</f>
        <v>8.6530424295121113E-3</v>
      </c>
      <c r="H11" s="130">
        <f t="shared" si="2"/>
        <v>399491.81544058182</v>
      </c>
      <c r="I11" s="131">
        <f t="shared" si="3"/>
        <v>447012.89819987968</v>
      </c>
      <c r="J11" s="131">
        <f t="shared" si="4"/>
        <v>485682.0453931613</v>
      </c>
      <c r="K11" s="131">
        <f t="shared" si="5"/>
        <v>1332186.7590336227</v>
      </c>
      <c r="L11" s="356">
        <f t="shared" si="6"/>
        <v>7.1203796759383847E-3</v>
      </c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</row>
    <row r="12" spans="1:54" ht="14.25">
      <c r="A12" s="73" t="s">
        <v>5</v>
      </c>
      <c r="B12" s="266">
        <v>18030</v>
      </c>
      <c r="C12" s="328">
        <f t="shared" si="0"/>
        <v>3.1169817244256232E-3</v>
      </c>
      <c r="D12" s="267">
        <v>19976</v>
      </c>
      <c r="E12" s="328">
        <f t="shared" si="1"/>
        <v>3.5606872040744699E-3</v>
      </c>
      <c r="F12" s="80"/>
      <c r="G12" s="331">
        <f>+'COEF Art 14 F I'!AI12</f>
        <v>7.3072518055588495E-3</v>
      </c>
      <c r="H12" s="130">
        <f t="shared" si="2"/>
        <v>204109.98986635183</v>
      </c>
      <c r="I12" s="131">
        <f t="shared" si="3"/>
        <v>233165.25196335997</v>
      </c>
      <c r="J12" s="131">
        <f t="shared" si="4"/>
        <v>410144.87471163343</v>
      </c>
      <c r="K12" s="131">
        <f t="shared" si="5"/>
        <v>847420.11654134525</v>
      </c>
      <c r="L12" s="356">
        <f t="shared" si="6"/>
        <v>4.5293596666426883E-3</v>
      </c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</row>
    <row r="13" spans="1:54">
      <c r="A13" s="73" t="s">
        <v>6</v>
      </c>
      <c r="B13" s="266">
        <v>656464</v>
      </c>
      <c r="C13" s="328">
        <f t="shared" si="0"/>
        <v>0.11348786970290306</v>
      </c>
      <c r="D13" s="253">
        <v>665734</v>
      </c>
      <c r="E13" s="328">
        <f t="shared" si="1"/>
        <v>0.11866592586690594</v>
      </c>
      <c r="F13" s="80"/>
      <c r="G13" s="331">
        <f>+'COEF Art 14 F I'!AI13</f>
        <v>7.5356497240480644E-2</v>
      </c>
      <c r="H13" s="130">
        <f t="shared" si="2"/>
        <v>7431550.7702509584</v>
      </c>
      <c r="I13" s="131">
        <f t="shared" si="3"/>
        <v>7770626.5443820329</v>
      </c>
      <c r="J13" s="131">
        <f t="shared" si="4"/>
        <v>4229645.0077021467</v>
      </c>
      <c r="K13" s="131">
        <f t="shared" si="5"/>
        <v>19431822.322335139</v>
      </c>
      <c r="L13" s="356">
        <f t="shared" si="6"/>
        <v>0.10386077762157736</v>
      </c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</row>
    <row r="14" spans="1:54">
      <c r="A14" s="73" t="s">
        <v>7</v>
      </c>
      <c r="B14" s="266">
        <v>14992</v>
      </c>
      <c r="C14" s="328">
        <f t="shared" si="0"/>
        <v>2.5917798121236242E-3</v>
      </c>
      <c r="D14" s="253">
        <v>17800</v>
      </c>
      <c r="E14" s="328">
        <f t="shared" si="1"/>
        <v>3.1728189944195818E-3</v>
      </c>
      <c r="F14" s="80"/>
      <c r="G14" s="331">
        <f>+'COEF Art 14 F I'!AI14</f>
        <v>9.7699712696329693E-3</v>
      </c>
      <c r="H14" s="130">
        <f t="shared" si="2"/>
        <v>169718.07920556553</v>
      </c>
      <c r="I14" s="131">
        <f t="shared" si="3"/>
        <v>207766.3939200945</v>
      </c>
      <c r="J14" s="131">
        <f t="shared" si="4"/>
        <v>548373.55396341288</v>
      </c>
      <c r="K14" s="131">
        <f t="shared" si="5"/>
        <v>925858.02708907286</v>
      </c>
      <c r="L14" s="356">
        <f t="shared" si="6"/>
        <v>4.9486009631800132E-3</v>
      </c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</row>
    <row r="15" spans="1:54">
      <c r="A15" s="73" t="s">
        <v>8</v>
      </c>
      <c r="B15" s="266">
        <v>3661</v>
      </c>
      <c r="C15" s="328">
        <f t="shared" si="0"/>
        <v>6.329046086035611E-4</v>
      </c>
      <c r="D15" s="253">
        <v>4384</v>
      </c>
      <c r="E15" s="328">
        <f t="shared" si="1"/>
        <v>7.8144036356940711E-4</v>
      </c>
      <c r="F15" s="80"/>
      <c r="G15" s="331">
        <f>+'COEF Art 14 F I'!AI15</f>
        <v>9.5208969476822194E-4</v>
      </c>
      <c r="H15" s="130">
        <f t="shared" si="2"/>
        <v>41444.629667260902</v>
      </c>
      <c r="I15" s="131">
        <f t="shared" si="3"/>
        <v>51171.228704814283</v>
      </c>
      <c r="J15" s="131">
        <f t="shared" si="4"/>
        <v>53439.339298241845</v>
      </c>
      <c r="K15" s="131">
        <f t="shared" si="5"/>
        <v>146055.19767031702</v>
      </c>
      <c r="L15" s="356">
        <f t="shared" si="6"/>
        <v>7.8064764869100552E-4</v>
      </c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</row>
    <row r="16" spans="1:54">
      <c r="A16" s="73" t="s">
        <v>9</v>
      </c>
      <c r="B16" s="266">
        <v>122337</v>
      </c>
      <c r="C16" s="328">
        <f t="shared" si="0"/>
        <v>2.1149317427679282E-2</v>
      </c>
      <c r="D16" s="253">
        <v>105145</v>
      </c>
      <c r="E16" s="328">
        <f t="shared" si="1"/>
        <v>1.8741913099339716E-2</v>
      </c>
      <c r="F16" s="80"/>
      <c r="G16" s="331">
        <f>+'COEF Art 14 F I'!AI16</f>
        <v>1.2800777950946798E-2</v>
      </c>
      <c r="H16" s="130">
        <f t="shared" si="2"/>
        <v>1384925.3372312747</v>
      </c>
      <c r="I16" s="131">
        <f t="shared" si="3"/>
        <v>1227280.7577937269</v>
      </c>
      <c r="J16" s="131">
        <f t="shared" si="4"/>
        <v>718488.10039754573</v>
      </c>
      <c r="K16" s="131">
        <f t="shared" si="5"/>
        <v>3330694.1954225474</v>
      </c>
      <c r="L16" s="356">
        <f t="shared" si="6"/>
        <v>1.7802164069740691E-2</v>
      </c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</row>
    <row r="17" spans="1:54">
      <c r="A17" s="73" t="s">
        <v>10</v>
      </c>
      <c r="B17" s="266">
        <v>104478</v>
      </c>
      <c r="C17" s="328">
        <f t="shared" si="0"/>
        <v>1.8061897759541888E-2</v>
      </c>
      <c r="D17" s="253">
        <v>47326</v>
      </c>
      <c r="E17" s="328">
        <f t="shared" si="1"/>
        <v>8.4357770634775914E-3</v>
      </c>
      <c r="F17" s="80"/>
      <c r="G17" s="331">
        <f>+'COEF Art 14 F I'!AI17</f>
        <v>6.7167913945538138E-3</v>
      </c>
      <c r="H17" s="130">
        <f t="shared" si="2"/>
        <v>1182751.1659044207</v>
      </c>
      <c r="I17" s="131">
        <f t="shared" si="3"/>
        <v>552401.81790238153</v>
      </c>
      <c r="J17" s="131">
        <f t="shared" si="4"/>
        <v>377003.23436065897</v>
      </c>
      <c r="K17" s="131">
        <f t="shared" si="5"/>
        <v>2112156.218167461</v>
      </c>
      <c r="L17" s="356">
        <f t="shared" si="6"/>
        <v>1.1289223606422961E-2</v>
      </c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</row>
    <row r="18" spans="1:54">
      <c r="A18" s="73" t="s">
        <v>11</v>
      </c>
      <c r="B18" s="266">
        <v>7340</v>
      </c>
      <c r="C18" s="328">
        <f t="shared" si="0"/>
        <v>1.2689210126058832E-3</v>
      </c>
      <c r="D18" s="253">
        <v>8324</v>
      </c>
      <c r="E18" s="328">
        <f t="shared" si="1"/>
        <v>1.4837385005364381E-3</v>
      </c>
      <c r="F18" s="80"/>
      <c r="G18" s="331">
        <f>+'COEF Art 14 F I'!AI18</f>
        <v>2.1846973802046362E-3</v>
      </c>
      <c r="H18" s="130">
        <f t="shared" si="2"/>
        <v>83093.029707100519</v>
      </c>
      <c r="I18" s="131">
        <f t="shared" si="3"/>
        <v>97159.96983094755</v>
      </c>
      <c r="J18" s="131">
        <f t="shared" si="4"/>
        <v>122623.72464094059</v>
      </c>
      <c r="K18" s="131">
        <f t="shared" si="5"/>
        <v>302876.72417898866</v>
      </c>
      <c r="L18" s="356">
        <f t="shared" si="6"/>
        <v>1.6188400436612034E-3</v>
      </c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</row>
    <row r="19" spans="1:54">
      <c r="A19" s="73" t="s">
        <v>12</v>
      </c>
      <c r="B19" s="266">
        <v>9930</v>
      </c>
      <c r="C19" s="328">
        <f t="shared" si="0"/>
        <v>1.7166737949831634E-3</v>
      </c>
      <c r="D19" s="253">
        <v>11962</v>
      </c>
      <c r="E19" s="328">
        <f t="shared" si="1"/>
        <v>2.1322056635532044E-3</v>
      </c>
      <c r="F19" s="80"/>
      <c r="G19" s="331">
        <f>+'COEF Art 14 F I'!AI19</f>
        <v>6.4130983283828859E-3</v>
      </c>
      <c r="H19" s="130">
        <f t="shared" si="2"/>
        <v>112413.32220592754</v>
      </c>
      <c r="I19" s="131">
        <f t="shared" si="3"/>
        <v>139623.68562203203</v>
      </c>
      <c r="J19" s="131">
        <f t="shared" si="4"/>
        <v>359957.40675133647</v>
      </c>
      <c r="K19" s="131">
        <f t="shared" si="5"/>
        <v>611994.41457929602</v>
      </c>
      <c r="L19" s="356">
        <f t="shared" si="6"/>
        <v>3.2710373090025949E-3</v>
      </c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</row>
    <row r="20" spans="1:54">
      <c r="A20" s="73" t="s">
        <v>13</v>
      </c>
      <c r="B20" s="266">
        <v>68747</v>
      </c>
      <c r="C20" s="328">
        <f t="shared" si="0"/>
        <v>1.1884811015479108E-2</v>
      </c>
      <c r="D20" s="253">
        <v>50563</v>
      </c>
      <c r="E20" s="328">
        <f t="shared" si="1"/>
        <v>9.0127666749908603E-3</v>
      </c>
      <c r="F20" s="80"/>
      <c r="G20" s="331">
        <f>+'COEF Art 14 F I'!AI20</f>
        <v>5.3083331235490461E-3</v>
      </c>
      <c r="H20" s="130">
        <f t="shared" si="2"/>
        <v>778255.65575940593</v>
      </c>
      <c r="I20" s="131">
        <f t="shared" si="3"/>
        <v>590184.9536956033</v>
      </c>
      <c r="J20" s="131">
        <f t="shared" si="4"/>
        <v>297948.6244376286</v>
      </c>
      <c r="K20" s="131">
        <f t="shared" si="5"/>
        <v>1666389.2338926378</v>
      </c>
      <c r="L20" s="356">
        <f t="shared" si="6"/>
        <v>8.9066521287292037E-3</v>
      </c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</row>
    <row r="21" spans="1:54">
      <c r="A21" s="73" t="s">
        <v>14</v>
      </c>
      <c r="B21" s="266">
        <v>36088</v>
      </c>
      <c r="C21" s="328">
        <f t="shared" si="0"/>
        <v>6.2388040194715413E-3</v>
      </c>
      <c r="D21" s="253">
        <v>37859</v>
      </c>
      <c r="E21" s="328">
        <f t="shared" si="1"/>
        <v>6.7483008039174687E-3</v>
      </c>
      <c r="F21" s="80"/>
      <c r="G21" s="331">
        <f>+'COEF Art 14 F I'!AI21</f>
        <v>2.8239438227342113E-2</v>
      </c>
      <c r="H21" s="130">
        <f t="shared" si="2"/>
        <v>408536.95586782612</v>
      </c>
      <c r="I21" s="131">
        <f t="shared" si="3"/>
        <v>441900.44423712679</v>
      </c>
      <c r="J21" s="131">
        <f t="shared" si="4"/>
        <v>1585036.5037193822</v>
      </c>
      <c r="K21" s="131">
        <f t="shared" si="5"/>
        <v>2435473.903824335</v>
      </c>
      <c r="L21" s="356">
        <f t="shared" si="6"/>
        <v>1.3017318156388787E-2</v>
      </c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</row>
    <row r="22" spans="1:54">
      <c r="A22" s="73" t="s">
        <v>15</v>
      </c>
      <c r="B22" s="266">
        <v>1360</v>
      </c>
      <c r="C22" s="328">
        <f t="shared" si="0"/>
        <v>2.351134301286105E-4</v>
      </c>
      <c r="D22" s="253">
        <v>1845</v>
      </c>
      <c r="E22" s="328">
        <f t="shared" si="1"/>
        <v>3.2886803621933304E-4</v>
      </c>
      <c r="F22" s="80"/>
      <c r="G22" s="331">
        <f>+'COEF Art 14 F I'!AI22</f>
        <v>7.987404057200314E-4</v>
      </c>
      <c r="H22" s="130">
        <f t="shared" si="2"/>
        <v>15395.98370594778</v>
      </c>
      <c r="I22" s="131">
        <f t="shared" si="3"/>
        <v>21535.336897897432</v>
      </c>
      <c r="J22" s="131">
        <f t="shared" si="4"/>
        <v>44832.078098355218</v>
      </c>
      <c r="K22" s="131">
        <f t="shared" si="5"/>
        <v>81763.398702200429</v>
      </c>
      <c r="L22" s="356">
        <f t="shared" si="6"/>
        <v>4.370156349377897E-4</v>
      </c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</row>
    <row r="23" spans="1:54">
      <c r="A23" s="73" t="s">
        <v>16</v>
      </c>
      <c r="B23" s="266">
        <v>3256</v>
      </c>
      <c r="C23" s="328">
        <f t="shared" si="0"/>
        <v>5.6288921213143808E-4</v>
      </c>
      <c r="D23" s="253">
        <v>3294</v>
      </c>
      <c r="E23" s="328">
        <f t="shared" si="1"/>
        <v>5.8714976222573611E-4</v>
      </c>
      <c r="F23" s="80"/>
      <c r="G23" s="331">
        <f>+'COEF Art 14 F I'!AI23</f>
        <v>2.5141949873251266E-3</v>
      </c>
      <c r="H23" s="130">
        <f t="shared" si="2"/>
        <v>36859.796284239688</v>
      </c>
      <c r="I23" s="131">
        <f t="shared" si="3"/>
        <v>38448.455144538835</v>
      </c>
      <c r="J23" s="131">
        <f t="shared" si="4"/>
        <v>141117.92169152122</v>
      </c>
      <c r="K23" s="131">
        <f t="shared" si="5"/>
        <v>216426.17312029973</v>
      </c>
      <c r="L23" s="356">
        <f t="shared" si="6"/>
        <v>1.156772137222549E-3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</row>
    <row r="24" spans="1:54">
      <c r="A24" s="73" t="s">
        <v>17</v>
      </c>
      <c r="B24" s="266">
        <v>40903</v>
      </c>
      <c r="C24" s="328">
        <f t="shared" si="0"/>
        <v>7.0712092886401146E-3</v>
      </c>
      <c r="D24" s="253">
        <v>44989</v>
      </c>
      <c r="E24" s="328">
        <f t="shared" si="1"/>
        <v>8.0192108842664367E-3</v>
      </c>
      <c r="F24" s="80"/>
      <c r="G24" s="331">
        <f>+'COEF Art 14 F I'!AI24</f>
        <v>1.6186311130738096E-2</v>
      </c>
      <c r="H24" s="130">
        <f t="shared" si="2"/>
        <v>463045.53053263389</v>
      </c>
      <c r="I24" s="131">
        <f t="shared" si="3"/>
        <v>525123.72449837823</v>
      </c>
      <c r="J24" s="131">
        <f t="shared" si="4"/>
        <v>908512.90299176599</v>
      </c>
      <c r="K24" s="131">
        <f t="shared" si="5"/>
        <v>1896682.1580227781</v>
      </c>
      <c r="L24" s="356">
        <f t="shared" si="6"/>
        <v>1.0137540399738723E-2</v>
      </c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</row>
    <row r="25" spans="1:54">
      <c r="A25" s="73" t="s">
        <v>18</v>
      </c>
      <c r="B25" s="266">
        <v>397205</v>
      </c>
      <c r="C25" s="328">
        <f t="shared" si="0"/>
        <v>6.8667816186937305E-2</v>
      </c>
      <c r="D25" s="253">
        <v>300745</v>
      </c>
      <c r="E25" s="328">
        <f t="shared" si="1"/>
        <v>5.3607272386332422E-2</v>
      </c>
      <c r="F25" s="80"/>
      <c r="G25" s="331">
        <f>+'COEF Art 14 F I'!AI25</f>
        <v>2.9232059420148254E-2</v>
      </c>
      <c r="H25" s="130">
        <f t="shared" si="2"/>
        <v>4496589.4911183733</v>
      </c>
      <c r="I25" s="131">
        <f t="shared" si="3"/>
        <v>3510376.6370504955</v>
      </c>
      <c r="J25" s="131">
        <f t="shared" si="4"/>
        <v>1640750.8140500977</v>
      </c>
      <c r="K25" s="131">
        <f t="shared" si="5"/>
        <v>9647716.9422189668</v>
      </c>
      <c r="L25" s="356">
        <f t="shared" si="6"/>
        <v>5.1565898826688883E-2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</row>
    <row r="26" spans="1:54">
      <c r="A26" s="73" t="s">
        <v>19</v>
      </c>
      <c r="B26" s="266">
        <v>5506</v>
      </c>
      <c r="C26" s="328">
        <f t="shared" si="0"/>
        <v>9.5186363697656574E-4</v>
      </c>
      <c r="D26" s="253">
        <v>6127</v>
      </c>
      <c r="E26" s="328">
        <f t="shared" si="1"/>
        <v>1.0921270774611673E-3</v>
      </c>
      <c r="F26" s="80"/>
      <c r="G26" s="331">
        <f>+'COEF Art 14 F I'!AI26</f>
        <v>3.3588154083599043E-3</v>
      </c>
      <c r="H26" s="130">
        <f t="shared" si="2"/>
        <v>62331.092856579759</v>
      </c>
      <c r="I26" s="131">
        <f t="shared" si="3"/>
        <v>71515.99413193365</v>
      </c>
      <c r="J26" s="131">
        <f t="shared" si="4"/>
        <v>188525.17492188976</v>
      </c>
      <c r="K26" s="131">
        <f t="shared" si="5"/>
        <v>322372.26191040315</v>
      </c>
      <c r="L26" s="356">
        <f t="shared" si="6"/>
        <v>1.7230413725611779E-3</v>
      </c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</row>
    <row r="27" spans="1:54">
      <c r="A27" s="73" t="s">
        <v>20</v>
      </c>
      <c r="B27" s="266">
        <v>481213</v>
      </c>
      <c r="C27" s="328">
        <f t="shared" si="0"/>
        <v>8.3190911067999293E-2</v>
      </c>
      <c r="D27" s="253">
        <v>466325</v>
      </c>
      <c r="E27" s="328">
        <f t="shared" si="1"/>
        <v>8.3121618964759073E-2</v>
      </c>
      <c r="F27" s="80"/>
      <c r="G27" s="331">
        <f>+'COEF Art 14 F I'!AI27</f>
        <v>4.1752581871264696E-2</v>
      </c>
      <c r="H27" s="130">
        <f t="shared" si="2"/>
        <v>5447608.4610957708</v>
      </c>
      <c r="I27" s="131">
        <f t="shared" si="3"/>
        <v>5443070.9912802279</v>
      </c>
      <c r="J27" s="131">
        <f t="shared" si="4"/>
        <v>2343508.6016126974</v>
      </c>
      <c r="K27" s="131">
        <f t="shared" si="5"/>
        <v>13234188.053988695</v>
      </c>
      <c r="L27" s="356">
        <f t="shared" si="6"/>
        <v>7.0735160072844833E-2</v>
      </c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</row>
    <row r="28" spans="1:54">
      <c r="A28" s="73" t="s">
        <v>21</v>
      </c>
      <c r="B28" s="266">
        <v>14109</v>
      </c>
      <c r="C28" s="328">
        <f t="shared" si="0"/>
        <v>2.4391289600621804E-3</v>
      </c>
      <c r="D28" s="253">
        <v>16283</v>
      </c>
      <c r="E28" s="328">
        <f t="shared" si="1"/>
        <v>2.9024163868614635E-3</v>
      </c>
      <c r="F28" s="80"/>
      <c r="G28" s="331">
        <f>+'COEF Art 14 F I'!AI28</f>
        <v>6.628126341135401E-3</v>
      </c>
      <c r="H28" s="130">
        <f t="shared" si="2"/>
        <v>159722.01037295384</v>
      </c>
      <c r="I28" s="131">
        <f t="shared" si="3"/>
        <v>190059.56135960104</v>
      </c>
      <c r="J28" s="131">
        <f t="shared" si="4"/>
        <v>372026.60043681762</v>
      </c>
      <c r="K28" s="131">
        <f t="shared" si="5"/>
        <v>721808.17216937244</v>
      </c>
      <c r="L28" s="356">
        <f t="shared" si="6"/>
        <v>3.8579787737638956E-3</v>
      </c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</row>
    <row r="29" spans="1:54">
      <c r="A29" s="73" t="s">
        <v>22</v>
      </c>
      <c r="B29" s="266">
        <v>1808</v>
      </c>
      <c r="C29" s="328">
        <f t="shared" si="0"/>
        <v>3.1256256005332924E-4</v>
      </c>
      <c r="D29" s="253">
        <v>1194</v>
      </c>
      <c r="E29" s="328">
        <f t="shared" si="1"/>
        <v>2.1282842018747081E-4</v>
      </c>
      <c r="F29" s="80"/>
      <c r="G29" s="331">
        <f>+'COEF Art 14 F I'!AI29</f>
        <v>1.7104182339154382E-3</v>
      </c>
      <c r="H29" s="130">
        <f t="shared" si="2"/>
        <v>20467.601867907048</v>
      </c>
      <c r="I29" s="131">
        <f t="shared" si="3"/>
        <v>13936.689569696226</v>
      </c>
      <c r="J29" s="131">
        <f t="shared" si="4"/>
        <v>96003.161095403004</v>
      </c>
      <c r="K29" s="131">
        <f t="shared" si="5"/>
        <v>130407.45253300628</v>
      </c>
      <c r="L29" s="356">
        <f t="shared" si="6"/>
        <v>6.9701231325891154E-4</v>
      </c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</row>
    <row r="30" spans="1:54">
      <c r="A30" s="73" t="s">
        <v>23</v>
      </c>
      <c r="B30" s="266">
        <v>6282</v>
      </c>
      <c r="C30" s="328">
        <f t="shared" si="0"/>
        <v>1.0860165941675964E-3</v>
      </c>
      <c r="D30" s="253">
        <v>6604</v>
      </c>
      <c r="E30" s="328">
        <f t="shared" si="1"/>
        <v>1.1771514965812876E-3</v>
      </c>
      <c r="F30" s="80"/>
      <c r="G30" s="331">
        <f>+'COEF Art 14 F I'!AI30</f>
        <v>5.403922845134604E-3</v>
      </c>
      <c r="H30" s="130">
        <f t="shared" si="2"/>
        <v>71115.860029973497</v>
      </c>
      <c r="I30" s="131">
        <f t="shared" si="3"/>
        <v>77083.666598219323</v>
      </c>
      <c r="J30" s="131">
        <f t="shared" si="4"/>
        <v>303313.92940133653</v>
      </c>
      <c r="K30" s="131">
        <f t="shared" si="5"/>
        <v>451513.45602952933</v>
      </c>
      <c r="L30" s="356">
        <f t="shared" si="6"/>
        <v>2.4132856853024908E-3</v>
      </c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</row>
    <row r="31" spans="1:54">
      <c r="A31" s="73" t="s">
        <v>24</v>
      </c>
      <c r="B31" s="266">
        <v>102149</v>
      </c>
      <c r="C31" s="328">
        <f t="shared" si="0"/>
        <v>1.7659266010446643E-2</v>
      </c>
      <c r="D31" s="253">
        <v>91913</v>
      </c>
      <c r="E31" s="328">
        <f t="shared" si="1"/>
        <v>1.6383332147982418E-2</v>
      </c>
      <c r="F31" s="80"/>
      <c r="G31" s="331">
        <f>+'COEF Art 14 F I'!AI31</f>
        <v>8.9543787722334237E-3</v>
      </c>
      <c r="H31" s="130">
        <f t="shared" si="2"/>
        <v>1156385.5438079853</v>
      </c>
      <c r="I31" s="131">
        <f t="shared" si="3"/>
        <v>1072833.2901335757</v>
      </c>
      <c r="J31" s="131">
        <f t="shared" si="4"/>
        <v>502595.59371750872</v>
      </c>
      <c r="K31" s="131">
        <f t="shared" si="5"/>
        <v>2731814.4276590701</v>
      </c>
      <c r="L31" s="356">
        <f t="shared" si="6"/>
        <v>1.4601222987120202E-2</v>
      </c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</row>
    <row r="32" spans="1:54">
      <c r="A32" s="73" t="s">
        <v>25</v>
      </c>
      <c r="B32" s="266">
        <v>643143</v>
      </c>
      <c r="C32" s="328">
        <f t="shared" si="0"/>
        <v>0.11118496823029775</v>
      </c>
      <c r="D32" s="253">
        <v>710413</v>
      </c>
      <c r="E32" s="328">
        <f t="shared" si="1"/>
        <v>0.12662987979115722</v>
      </c>
      <c r="F32" s="80"/>
      <c r="G32" s="331">
        <f>+'COEF Art 14 F I'!AI32</f>
        <v>6.5905904145000652E-2</v>
      </c>
      <c r="H32" s="130">
        <f t="shared" si="2"/>
        <v>7280749.3739664508</v>
      </c>
      <c r="I32" s="131">
        <f t="shared" si="3"/>
        <v>8292131.8653907925</v>
      </c>
      <c r="J32" s="131">
        <f t="shared" si="4"/>
        <v>3699197.6624844009</v>
      </c>
      <c r="K32" s="131">
        <f t="shared" si="5"/>
        <v>19272078.901841644</v>
      </c>
      <c r="L32" s="356">
        <f t="shared" si="6"/>
        <v>0.10300696805100945</v>
      </c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</row>
    <row r="33" spans="1:54">
      <c r="A33" s="73" t="s">
        <v>26</v>
      </c>
      <c r="B33" s="266">
        <v>1959</v>
      </c>
      <c r="C33" s="328">
        <f t="shared" si="0"/>
        <v>3.3866706589849116E-4</v>
      </c>
      <c r="D33" s="253">
        <v>1998</v>
      </c>
      <c r="E33" s="328">
        <f t="shared" si="1"/>
        <v>3.561400197106924E-4</v>
      </c>
      <c r="F33" s="80"/>
      <c r="G33" s="331">
        <f>+'COEF Art 14 F I'!AI33</f>
        <v>7.236006898234588E-4</v>
      </c>
      <c r="H33" s="130">
        <f t="shared" si="2"/>
        <v>22177.008882317426</v>
      </c>
      <c r="I33" s="131">
        <f t="shared" si="3"/>
        <v>23321.19410406454</v>
      </c>
      <c r="J33" s="131">
        <f t="shared" si="4"/>
        <v>40614.600696136346</v>
      </c>
      <c r="K33" s="131">
        <f t="shared" si="5"/>
        <v>86112.803682518308</v>
      </c>
      <c r="L33" s="356">
        <f t="shared" si="6"/>
        <v>4.602626869102519E-4</v>
      </c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</row>
    <row r="34" spans="1:54">
      <c r="A34" s="73" t="s">
        <v>27</v>
      </c>
      <c r="B34" s="266">
        <v>16086</v>
      </c>
      <c r="C34" s="328">
        <f t="shared" si="0"/>
        <v>2.7809078213594327E-3</v>
      </c>
      <c r="D34" s="253">
        <v>15902</v>
      </c>
      <c r="E34" s="328">
        <f t="shared" si="1"/>
        <v>2.8345038005202355E-3</v>
      </c>
      <c r="F34" s="80"/>
      <c r="G34" s="331">
        <f>+'COEF Art 14 F I'!AI34</f>
        <v>1.600433764415678E-3</v>
      </c>
      <c r="H34" s="130">
        <f t="shared" si="2"/>
        <v>182102.78962785</v>
      </c>
      <c r="I34" s="131">
        <f t="shared" si="3"/>
        <v>185612.42674816534</v>
      </c>
      <c r="J34" s="131">
        <f t="shared" si="4"/>
        <v>89829.90093364309</v>
      </c>
      <c r="K34" s="131">
        <f t="shared" si="5"/>
        <v>457545.11730965844</v>
      </c>
      <c r="L34" s="356">
        <f t="shared" si="6"/>
        <v>2.4455241969825875E-3</v>
      </c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</row>
    <row r="35" spans="1:54">
      <c r="A35" s="73" t="s">
        <v>28</v>
      </c>
      <c r="B35" s="266">
        <v>1386</v>
      </c>
      <c r="C35" s="328">
        <f t="shared" si="0"/>
        <v>2.3960824570459864E-4</v>
      </c>
      <c r="D35" s="253">
        <v>1712</v>
      </c>
      <c r="E35" s="328">
        <f t="shared" si="1"/>
        <v>3.0516101789024292E-4</v>
      </c>
      <c r="F35" s="80"/>
      <c r="G35" s="331">
        <f>+'COEF Art 14 F I'!AI35</f>
        <v>7.0501416852939694E-4</v>
      </c>
      <c r="H35" s="130">
        <f t="shared" si="2"/>
        <v>15690.318688561487</v>
      </c>
      <c r="I35" s="131">
        <f t="shared" si="3"/>
        <v>19982.925078157401</v>
      </c>
      <c r="J35" s="131">
        <f t="shared" si="4"/>
        <v>39571.367665398451</v>
      </c>
      <c r="K35" s="131">
        <f t="shared" si="5"/>
        <v>75244.611432117337</v>
      </c>
      <c r="L35" s="356">
        <f t="shared" si="6"/>
        <v>4.0217349281701362E-4</v>
      </c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</row>
    <row r="36" spans="1:54">
      <c r="A36" s="73" t="s">
        <v>29</v>
      </c>
      <c r="B36" s="266">
        <v>7026</v>
      </c>
      <c r="C36" s="328">
        <f t="shared" si="0"/>
        <v>1.2146374706497186E-3</v>
      </c>
      <c r="D36" s="253">
        <v>7746</v>
      </c>
      <c r="E36" s="328">
        <f t="shared" si="1"/>
        <v>1.3807110073468585E-3</v>
      </c>
      <c r="F36" s="80"/>
      <c r="G36" s="331">
        <f>+'COEF Art 14 F I'!AI36</f>
        <v>1.7291927683175867E-3</v>
      </c>
      <c r="H36" s="130">
        <f t="shared" si="2"/>
        <v>79538.368763227278</v>
      </c>
      <c r="I36" s="131">
        <f t="shared" si="3"/>
        <v>90413.398163205173</v>
      </c>
      <c r="J36" s="131">
        <f t="shared" si="4"/>
        <v>97056.94701451977</v>
      </c>
      <c r="K36" s="131">
        <f t="shared" si="5"/>
        <v>267008.71394095221</v>
      </c>
      <c r="L36" s="356">
        <f t="shared" si="6"/>
        <v>1.4271297977940781E-3</v>
      </c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</row>
    <row r="37" spans="1:54">
      <c r="A37" s="73" t="s">
        <v>30</v>
      </c>
      <c r="B37" s="266">
        <v>3298</v>
      </c>
      <c r="C37" s="328">
        <f t="shared" si="0"/>
        <v>5.7015006806188052E-4</v>
      </c>
      <c r="D37" s="253">
        <v>3979</v>
      </c>
      <c r="E37" s="328">
        <f t="shared" si="1"/>
        <v>7.0924981903345598E-4</v>
      </c>
      <c r="F37" s="80"/>
      <c r="G37" s="331">
        <f>+'COEF Art 14 F I'!AI37</f>
        <v>3.8775542636613255E-3</v>
      </c>
      <c r="H37" s="130">
        <f t="shared" si="2"/>
        <v>37335.260486923369</v>
      </c>
      <c r="I37" s="131">
        <f t="shared" si="3"/>
        <v>46443.959629666067</v>
      </c>
      <c r="J37" s="131">
        <f t="shared" si="4"/>
        <v>217641.19397761818</v>
      </c>
      <c r="K37" s="131">
        <f t="shared" si="5"/>
        <v>301420.41409420763</v>
      </c>
      <c r="L37" s="356">
        <f t="shared" si="6"/>
        <v>1.6110562395817657E-3</v>
      </c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</row>
    <row r="38" spans="1:54">
      <c r="A38" s="73" t="s">
        <v>31</v>
      </c>
      <c r="B38" s="266">
        <v>471523</v>
      </c>
      <c r="C38" s="328">
        <f t="shared" si="0"/>
        <v>8.1515727878332944E-2</v>
      </c>
      <c r="D38" s="253">
        <v>396864</v>
      </c>
      <c r="E38" s="328">
        <f t="shared" si="1"/>
        <v>7.0740316707940051E-2</v>
      </c>
      <c r="F38" s="80"/>
      <c r="G38" s="331">
        <f>+'COEF Art 14 F I'!AI38</f>
        <v>3.4530303479784863E-2</v>
      </c>
      <c r="H38" s="130">
        <f t="shared" si="2"/>
        <v>5337912.0771908928</v>
      </c>
      <c r="I38" s="131">
        <f t="shared" si="3"/>
        <v>4632303.491949684</v>
      </c>
      <c r="J38" s="131">
        <f t="shared" si="4"/>
        <v>1938133.1547514554</v>
      </c>
      <c r="K38" s="131">
        <f t="shared" si="5"/>
        <v>11908348.723892031</v>
      </c>
      <c r="L38" s="356">
        <f t="shared" si="6"/>
        <v>6.3648706649130998E-2</v>
      </c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</row>
    <row r="39" spans="1:54">
      <c r="A39" s="73" t="s">
        <v>32</v>
      </c>
      <c r="B39" s="266">
        <v>5351</v>
      </c>
      <c r="C39" s="328">
        <f t="shared" si="0"/>
        <v>9.2506762104279034E-4</v>
      </c>
      <c r="D39" s="253">
        <v>5783</v>
      </c>
      <c r="E39" s="328">
        <f t="shared" si="1"/>
        <v>1.0308096766701372E-3</v>
      </c>
      <c r="F39" s="80"/>
      <c r="G39" s="331">
        <f>+'COEF Art 14 F I'!AI39</f>
        <v>3.1186745696211164E-3</v>
      </c>
      <c r="H39" s="130">
        <f t="shared" si="2"/>
        <v>60576.403537151891</v>
      </c>
      <c r="I39" s="131">
        <f t="shared" si="3"/>
        <v>67500.733485388002</v>
      </c>
      <c r="J39" s="131">
        <f t="shared" si="4"/>
        <v>175046.43669875359</v>
      </c>
      <c r="K39" s="131">
        <f t="shared" si="5"/>
        <v>303123.57372129348</v>
      </c>
      <c r="L39" s="356">
        <f t="shared" si="6"/>
        <v>1.6201594250858597E-3</v>
      </c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</row>
    <row r="40" spans="1:54">
      <c r="A40" s="73" t="s">
        <v>33</v>
      </c>
      <c r="B40" s="266">
        <v>84666</v>
      </c>
      <c r="C40" s="328">
        <f t="shared" si="0"/>
        <v>1.4636848290638924E-2</v>
      </c>
      <c r="D40" s="253">
        <v>88689</v>
      </c>
      <c r="E40" s="328">
        <f t="shared" si="1"/>
        <v>1.5808659763824624E-2</v>
      </c>
      <c r="F40" s="80"/>
      <c r="G40" s="331">
        <f>+'COEF Art 14 F I'!AI40</f>
        <v>1.6527251047081352E-2</v>
      </c>
      <c r="H40" s="130">
        <f t="shared" si="2"/>
        <v>958467.90915277554</v>
      </c>
      <c r="I40" s="131">
        <f t="shared" si="3"/>
        <v>1035201.8938415316</v>
      </c>
      <c r="J40" s="131">
        <f t="shared" si="4"/>
        <v>927649.33936945081</v>
      </c>
      <c r="K40" s="131">
        <f t="shared" si="5"/>
        <v>2921319.1423637578</v>
      </c>
      <c r="L40" s="356">
        <f t="shared" si="6"/>
        <v>1.5614103133186648E-2</v>
      </c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</row>
    <row r="41" spans="1:54">
      <c r="A41" s="73" t="s">
        <v>34</v>
      </c>
      <c r="B41" s="266">
        <v>5119</v>
      </c>
      <c r="C41" s="328">
        <f t="shared" si="0"/>
        <v>8.8496003590320376E-4</v>
      </c>
      <c r="D41" s="253">
        <v>6199</v>
      </c>
      <c r="E41" s="328">
        <f t="shared" si="1"/>
        <v>1.1049609520453363E-3</v>
      </c>
      <c r="F41" s="80"/>
      <c r="G41" s="331">
        <f>+'COEF Art 14 F I'!AI41</f>
        <v>2.3535696632281614E-3</v>
      </c>
      <c r="H41" s="130">
        <f t="shared" si="2"/>
        <v>57950.029846137266</v>
      </c>
      <c r="I41" s="131">
        <f t="shared" si="3"/>
        <v>72356.397523071108</v>
      </c>
      <c r="J41" s="131">
        <f t="shared" si="4"/>
        <v>132102.26776576645</v>
      </c>
      <c r="K41" s="131">
        <f t="shared" si="5"/>
        <v>262408.69513497478</v>
      </c>
      <c r="L41" s="356">
        <f t="shared" si="6"/>
        <v>1.4025432447504374E-3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</row>
    <row r="42" spans="1:54">
      <c r="A42" s="73" t="s">
        <v>35</v>
      </c>
      <c r="B42" s="266">
        <v>1483</v>
      </c>
      <c r="C42" s="328">
        <f t="shared" si="0"/>
        <v>2.5637736535347747E-4</v>
      </c>
      <c r="D42" s="253">
        <v>1071</v>
      </c>
      <c r="E42" s="328">
        <f t="shared" si="1"/>
        <v>1.9090388443951528E-4</v>
      </c>
      <c r="F42" s="80"/>
      <c r="G42" s="331">
        <f>+'COEF Art 14 F I'!AI42</f>
        <v>2.8834787619253394E-4</v>
      </c>
      <c r="H42" s="130">
        <f t="shared" si="2"/>
        <v>16788.414585235703</v>
      </c>
      <c r="I42" s="131">
        <f t="shared" si="3"/>
        <v>12501.000443169729</v>
      </c>
      <c r="J42" s="131">
        <f t="shared" si="4"/>
        <v>16184.525550958169</v>
      </c>
      <c r="K42" s="131">
        <f t="shared" si="5"/>
        <v>45473.940579363603</v>
      </c>
      <c r="L42" s="356">
        <f t="shared" si="6"/>
        <v>2.4305280028530767E-4</v>
      </c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</row>
    <row r="43" spans="1:54">
      <c r="A43" s="73" t="s">
        <v>36</v>
      </c>
      <c r="B43" s="266">
        <v>7652</v>
      </c>
      <c r="C43" s="328">
        <f t="shared" si="0"/>
        <v>1.322858799517741E-3</v>
      </c>
      <c r="D43" s="253">
        <v>7601</v>
      </c>
      <c r="E43" s="328">
        <f t="shared" si="1"/>
        <v>1.3548650099204067E-3</v>
      </c>
      <c r="F43" s="80"/>
      <c r="G43" s="331">
        <f>+'COEF Art 14 F I'!AI43</f>
        <v>7.2249258595494577E-3</v>
      </c>
      <c r="H43" s="130">
        <f t="shared" si="2"/>
        <v>86625.049498465014</v>
      </c>
      <c r="I43" s="131">
        <f t="shared" si="3"/>
        <v>88720.919111608891</v>
      </c>
      <c r="J43" s="131">
        <f t="shared" si="4"/>
        <v>405524.04519733472</v>
      </c>
      <c r="K43" s="131">
        <f t="shared" si="5"/>
        <v>580870.01380740863</v>
      </c>
      <c r="L43" s="356">
        <f t="shared" si="6"/>
        <v>3.1046810911681895E-3</v>
      </c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</row>
    <row r="44" spans="1:54">
      <c r="A44" s="73" t="s">
        <v>37</v>
      </c>
      <c r="B44" s="266">
        <v>6048</v>
      </c>
      <c r="C44" s="328">
        <f t="shared" si="0"/>
        <v>1.0455632539837032E-3</v>
      </c>
      <c r="D44" s="253">
        <v>5882</v>
      </c>
      <c r="E44" s="328">
        <f t="shared" si="1"/>
        <v>1.0484562542233697E-3</v>
      </c>
      <c r="F44" s="80"/>
      <c r="G44" s="331">
        <f>+'COEF Art 14 F I'!AI44</f>
        <v>4.4903427779201897E-3</v>
      </c>
      <c r="H44" s="130">
        <f t="shared" si="2"/>
        <v>68466.845186450126</v>
      </c>
      <c r="I44" s="131">
        <f t="shared" si="3"/>
        <v>68656.288148202017</v>
      </c>
      <c r="J44" s="131">
        <f t="shared" si="4"/>
        <v>252036.0766357242</v>
      </c>
      <c r="K44" s="131">
        <f t="shared" si="5"/>
        <v>389159.20997037634</v>
      </c>
      <c r="L44" s="356">
        <f t="shared" si="6"/>
        <v>2.0800096612485328E-3</v>
      </c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</row>
    <row r="45" spans="1:54">
      <c r="A45" s="73" t="s">
        <v>38</v>
      </c>
      <c r="B45" s="266">
        <v>67428</v>
      </c>
      <c r="C45" s="328">
        <f t="shared" si="0"/>
        <v>1.1656785563758786E-2</v>
      </c>
      <c r="D45" s="253">
        <v>67657</v>
      </c>
      <c r="E45" s="328">
        <f t="shared" si="1"/>
        <v>1.205974239918234E-2</v>
      </c>
      <c r="F45" s="80"/>
      <c r="G45" s="331">
        <f>+'COEF Art 14 F I'!AI45</f>
        <v>1.2073750005705734E-2</v>
      </c>
      <c r="H45" s="130">
        <f t="shared" si="2"/>
        <v>763323.81567988743</v>
      </c>
      <c r="I45" s="131">
        <f t="shared" si="3"/>
        <v>789710.7254748221</v>
      </c>
      <c r="J45" s="131">
        <f t="shared" si="4"/>
        <v>677681.13309337909</v>
      </c>
      <c r="K45" s="131">
        <f t="shared" si="5"/>
        <v>2230715.6742480886</v>
      </c>
      <c r="L45" s="356">
        <f t="shared" si="6"/>
        <v>1.1922909788741115E-2</v>
      </c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</row>
    <row r="46" spans="1:54">
      <c r="A46" s="73" t="s">
        <v>39</v>
      </c>
      <c r="B46" s="266">
        <v>1142994</v>
      </c>
      <c r="C46" s="328">
        <f t="shared" si="0"/>
        <v>0.19759797055619194</v>
      </c>
      <c r="D46" s="253">
        <v>1124835</v>
      </c>
      <c r="E46" s="328">
        <f t="shared" si="1"/>
        <v>0.20049987941505337</v>
      </c>
      <c r="F46" s="80"/>
      <c r="G46" s="331">
        <f>+'COEF Art 14 F I'!AI46</f>
        <v>0.26252275120765867</v>
      </c>
      <c r="H46" s="130">
        <f t="shared" si="2"/>
        <v>12939350.735291233</v>
      </c>
      <c r="I46" s="131">
        <f t="shared" si="3"/>
        <v>13129377.062084801</v>
      </c>
      <c r="J46" s="131">
        <f t="shared" si="4"/>
        <v>14735000.75926066</v>
      </c>
      <c r="K46" s="131">
        <f t="shared" si="5"/>
        <v>40803728.556636699</v>
      </c>
      <c r="L46" s="356">
        <f t="shared" si="6"/>
        <v>0.2180910728522335</v>
      </c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</row>
    <row r="47" spans="1:54">
      <c r="A47" s="73" t="s">
        <v>40</v>
      </c>
      <c r="B47" s="266">
        <v>906</v>
      </c>
      <c r="C47" s="328">
        <f t="shared" si="0"/>
        <v>1.5662703507097141E-4</v>
      </c>
      <c r="D47" s="253">
        <v>1083</v>
      </c>
      <c r="E47" s="328">
        <f t="shared" si="1"/>
        <v>1.9304286353687681E-4</v>
      </c>
      <c r="F47" s="80"/>
      <c r="G47" s="331">
        <f>+'COEF Art 14 F I'!AI47</f>
        <v>2.7260255692247047E-3</v>
      </c>
      <c r="H47" s="130">
        <f t="shared" si="2"/>
        <v>10256.442086462272</v>
      </c>
      <c r="I47" s="131">
        <f t="shared" si="3"/>
        <v>12641.067675025974</v>
      </c>
      <c r="J47" s="131">
        <f t="shared" si="4"/>
        <v>153007.64847050011</v>
      </c>
      <c r="K47" s="131">
        <f t="shared" si="5"/>
        <v>175905.15823198835</v>
      </c>
      <c r="L47" s="356">
        <f t="shared" si="6"/>
        <v>9.4019213528015835E-4</v>
      </c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</row>
    <row r="48" spans="1:54">
      <c r="A48" s="73" t="s">
        <v>41</v>
      </c>
      <c r="B48" s="266">
        <v>147624</v>
      </c>
      <c r="C48" s="328">
        <f t="shared" si="0"/>
        <v>2.5520871330372057E-2</v>
      </c>
      <c r="D48" s="253">
        <v>112583</v>
      </c>
      <c r="E48" s="328">
        <f t="shared" si="1"/>
        <v>2.0067723643187627E-2</v>
      </c>
      <c r="F48" s="80"/>
      <c r="G48" s="331">
        <f>+'COEF Art 14 F I'!AI48</f>
        <v>9.6149874053472698E-3</v>
      </c>
      <c r="H48" s="130">
        <f t="shared" si="2"/>
        <v>1671188.7489756141</v>
      </c>
      <c r="I48" s="131">
        <f t="shared" si="3"/>
        <v>1314099.0970059549</v>
      </c>
      <c r="J48" s="131">
        <f t="shared" si="4"/>
        <v>539674.54655389313</v>
      </c>
      <c r="K48" s="131">
        <f t="shared" si="5"/>
        <v>3524962.392535462</v>
      </c>
      <c r="L48" s="356">
        <f t="shared" si="6"/>
        <v>1.8840504462350072E-2</v>
      </c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</row>
    <row r="49" spans="1:54">
      <c r="A49" s="73" t="s">
        <v>42</v>
      </c>
      <c r="B49" s="266">
        <v>5389</v>
      </c>
      <c r="C49" s="328">
        <f t="shared" si="0"/>
        <v>9.3163696688461914E-4</v>
      </c>
      <c r="D49" s="253">
        <v>5201</v>
      </c>
      <c r="E49" s="328">
        <f t="shared" si="1"/>
        <v>9.2706919044810367E-4</v>
      </c>
      <c r="F49" s="80"/>
      <c r="G49" s="331">
        <f>+'COEF Art 14 F I'!AI49</f>
        <v>2.6546113167722914E-3</v>
      </c>
      <c r="H49" s="130">
        <f t="shared" si="2"/>
        <v>61006.58543481808</v>
      </c>
      <c r="I49" s="131">
        <f t="shared" si="3"/>
        <v>60707.472740360194</v>
      </c>
      <c r="J49" s="131">
        <f t="shared" si="4"/>
        <v>148999.27563703104</v>
      </c>
      <c r="K49" s="131">
        <f t="shared" si="5"/>
        <v>270713.33381220931</v>
      </c>
      <c r="L49" s="356">
        <f t="shared" si="6"/>
        <v>1.4469305500981406E-3</v>
      </c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</row>
    <row r="50" spans="1:54">
      <c r="A50" s="73" t="s">
        <v>43</v>
      </c>
      <c r="B50" s="266">
        <v>2377</v>
      </c>
      <c r="C50" s="328">
        <f t="shared" si="0"/>
        <v>4.1092987015860824E-4</v>
      </c>
      <c r="D50" s="253">
        <v>2987</v>
      </c>
      <c r="E50" s="328">
        <f t="shared" si="1"/>
        <v>5.3242754698490402E-4</v>
      </c>
      <c r="F50" s="80"/>
      <c r="G50" s="331">
        <f>+'COEF Art 14 F I'!AI50</f>
        <v>1.6638204224556814E-3</v>
      </c>
      <c r="H50" s="130">
        <f t="shared" si="2"/>
        <v>26909.009756645497</v>
      </c>
      <c r="I50" s="131">
        <f t="shared" si="3"/>
        <v>34865.068462883275</v>
      </c>
      <c r="J50" s="131">
        <f t="shared" si="4"/>
        <v>93387.697162921671</v>
      </c>
      <c r="K50" s="131">
        <f t="shared" si="5"/>
        <v>155161.77538245043</v>
      </c>
      <c r="L50" s="356">
        <f t="shared" si="6"/>
        <v>8.2932122273693377E-4</v>
      </c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</row>
    <row r="51" spans="1:54">
      <c r="A51" s="73" t="s">
        <v>44</v>
      </c>
      <c r="B51" s="266">
        <v>34709</v>
      </c>
      <c r="C51" s="328">
        <f t="shared" si="0"/>
        <v>6.0004059164220159E-3</v>
      </c>
      <c r="D51" s="253">
        <v>39096</v>
      </c>
      <c r="E51" s="328">
        <f t="shared" si="1"/>
        <v>6.9687938992038182E-3</v>
      </c>
      <c r="F51" s="80"/>
      <c r="G51" s="331">
        <f>+'COEF Art 14 F I'!AI51</f>
        <v>6.2094323520877183E-3</v>
      </c>
      <c r="H51" s="130">
        <f t="shared" si="2"/>
        <v>392925.88121304521</v>
      </c>
      <c r="I51" s="131">
        <f t="shared" si="3"/>
        <v>456339.04138764122</v>
      </c>
      <c r="J51" s="131">
        <f t="shared" si="4"/>
        <v>348525.94680533349</v>
      </c>
      <c r="K51" s="131">
        <f t="shared" si="5"/>
        <v>1197790.8694060198</v>
      </c>
      <c r="L51" s="356">
        <f t="shared" si="6"/>
        <v>6.4020496410953573E-3</v>
      </c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</row>
    <row r="52" spans="1:54">
      <c r="A52" s="73" t="s">
        <v>45</v>
      </c>
      <c r="B52" s="266">
        <v>86766</v>
      </c>
      <c r="C52" s="328">
        <f t="shared" si="0"/>
        <v>1.4999891087161044E-2</v>
      </c>
      <c r="D52" s="253">
        <v>61868</v>
      </c>
      <c r="E52" s="328">
        <f t="shared" si="1"/>
        <v>1.1027863232963522E-2</v>
      </c>
      <c r="F52" s="80"/>
      <c r="G52" s="331">
        <f>+'COEF Art 14 F I'!AI52</f>
        <v>9.7218931326892837E-3</v>
      </c>
      <c r="H52" s="130">
        <f t="shared" si="2"/>
        <v>982241.11928695964</v>
      </c>
      <c r="I52" s="131">
        <f t="shared" si="3"/>
        <v>722139.95837350597</v>
      </c>
      <c r="J52" s="131">
        <f t="shared" si="4"/>
        <v>545675.00162419619</v>
      </c>
      <c r="K52" s="131">
        <f t="shared" si="5"/>
        <v>2250056.0792846619</v>
      </c>
      <c r="L52" s="356">
        <f t="shared" si="6"/>
        <v>1.2026281951850385E-2</v>
      </c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</row>
    <row r="53" spans="1:54">
      <c r="A53" s="73" t="s">
        <v>46</v>
      </c>
      <c r="B53" s="266">
        <v>412199</v>
      </c>
      <c r="C53" s="328">
        <f t="shared" si="0"/>
        <v>7.125994175410523E-2</v>
      </c>
      <c r="D53" s="253">
        <v>474163</v>
      </c>
      <c r="E53" s="328">
        <f t="shared" si="1"/>
        <v>8.4518728811852364E-2</v>
      </c>
      <c r="F53" s="80"/>
      <c r="G53" s="331">
        <f>+'COEF Art 14 F I'!AI53</f>
        <v>6.8777693472522369E-2</v>
      </c>
      <c r="H53" s="130">
        <f t="shared" si="2"/>
        <v>4666330.2114764471</v>
      </c>
      <c r="I53" s="131">
        <f t="shared" si="3"/>
        <v>5534558.2382209981</v>
      </c>
      <c r="J53" s="131">
        <f t="shared" si="4"/>
        <v>3860386.8079082076</v>
      </c>
      <c r="K53" s="131">
        <f t="shared" si="5"/>
        <v>14061275.257605653</v>
      </c>
      <c r="L53" s="356">
        <f t="shared" si="6"/>
        <v>7.5155842739841883E-2</v>
      </c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</row>
    <row r="54" spans="1:54">
      <c r="A54" s="73" t="s">
        <v>47</v>
      </c>
      <c r="B54" s="266">
        <v>132169</v>
      </c>
      <c r="C54" s="328">
        <f t="shared" si="0"/>
        <v>2.2849049225491413E-2</v>
      </c>
      <c r="D54" s="253">
        <v>137614</v>
      </c>
      <c r="E54" s="328">
        <f t="shared" si="1"/>
        <v>2.4529455792025635E-2</v>
      </c>
      <c r="F54" s="80"/>
      <c r="G54" s="331">
        <f>+'COEF Art 14 F I'!AI54</f>
        <v>0.13375992128897796</v>
      </c>
      <c r="H54" s="130">
        <f t="shared" si="2"/>
        <v>1496229.2429642738</v>
      </c>
      <c r="I54" s="131">
        <f t="shared" si="3"/>
        <v>1606267.6703887575</v>
      </c>
      <c r="J54" s="131">
        <f t="shared" si="4"/>
        <v>7507739.9299106421</v>
      </c>
      <c r="K54" s="131">
        <f t="shared" si="5"/>
        <v>10610236.843263675</v>
      </c>
      <c r="L54" s="356">
        <f t="shared" si="6"/>
        <v>5.6710453142824364E-2</v>
      </c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</row>
    <row r="55" spans="1:54">
      <c r="A55" s="73" t="s">
        <v>48</v>
      </c>
      <c r="B55" s="266">
        <v>306322</v>
      </c>
      <c r="C55" s="328">
        <f t="shared" si="0"/>
        <v>5.2956188341070756E-2</v>
      </c>
      <c r="D55" s="253">
        <v>322051</v>
      </c>
      <c r="E55" s="328">
        <f t="shared" si="1"/>
        <v>5.7405029773697797E-2</v>
      </c>
      <c r="F55" s="80"/>
      <c r="G55" s="331">
        <f>+'COEF Art 14 F I'!AI55</f>
        <v>3.5142602706669752E-2</v>
      </c>
      <c r="H55" s="130">
        <f t="shared" si="2"/>
        <v>3467741.5593921589</v>
      </c>
      <c r="I55" s="131">
        <f t="shared" si="3"/>
        <v>3759066.0072112558</v>
      </c>
      <c r="J55" s="131">
        <f t="shared" si="4"/>
        <v>1972500.574457136</v>
      </c>
      <c r="K55" s="131">
        <f t="shared" si="5"/>
        <v>9199308.1410605498</v>
      </c>
      <c r="L55" s="356">
        <f t="shared" si="6"/>
        <v>4.9169207152169915E-2</v>
      </c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</row>
    <row r="56" spans="1:54">
      <c r="A56" s="73" t="s">
        <v>49</v>
      </c>
      <c r="B56" s="266">
        <v>46784</v>
      </c>
      <c r="C56" s="328">
        <f t="shared" si="0"/>
        <v>8.0879019964242016E-3</v>
      </c>
      <c r="D56" s="253">
        <v>46955</v>
      </c>
      <c r="E56" s="328">
        <f t="shared" si="1"/>
        <v>8.3696469597174979E-3</v>
      </c>
      <c r="F56" s="80"/>
      <c r="G56" s="331">
        <f>+'COEF Art 14 F I'!AI56</f>
        <v>1.8295134655160829E-2</v>
      </c>
      <c r="H56" s="130">
        <f t="shared" si="2"/>
        <v>529621.83948460361</v>
      </c>
      <c r="I56" s="131">
        <f t="shared" si="3"/>
        <v>548071.40598415933</v>
      </c>
      <c r="J56" s="131">
        <f t="shared" si="4"/>
        <v>1026877.944080857</v>
      </c>
      <c r="K56" s="131">
        <f t="shared" si="5"/>
        <v>2104571.1895496198</v>
      </c>
      <c r="L56" s="356">
        <f t="shared" si="6"/>
        <v>1.1248682531197844E-2</v>
      </c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</row>
    <row r="57" spans="1:54">
      <c r="A57" s="73" t="s">
        <v>50</v>
      </c>
      <c r="B57" s="266">
        <v>1552</v>
      </c>
      <c r="C57" s="328">
        <f t="shared" si="0"/>
        <v>2.6830591438206137E-4</v>
      </c>
      <c r="D57" s="253">
        <v>1942</v>
      </c>
      <c r="E57" s="328">
        <f t="shared" si="1"/>
        <v>3.4615811725633865E-4</v>
      </c>
      <c r="F57" s="80"/>
      <c r="G57" s="331">
        <f>+'COEF Art 14 F I'!AI57</f>
        <v>3.8787166710722029E-3</v>
      </c>
      <c r="H57" s="130">
        <f t="shared" si="2"/>
        <v>17569.534346787466</v>
      </c>
      <c r="I57" s="131">
        <f t="shared" si="3"/>
        <v>22667.547022068735</v>
      </c>
      <c r="J57" s="131">
        <f t="shared" si="4"/>
        <v>217706.438128851</v>
      </c>
      <c r="K57" s="131">
        <f t="shared" si="5"/>
        <v>257943.5194977072</v>
      </c>
      <c r="L57" s="356">
        <f t="shared" si="6"/>
        <v>1.378677412395101E-3</v>
      </c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</row>
    <row r="58" spans="1:54">
      <c r="A58" s="73" t="s">
        <v>51</v>
      </c>
      <c r="B58" s="266">
        <v>3573</v>
      </c>
      <c r="C58" s="328">
        <f t="shared" si="0"/>
        <v>6.1769138665406279E-4</v>
      </c>
      <c r="D58" s="253">
        <v>4567</v>
      </c>
      <c r="E58" s="328">
        <f t="shared" si="1"/>
        <v>8.1405979480417019E-4</v>
      </c>
      <c r="F58" s="80"/>
      <c r="G58" s="331">
        <f>+'COEF Art 14 F I'!AI58</f>
        <v>2.356718290530589E-3</v>
      </c>
      <c r="H58" s="130">
        <f t="shared" si="2"/>
        <v>40448.418956876048</v>
      </c>
      <c r="I58" s="131">
        <f t="shared" si="3"/>
        <v>53307.253990621997</v>
      </c>
      <c r="J58" s="131">
        <f t="shared" si="4"/>
        <v>132278.9954035749</v>
      </c>
      <c r="K58" s="131">
        <f t="shared" si="5"/>
        <v>226034.66835107293</v>
      </c>
      <c r="L58" s="356">
        <f t="shared" si="6"/>
        <v>1.2081284006695584E-3</v>
      </c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</row>
    <row r="59" spans="1:54" ht="13.5" thickBot="1">
      <c r="A59" s="97" t="s">
        <v>52</v>
      </c>
      <c r="B59" s="268">
        <f>SUM(B8:B58)</f>
        <v>5784442</v>
      </c>
      <c r="C59" s="329">
        <f>SUM(C8:C58)</f>
        <v>1.0000000000000002</v>
      </c>
      <c r="D59" s="254">
        <f>SUM(D8:D58)</f>
        <v>5610153</v>
      </c>
      <c r="E59" s="329">
        <f t="shared" si="1"/>
        <v>1</v>
      </c>
      <c r="F59" s="80"/>
      <c r="G59" s="332">
        <f t="shared" ref="G59:L59" si="7">SUM(G8:G58)</f>
        <v>1.0000000000000002</v>
      </c>
      <c r="H59" s="133">
        <f t="shared" si="7"/>
        <v>65483216.75</v>
      </c>
      <c r="I59" s="134">
        <f t="shared" si="7"/>
        <v>65483216.749999978</v>
      </c>
      <c r="J59" s="134">
        <f t="shared" si="7"/>
        <v>56128471.500000007</v>
      </c>
      <c r="K59" s="134">
        <f t="shared" si="7"/>
        <v>187094904.99999997</v>
      </c>
      <c r="L59" s="333">
        <f t="shared" si="7"/>
        <v>1.0000000000000002</v>
      </c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</row>
    <row r="60" spans="1:54" ht="13.5" thickTop="1">
      <c r="A60" s="80"/>
      <c r="B60" s="80"/>
      <c r="C60" s="111"/>
      <c r="D60" s="80"/>
      <c r="E60" s="111"/>
      <c r="F60" s="80"/>
      <c r="G60" s="111"/>
      <c r="H60" s="80"/>
      <c r="I60" s="80"/>
      <c r="J60" s="80"/>
      <c r="K60" s="80"/>
      <c r="L60" s="111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</row>
    <row r="61" spans="1:54" ht="15.75" customHeight="1">
      <c r="A61" s="80" t="s">
        <v>87</v>
      </c>
      <c r="B61" s="80"/>
      <c r="C61" s="111"/>
      <c r="D61" s="80"/>
      <c r="E61" s="111"/>
      <c r="F61" s="80"/>
      <c r="G61" s="111"/>
      <c r="H61" s="80"/>
      <c r="I61" s="80"/>
      <c r="J61" s="80"/>
      <c r="K61" s="80"/>
      <c r="L61" s="111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</row>
    <row r="62" spans="1:54">
      <c r="A62" s="80" t="s">
        <v>320</v>
      </c>
      <c r="B62" s="80"/>
      <c r="C62" s="111"/>
      <c r="D62" s="80"/>
      <c r="E62" s="111"/>
      <c r="F62" s="80"/>
      <c r="G62" s="111"/>
      <c r="H62" s="80"/>
      <c r="I62" s="80"/>
      <c r="J62" s="80"/>
      <c r="K62" s="80"/>
      <c r="L62" s="111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</row>
    <row r="63" spans="1:54">
      <c r="A63" s="80" t="s">
        <v>114</v>
      </c>
      <c r="B63" s="80"/>
      <c r="C63" s="111"/>
      <c r="D63" s="80"/>
      <c r="E63" s="111"/>
      <c r="F63" s="80"/>
      <c r="G63" s="111"/>
      <c r="H63" s="80"/>
      <c r="I63" s="80"/>
      <c r="J63" s="80"/>
      <c r="K63" s="80"/>
      <c r="L63" s="111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</row>
    <row r="64" spans="1:54">
      <c r="A64" s="80"/>
      <c r="B64" s="80"/>
      <c r="C64" s="111"/>
      <c r="D64" s="80"/>
      <c r="E64" s="111"/>
      <c r="F64" s="80"/>
      <c r="G64" s="111"/>
      <c r="H64" s="80"/>
      <c r="I64" s="80"/>
      <c r="J64" s="80"/>
      <c r="K64" s="80"/>
      <c r="L64" s="111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</row>
    <row r="65" spans="1:54">
      <c r="A65" s="80"/>
      <c r="B65" s="80"/>
      <c r="C65" s="111"/>
      <c r="D65" s="80"/>
      <c r="E65" s="111"/>
      <c r="F65" s="80"/>
      <c r="G65" s="111"/>
      <c r="H65" s="80"/>
      <c r="I65" s="80"/>
      <c r="J65" s="80"/>
      <c r="K65" s="80"/>
      <c r="L65" s="111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</row>
    <row r="66" spans="1:54">
      <c r="A66" s="80"/>
      <c r="B66" s="80"/>
      <c r="C66" s="111"/>
      <c r="D66" s="80"/>
      <c r="E66" s="111"/>
      <c r="F66" s="80"/>
      <c r="G66" s="111"/>
      <c r="H66" s="80"/>
      <c r="I66" s="80"/>
      <c r="J66" s="80"/>
      <c r="K66" s="80"/>
      <c r="L66" s="111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</row>
    <row r="67" spans="1:54">
      <c r="A67" s="80"/>
      <c r="B67" s="80"/>
      <c r="C67" s="111"/>
      <c r="D67" s="80"/>
      <c r="E67" s="111"/>
      <c r="F67" s="80"/>
      <c r="G67" s="111"/>
      <c r="H67" s="80"/>
      <c r="I67" s="80"/>
      <c r="J67" s="80"/>
      <c r="K67" s="80"/>
      <c r="L67" s="111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</row>
    <row r="68" spans="1:54">
      <c r="A68" s="80"/>
      <c r="B68" s="80"/>
      <c r="C68" s="111"/>
      <c r="D68" s="80"/>
      <c r="E68" s="111"/>
      <c r="F68" s="80"/>
      <c r="G68" s="111"/>
      <c r="H68" s="80"/>
      <c r="I68" s="80"/>
      <c r="J68" s="80"/>
      <c r="K68" s="80"/>
      <c r="L68" s="111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</row>
    <row r="69" spans="1:54">
      <c r="A69" s="80"/>
      <c r="B69" s="80"/>
      <c r="C69" s="111"/>
      <c r="D69" s="80"/>
      <c r="E69" s="111"/>
      <c r="F69" s="80"/>
      <c r="G69" s="111"/>
      <c r="H69" s="80"/>
      <c r="I69" s="80"/>
      <c r="J69" s="80"/>
      <c r="K69" s="80"/>
      <c r="L69" s="111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</row>
    <row r="70" spans="1:54">
      <c r="A70" s="80"/>
      <c r="B70" s="80"/>
      <c r="C70" s="111"/>
      <c r="D70" s="80"/>
      <c r="E70" s="111"/>
      <c r="F70" s="80"/>
      <c r="G70" s="111"/>
      <c r="H70" s="80"/>
      <c r="I70" s="80"/>
      <c r="J70" s="80"/>
      <c r="K70" s="80"/>
      <c r="L70" s="111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</row>
    <row r="71" spans="1:54">
      <c r="A71" s="80"/>
      <c r="B71" s="80"/>
      <c r="C71" s="111"/>
      <c r="D71" s="80"/>
      <c r="E71" s="111"/>
      <c r="F71" s="80"/>
      <c r="G71" s="111"/>
      <c r="H71" s="80"/>
      <c r="I71" s="80"/>
      <c r="J71" s="80"/>
      <c r="K71" s="80"/>
      <c r="L71" s="111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</row>
    <row r="72" spans="1:54">
      <c r="A72" s="80"/>
      <c r="B72" s="80"/>
      <c r="C72" s="111"/>
      <c r="D72" s="80"/>
      <c r="E72" s="111"/>
      <c r="F72" s="80"/>
      <c r="G72" s="111"/>
      <c r="H72" s="80"/>
      <c r="I72" s="80"/>
      <c r="J72" s="80"/>
      <c r="K72" s="80"/>
      <c r="L72" s="111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</row>
    <row r="73" spans="1:54">
      <c r="A73" s="80"/>
      <c r="B73" s="80"/>
      <c r="C73" s="111"/>
      <c r="D73" s="80"/>
      <c r="E73" s="111"/>
      <c r="F73" s="80"/>
      <c r="G73" s="111"/>
      <c r="H73" s="80"/>
      <c r="I73" s="80"/>
      <c r="J73" s="80"/>
      <c r="K73" s="80"/>
      <c r="L73" s="111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</row>
    <row r="74" spans="1:54">
      <c r="A74" s="80"/>
      <c r="B74" s="80"/>
      <c r="C74" s="111"/>
      <c r="D74" s="80"/>
      <c r="E74" s="111"/>
      <c r="F74" s="80"/>
      <c r="G74" s="111"/>
      <c r="H74" s="80"/>
      <c r="I74" s="80"/>
      <c r="J74" s="80"/>
      <c r="K74" s="80"/>
      <c r="L74" s="111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</row>
    <row r="75" spans="1:54">
      <c r="A75" s="80"/>
      <c r="B75" s="80"/>
      <c r="C75" s="111"/>
      <c r="D75" s="80"/>
      <c r="E75" s="111"/>
      <c r="F75" s="80"/>
      <c r="G75" s="111"/>
      <c r="H75" s="80"/>
      <c r="I75" s="80"/>
      <c r="J75" s="80"/>
      <c r="K75" s="80"/>
      <c r="L75" s="111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</row>
    <row r="76" spans="1:54">
      <c r="A76" s="80"/>
      <c r="B76" s="80"/>
      <c r="C76" s="111"/>
      <c r="D76" s="80"/>
      <c r="E76" s="111"/>
      <c r="F76" s="80"/>
      <c r="G76" s="111"/>
      <c r="H76" s="80"/>
      <c r="I76" s="80"/>
      <c r="J76" s="80"/>
      <c r="K76" s="80"/>
      <c r="L76" s="111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</row>
    <row r="77" spans="1:54">
      <c r="A77" s="80"/>
      <c r="B77" s="80"/>
      <c r="C77" s="111"/>
      <c r="D77" s="80"/>
      <c r="E77" s="111"/>
      <c r="F77" s="80"/>
      <c r="G77" s="111"/>
      <c r="H77" s="80"/>
      <c r="I77" s="80"/>
      <c r="J77" s="80"/>
      <c r="K77" s="80"/>
      <c r="L77" s="111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</row>
    <row r="78" spans="1:54">
      <c r="A78" s="80"/>
      <c r="B78" s="80"/>
      <c r="C78" s="111"/>
      <c r="D78" s="80"/>
      <c r="E78" s="111"/>
      <c r="F78" s="80"/>
      <c r="G78" s="111"/>
      <c r="H78" s="80"/>
      <c r="I78" s="80"/>
      <c r="J78" s="80"/>
      <c r="K78" s="80"/>
      <c r="L78" s="111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</row>
    <row r="79" spans="1:54">
      <c r="A79" s="80"/>
      <c r="B79" s="80"/>
      <c r="C79" s="111"/>
      <c r="D79" s="80"/>
      <c r="E79" s="111"/>
      <c r="F79" s="80"/>
      <c r="G79" s="111"/>
      <c r="H79" s="80"/>
      <c r="I79" s="80"/>
      <c r="J79" s="80"/>
      <c r="K79" s="80"/>
      <c r="L79" s="111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</row>
    <row r="80" spans="1:54">
      <c r="A80" s="80"/>
      <c r="B80" s="80"/>
      <c r="C80" s="111"/>
      <c r="D80" s="80"/>
      <c r="E80" s="111"/>
      <c r="F80" s="80"/>
      <c r="G80" s="111"/>
      <c r="H80" s="80"/>
      <c r="I80" s="80"/>
      <c r="J80" s="80"/>
      <c r="K80" s="80"/>
      <c r="L80" s="111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</row>
    <row r="81" spans="1:54">
      <c r="A81" s="80"/>
      <c r="B81" s="80"/>
      <c r="C81" s="111"/>
      <c r="D81" s="80"/>
      <c r="E81" s="111"/>
      <c r="F81" s="80"/>
      <c r="G81" s="111"/>
      <c r="H81" s="80"/>
      <c r="I81" s="80"/>
      <c r="J81" s="80"/>
      <c r="K81" s="80"/>
      <c r="L81" s="111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</row>
    <row r="82" spans="1:54">
      <c r="A82" s="80"/>
      <c r="B82" s="80"/>
      <c r="C82" s="111"/>
      <c r="D82" s="80"/>
      <c r="E82" s="111"/>
      <c r="F82" s="80"/>
      <c r="G82" s="111"/>
      <c r="H82" s="80"/>
      <c r="I82" s="80"/>
      <c r="J82" s="80"/>
      <c r="K82" s="80"/>
      <c r="L82" s="111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</row>
    <row r="83" spans="1:54">
      <c r="A83" s="80"/>
      <c r="B83" s="80"/>
      <c r="C83" s="111"/>
      <c r="D83" s="80"/>
      <c r="E83" s="111"/>
      <c r="F83" s="80"/>
      <c r="G83" s="111"/>
      <c r="H83" s="80"/>
      <c r="I83" s="80"/>
      <c r="J83" s="80"/>
      <c r="K83" s="80"/>
      <c r="L83" s="111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</row>
    <row r="84" spans="1:54">
      <c r="A84" s="80"/>
      <c r="B84" s="80"/>
      <c r="C84" s="111"/>
      <c r="D84" s="80"/>
      <c r="E84" s="111"/>
      <c r="F84" s="80"/>
      <c r="G84" s="111"/>
      <c r="H84" s="80"/>
      <c r="I84" s="80"/>
      <c r="J84" s="80"/>
      <c r="K84" s="80"/>
      <c r="L84" s="111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</row>
    <row r="85" spans="1:54">
      <c r="A85" s="80"/>
      <c r="B85" s="80"/>
      <c r="C85" s="111"/>
      <c r="D85" s="80"/>
      <c r="E85" s="111"/>
      <c r="F85" s="80"/>
      <c r="G85" s="111"/>
      <c r="H85" s="80"/>
      <c r="I85" s="80"/>
      <c r="J85" s="80"/>
      <c r="K85" s="80"/>
      <c r="L85" s="111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</row>
    <row r="86" spans="1:54">
      <c r="A86" s="80"/>
      <c r="B86" s="80"/>
      <c r="C86" s="111"/>
      <c r="D86" s="80"/>
      <c r="E86" s="111"/>
      <c r="F86" s="80"/>
      <c r="G86" s="111"/>
      <c r="H86" s="80"/>
      <c r="I86" s="80"/>
      <c r="J86" s="80"/>
      <c r="K86" s="80"/>
      <c r="L86" s="111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</row>
    <row r="87" spans="1:54">
      <c r="A87" s="80"/>
      <c r="B87" s="80"/>
      <c r="C87" s="111"/>
      <c r="D87" s="80"/>
      <c r="E87" s="111"/>
      <c r="F87" s="80"/>
      <c r="G87" s="111"/>
      <c r="H87" s="80"/>
      <c r="I87" s="80"/>
      <c r="J87" s="80"/>
      <c r="K87" s="80"/>
      <c r="L87" s="111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</row>
    <row r="88" spans="1:54">
      <c r="A88" s="80"/>
      <c r="B88" s="80"/>
      <c r="C88" s="111"/>
      <c r="D88" s="80"/>
      <c r="E88" s="111"/>
      <c r="F88" s="80"/>
      <c r="G88" s="111"/>
      <c r="H88" s="80"/>
      <c r="I88" s="80"/>
      <c r="J88" s="80"/>
      <c r="K88" s="80"/>
      <c r="L88" s="111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</row>
    <row r="89" spans="1:54">
      <c r="A89" s="80"/>
      <c r="B89" s="80"/>
      <c r="C89" s="111"/>
      <c r="D89" s="80"/>
      <c r="E89" s="111"/>
      <c r="F89" s="80"/>
      <c r="G89" s="111"/>
      <c r="H89" s="80"/>
      <c r="I89" s="80"/>
      <c r="J89" s="80"/>
      <c r="K89" s="80"/>
      <c r="L89" s="111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</row>
    <row r="90" spans="1:54">
      <c r="A90" s="80"/>
      <c r="B90" s="80"/>
      <c r="C90" s="111"/>
      <c r="D90" s="80"/>
      <c r="E90" s="111"/>
      <c r="F90" s="80"/>
      <c r="G90" s="111"/>
      <c r="H90" s="80"/>
      <c r="I90" s="80"/>
      <c r="J90" s="80"/>
      <c r="K90" s="80"/>
      <c r="L90" s="111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</row>
    <row r="91" spans="1:54">
      <c r="A91" s="80"/>
      <c r="B91" s="80"/>
      <c r="C91" s="111"/>
      <c r="D91" s="80"/>
      <c r="E91" s="111"/>
      <c r="F91" s="80"/>
      <c r="G91" s="111"/>
      <c r="H91" s="80"/>
      <c r="I91" s="80"/>
      <c r="J91" s="80"/>
      <c r="K91" s="80"/>
      <c r="L91" s="111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</row>
    <row r="92" spans="1:54">
      <c r="A92" s="80"/>
      <c r="B92" s="80"/>
      <c r="C92" s="111"/>
      <c r="D92" s="80"/>
      <c r="E92" s="111"/>
      <c r="F92" s="80"/>
      <c r="G92" s="111"/>
      <c r="H92" s="80"/>
      <c r="I92" s="80"/>
      <c r="J92" s="80"/>
      <c r="K92" s="80"/>
      <c r="L92" s="111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</row>
    <row r="93" spans="1:54">
      <c r="A93" s="80"/>
      <c r="B93" s="80"/>
      <c r="C93" s="111"/>
      <c r="D93" s="80"/>
      <c r="E93" s="111"/>
      <c r="F93" s="80"/>
      <c r="G93" s="111"/>
      <c r="H93" s="80"/>
      <c r="I93" s="80"/>
      <c r="J93" s="80"/>
      <c r="K93" s="80"/>
      <c r="L93" s="111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</row>
    <row r="94" spans="1:54">
      <c r="A94" s="80"/>
      <c r="B94" s="80"/>
      <c r="C94" s="111"/>
      <c r="D94" s="80"/>
      <c r="E94" s="111"/>
      <c r="F94" s="80"/>
      <c r="G94" s="111"/>
      <c r="H94" s="80"/>
      <c r="I94" s="80"/>
      <c r="J94" s="80"/>
      <c r="K94" s="80"/>
      <c r="L94" s="111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</row>
    <row r="95" spans="1:54">
      <c r="A95" s="80"/>
      <c r="B95" s="80"/>
      <c r="C95" s="111"/>
      <c r="D95" s="80"/>
      <c r="E95" s="111"/>
      <c r="F95" s="80"/>
      <c r="G95" s="111"/>
      <c r="H95" s="80"/>
      <c r="I95" s="80"/>
      <c r="J95" s="80"/>
      <c r="K95" s="80"/>
      <c r="L95" s="111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</row>
    <row r="96" spans="1:54">
      <c r="A96" s="80"/>
      <c r="B96" s="80"/>
      <c r="C96" s="111"/>
      <c r="D96" s="80"/>
      <c r="E96" s="111"/>
      <c r="F96" s="80"/>
      <c r="G96" s="111"/>
      <c r="H96" s="80"/>
      <c r="I96" s="80"/>
      <c r="J96" s="80"/>
      <c r="K96" s="80"/>
      <c r="L96" s="111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</row>
    <row r="97" spans="1:54">
      <c r="A97" s="80"/>
      <c r="B97" s="80"/>
      <c r="C97" s="111"/>
      <c r="D97" s="80"/>
      <c r="E97" s="111"/>
      <c r="F97" s="80"/>
      <c r="G97" s="111"/>
      <c r="H97" s="80"/>
      <c r="I97" s="80"/>
      <c r="J97" s="80"/>
      <c r="K97" s="80"/>
      <c r="L97" s="111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</row>
    <row r="98" spans="1:54">
      <c r="A98" s="80"/>
      <c r="B98" s="80"/>
      <c r="C98" s="111"/>
      <c r="D98" s="80"/>
      <c r="E98" s="111"/>
      <c r="F98" s="80"/>
      <c r="G98" s="111"/>
      <c r="H98" s="80"/>
      <c r="I98" s="80"/>
      <c r="J98" s="80"/>
      <c r="K98" s="80"/>
      <c r="L98" s="111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</row>
    <row r="99" spans="1:54">
      <c r="A99" s="80"/>
      <c r="B99" s="80"/>
      <c r="C99" s="111"/>
      <c r="D99" s="80"/>
      <c r="E99" s="111"/>
      <c r="F99" s="80"/>
      <c r="G99" s="111"/>
      <c r="H99" s="80"/>
      <c r="I99" s="80"/>
      <c r="J99" s="80"/>
      <c r="K99" s="80"/>
      <c r="L99" s="111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</row>
    <row r="100" spans="1:54">
      <c r="A100" s="80"/>
      <c r="B100" s="80"/>
      <c r="C100" s="111"/>
      <c r="D100" s="80"/>
      <c r="E100" s="111"/>
      <c r="F100" s="80"/>
      <c r="G100" s="111"/>
      <c r="H100" s="80"/>
      <c r="I100" s="80"/>
      <c r="J100" s="80"/>
      <c r="K100" s="80"/>
      <c r="L100" s="111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</row>
    <row r="101" spans="1:54">
      <c r="A101" s="80"/>
      <c r="B101" s="80"/>
      <c r="C101" s="111"/>
      <c r="D101" s="80"/>
      <c r="E101" s="111"/>
      <c r="F101" s="80"/>
      <c r="G101" s="111"/>
      <c r="H101" s="80"/>
      <c r="I101" s="80"/>
      <c r="J101" s="80"/>
      <c r="K101" s="80"/>
      <c r="L101" s="111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</row>
    <row r="102" spans="1:54">
      <c r="A102" s="80"/>
      <c r="B102" s="80"/>
      <c r="C102" s="111"/>
      <c r="D102" s="80"/>
      <c r="E102" s="111"/>
      <c r="F102" s="80"/>
      <c r="G102" s="111"/>
      <c r="H102" s="80"/>
      <c r="I102" s="80"/>
      <c r="J102" s="80"/>
      <c r="K102" s="80"/>
      <c r="L102" s="111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</row>
    <row r="103" spans="1:54">
      <c r="A103" s="80"/>
      <c r="B103" s="80"/>
      <c r="C103" s="111"/>
      <c r="D103" s="80"/>
      <c r="E103" s="111"/>
      <c r="F103" s="80"/>
      <c r="G103" s="111"/>
      <c r="H103" s="80"/>
      <c r="I103" s="80"/>
      <c r="J103" s="80"/>
      <c r="K103" s="80"/>
      <c r="L103" s="111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</row>
    <row r="104" spans="1:54">
      <c r="A104" s="80"/>
      <c r="B104" s="80"/>
      <c r="C104" s="111"/>
      <c r="D104" s="80"/>
      <c r="E104" s="111"/>
      <c r="F104" s="80"/>
      <c r="G104" s="111"/>
      <c r="H104" s="80"/>
      <c r="I104" s="80"/>
      <c r="J104" s="80"/>
      <c r="K104" s="80"/>
      <c r="L104" s="111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</row>
    <row r="105" spans="1:54">
      <c r="A105" s="80"/>
      <c r="B105" s="80"/>
      <c r="C105" s="111"/>
      <c r="D105" s="80"/>
      <c r="E105" s="111"/>
      <c r="F105" s="80"/>
      <c r="G105" s="111"/>
      <c r="H105" s="80"/>
      <c r="I105" s="80"/>
      <c r="J105" s="80"/>
      <c r="K105" s="80"/>
      <c r="L105" s="111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</row>
    <row r="106" spans="1:54">
      <c r="A106" s="80"/>
      <c r="B106" s="80"/>
      <c r="C106" s="111"/>
      <c r="D106" s="80"/>
      <c r="E106" s="111"/>
      <c r="F106" s="80"/>
      <c r="G106" s="111"/>
      <c r="H106" s="80"/>
      <c r="I106" s="80"/>
      <c r="J106" s="80"/>
      <c r="K106" s="80"/>
      <c r="L106" s="111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</row>
    <row r="107" spans="1:54">
      <c r="A107" s="80"/>
      <c r="B107" s="80"/>
      <c r="C107" s="111"/>
      <c r="D107" s="80"/>
      <c r="E107" s="111"/>
      <c r="F107" s="80"/>
      <c r="G107" s="111"/>
      <c r="H107" s="80"/>
      <c r="I107" s="80"/>
      <c r="J107" s="80"/>
      <c r="K107" s="80"/>
      <c r="L107" s="111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</row>
    <row r="108" spans="1:54">
      <c r="A108" s="80"/>
      <c r="B108" s="80"/>
      <c r="C108" s="111"/>
      <c r="D108" s="80"/>
      <c r="E108" s="111"/>
      <c r="F108" s="80"/>
      <c r="G108" s="111"/>
      <c r="H108" s="80"/>
      <c r="I108" s="80"/>
      <c r="J108" s="80"/>
      <c r="K108" s="80"/>
      <c r="L108" s="111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</row>
    <row r="109" spans="1:54">
      <c r="A109" s="80"/>
      <c r="B109" s="80"/>
      <c r="C109" s="111"/>
      <c r="D109" s="80"/>
      <c r="E109" s="111"/>
      <c r="F109" s="80"/>
      <c r="G109" s="111"/>
      <c r="H109" s="80"/>
      <c r="I109" s="80"/>
      <c r="J109" s="80"/>
      <c r="K109" s="80"/>
      <c r="L109" s="111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</row>
    <row r="110" spans="1:54">
      <c r="A110" s="80"/>
      <c r="B110" s="80"/>
      <c r="C110" s="111"/>
      <c r="D110" s="80"/>
      <c r="E110" s="111"/>
      <c r="F110" s="80"/>
      <c r="G110" s="111"/>
      <c r="H110" s="80"/>
      <c r="I110" s="80"/>
      <c r="J110" s="80"/>
      <c r="K110" s="80"/>
      <c r="L110" s="111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</row>
    <row r="111" spans="1:54">
      <c r="A111" s="80"/>
      <c r="B111" s="80"/>
      <c r="C111" s="111"/>
      <c r="D111" s="80"/>
      <c r="E111" s="111"/>
      <c r="F111" s="80"/>
      <c r="G111" s="111"/>
      <c r="H111" s="80"/>
      <c r="I111" s="80"/>
      <c r="J111" s="80"/>
      <c r="K111" s="80"/>
      <c r="L111" s="111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</row>
    <row r="112" spans="1:54">
      <c r="A112" s="80"/>
      <c r="B112" s="80"/>
      <c r="C112" s="111"/>
      <c r="D112" s="80"/>
      <c r="E112" s="111"/>
      <c r="F112" s="80"/>
      <c r="G112" s="111"/>
      <c r="H112" s="80"/>
      <c r="I112" s="80"/>
      <c r="J112" s="80"/>
      <c r="K112" s="80"/>
      <c r="L112" s="111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</row>
    <row r="113" spans="1:54">
      <c r="A113" s="80"/>
      <c r="B113" s="80"/>
      <c r="C113" s="111"/>
      <c r="D113" s="80"/>
      <c r="E113" s="111"/>
      <c r="F113" s="80"/>
      <c r="G113" s="111"/>
      <c r="H113" s="80"/>
      <c r="I113" s="80"/>
      <c r="J113" s="80"/>
      <c r="K113" s="80"/>
      <c r="L113" s="111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</row>
    <row r="114" spans="1:54">
      <c r="A114" s="80"/>
      <c r="B114" s="80"/>
      <c r="C114" s="111"/>
      <c r="D114" s="80"/>
      <c r="E114" s="111"/>
      <c r="F114" s="80"/>
      <c r="G114" s="111"/>
      <c r="H114" s="80"/>
      <c r="I114" s="80"/>
      <c r="J114" s="80"/>
      <c r="K114" s="80"/>
      <c r="L114" s="111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</row>
    <row r="115" spans="1:54">
      <c r="A115" s="80"/>
      <c r="B115" s="80"/>
      <c r="C115" s="111"/>
      <c r="D115" s="80"/>
      <c r="E115" s="111"/>
      <c r="F115" s="80"/>
      <c r="G115" s="111"/>
      <c r="H115" s="80"/>
      <c r="I115" s="80"/>
      <c r="J115" s="80"/>
      <c r="K115" s="80"/>
      <c r="L115" s="111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</row>
    <row r="116" spans="1:54">
      <c r="A116" s="80"/>
      <c r="B116" s="80"/>
      <c r="C116" s="111"/>
      <c r="D116" s="80"/>
      <c r="E116" s="111"/>
      <c r="F116" s="80"/>
      <c r="G116" s="111"/>
      <c r="H116" s="80"/>
      <c r="I116" s="80"/>
      <c r="J116" s="80"/>
      <c r="K116" s="80"/>
      <c r="L116" s="111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</row>
    <row r="117" spans="1:54">
      <c r="A117" s="80"/>
      <c r="B117" s="80"/>
      <c r="C117" s="111"/>
      <c r="D117" s="80"/>
      <c r="E117" s="111"/>
      <c r="F117" s="80"/>
      <c r="G117" s="111"/>
      <c r="H117" s="80"/>
      <c r="I117" s="80"/>
      <c r="J117" s="80"/>
      <c r="K117" s="80"/>
      <c r="L117" s="111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</row>
    <row r="118" spans="1:54">
      <c r="A118" s="80"/>
      <c r="B118" s="80"/>
      <c r="C118" s="111"/>
      <c r="D118" s="80"/>
      <c r="E118" s="111"/>
      <c r="F118" s="80"/>
      <c r="G118" s="111"/>
      <c r="H118" s="80"/>
      <c r="I118" s="80"/>
      <c r="J118" s="80"/>
      <c r="K118" s="80"/>
      <c r="L118" s="111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</row>
    <row r="119" spans="1:54">
      <c r="A119" s="80"/>
      <c r="B119" s="80"/>
      <c r="C119" s="111"/>
      <c r="D119" s="80"/>
      <c r="E119" s="111"/>
      <c r="F119" s="80"/>
      <c r="G119" s="111"/>
      <c r="H119" s="80"/>
      <c r="I119" s="80"/>
      <c r="J119" s="80"/>
      <c r="K119" s="80"/>
      <c r="L119" s="111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</row>
    <row r="120" spans="1:54">
      <c r="A120" s="80"/>
      <c r="B120" s="80"/>
      <c r="C120" s="111"/>
      <c r="D120" s="80"/>
      <c r="E120" s="111"/>
      <c r="F120" s="80"/>
      <c r="G120" s="111"/>
      <c r="H120" s="80"/>
      <c r="I120" s="80"/>
      <c r="J120" s="80"/>
      <c r="K120" s="80"/>
      <c r="L120" s="111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</row>
    <row r="121" spans="1:54">
      <c r="A121" s="80"/>
      <c r="B121" s="80"/>
      <c r="C121" s="111"/>
      <c r="D121" s="80"/>
      <c r="E121" s="111"/>
      <c r="F121" s="80"/>
      <c r="G121" s="111"/>
      <c r="H121" s="80"/>
      <c r="I121" s="80"/>
      <c r="J121" s="80"/>
      <c r="K121" s="80"/>
      <c r="L121" s="111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</row>
    <row r="122" spans="1:54">
      <c r="A122" s="80"/>
      <c r="B122" s="80"/>
      <c r="C122" s="111"/>
      <c r="D122" s="80"/>
      <c r="E122" s="111"/>
      <c r="F122" s="80"/>
      <c r="G122" s="111"/>
      <c r="H122" s="80"/>
      <c r="I122" s="80"/>
      <c r="J122" s="80"/>
      <c r="K122" s="80"/>
      <c r="L122" s="111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</row>
    <row r="123" spans="1:54">
      <c r="A123" s="80"/>
      <c r="B123" s="80"/>
      <c r="C123" s="111"/>
      <c r="D123" s="80"/>
      <c r="E123" s="111"/>
      <c r="F123" s="80"/>
      <c r="G123" s="111"/>
      <c r="H123" s="80"/>
      <c r="I123" s="80"/>
      <c r="J123" s="80"/>
      <c r="K123" s="80"/>
      <c r="L123" s="111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</row>
    <row r="124" spans="1:54">
      <c r="A124" s="80"/>
      <c r="B124" s="80"/>
      <c r="C124" s="111"/>
      <c r="D124" s="80"/>
      <c r="E124" s="111"/>
      <c r="F124" s="80"/>
      <c r="G124" s="111"/>
      <c r="H124" s="80"/>
      <c r="I124" s="80"/>
      <c r="J124" s="80"/>
      <c r="K124" s="80"/>
      <c r="L124" s="111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</row>
    <row r="125" spans="1:54">
      <c r="A125" s="80"/>
      <c r="B125" s="80"/>
      <c r="C125" s="111"/>
      <c r="D125" s="80"/>
      <c r="E125" s="111"/>
      <c r="F125" s="80"/>
      <c r="G125" s="111"/>
      <c r="H125" s="80"/>
      <c r="I125" s="80"/>
      <c r="J125" s="80"/>
      <c r="K125" s="80"/>
      <c r="L125" s="111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</row>
    <row r="126" spans="1:54">
      <c r="A126" s="80"/>
      <c r="B126" s="80"/>
      <c r="C126" s="111"/>
      <c r="D126" s="80"/>
      <c r="E126" s="111"/>
      <c r="F126" s="80"/>
      <c r="G126" s="111"/>
      <c r="H126" s="80"/>
      <c r="I126" s="80"/>
      <c r="J126" s="80"/>
      <c r="K126" s="80"/>
      <c r="L126" s="111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</row>
    <row r="127" spans="1:54">
      <c r="A127" s="80"/>
      <c r="B127" s="80"/>
      <c r="C127" s="111"/>
      <c r="D127" s="80"/>
      <c r="E127" s="111"/>
      <c r="F127" s="80"/>
      <c r="G127" s="111"/>
      <c r="H127" s="80"/>
      <c r="I127" s="80"/>
      <c r="J127" s="80"/>
      <c r="K127" s="80"/>
      <c r="L127" s="111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</row>
    <row r="128" spans="1:54">
      <c r="A128" s="80"/>
      <c r="B128" s="80"/>
      <c r="C128" s="111"/>
      <c r="D128" s="80"/>
      <c r="E128" s="111"/>
      <c r="F128" s="80"/>
      <c r="G128" s="111"/>
      <c r="H128" s="80"/>
      <c r="I128" s="80"/>
      <c r="J128" s="80"/>
      <c r="K128" s="80"/>
      <c r="L128" s="111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</row>
    <row r="129" spans="1:54">
      <c r="A129" s="80"/>
      <c r="B129" s="80"/>
      <c r="C129" s="111"/>
      <c r="D129" s="80"/>
      <c r="E129" s="111"/>
      <c r="F129" s="80"/>
      <c r="G129" s="111"/>
      <c r="H129" s="80"/>
      <c r="I129" s="80"/>
      <c r="J129" s="80"/>
      <c r="K129" s="80"/>
      <c r="L129" s="111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</row>
    <row r="130" spans="1:54">
      <c r="A130" s="80"/>
      <c r="B130" s="80"/>
      <c r="C130" s="111"/>
      <c r="D130" s="80"/>
      <c r="E130" s="111"/>
      <c r="F130" s="80"/>
      <c r="G130" s="111"/>
      <c r="H130" s="80"/>
      <c r="I130" s="80"/>
      <c r="J130" s="80"/>
      <c r="K130" s="80"/>
      <c r="L130" s="111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</row>
    <row r="131" spans="1:54">
      <c r="A131" s="80"/>
      <c r="B131" s="80"/>
      <c r="C131" s="111"/>
      <c r="D131" s="80"/>
      <c r="E131" s="111"/>
      <c r="F131" s="80"/>
      <c r="G131" s="111"/>
      <c r="H131" s="80"/>
      <c r="I131" s="80"/>
      <c r="J131" s="80"/>
      <c r="K131" s="80"/>
      <c r="L131" s="111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</row>
    <row r="132" spans="1:54">
      <c r="A132" s="80"/>
      <c r="B132" s="80"/>
      <c r="C132" s="111"/>
      <c r="D132" s="80"/>
      <c r="E132" s="111"/>
      <c r="F132" s="80"/>
      <c r="G132" s="111"/>
      <c r="H132" s="80"/>
      <c r="I132" s="80"/>
      <c r="J132" s="80"/>
      <c r="K132" s="80"/>
      <c r="L132" s="111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</row>
    <row r="133" spans="1:54">
      <c r="A133" s="80"/>
      <c r="B133" s="80"/>
      <c r="C133" s="111"/>
      <c r="D133" s="80"/>
      <c r="E133" s="111"/>
      <c r="F133" s="80"/>
      <c r="G133" s="111"/>
      <c r="H133" s="80"/>
      <c r="I133" s="80"/>
      <c r="J133" s="80"/>
      <c r="K133" s="80"/>
      <c r="L133" s="111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</row>
    <row r="134" spans="1:54">
      <c r="A134" s="80"/>
      <c r="B134" s="80"/>
      <c r="C134" s="111"/>
      <c r="D134" s="80"/>
      <c r="E134" s="111"/>
      <c r="F134" s="80"/>
      <c r="G134" s="111"/>
      <c r="H134" s="80"/>
      <c r="I134" s="80"/>
      <c r="J134" s="80"/>
      <c r="K134" s="80"/>
      <c r="L134" s="111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</row>
    <row r="135" spans="1:54">
      <c r="A135" s="80"/>
      <c r="B135" s="80"/>
      <c r="C135" s="111"/>
      <c r="D135" s="80"/>
      <c r="E135" s="111"/>
      <c r="F135" s="80"/>
      <c r="G135" s="111"/>
      <c r="H135" s="80"/>
      <c r="I135" s="80"/>
      <c r="J135" s="80"/>
      <c r="K135" s="80"/>
      <c r="L135" s="111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</row>
    <row r="136" spans="1:54">
      <c r="A136" s="80"/>
      <c r="B136" s="80"/>
      <c r="C136" s="111"/>
      <c r="D136" s="80"/>
      <c r="E136" s="111"/>
      <c r="F136" s="80"/>
      <c r="G136" s="111"/>
      <c r="H136" s="80"/>
      <c r="I136" s="80"/>
      <c r="J136" s="80"/>
      <c r="K136" s="80"/>
      <c r="L136" s="111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</row>
    <row r="137" spans="1:54">
      <c r="A137" s="80"/>
      <c r="B137" s="80"/>
      <c r="C137" s="111"/>
      <c r="D137" s="80"/>
      <c r="E137" s="111"/>
      <c r="F137" s="80"/>
      <c r="G137" s="111"/>
      <c r="H137" s="80"/>
      <c r="I137" s="80"/>
      <c r="J137" s="80"/>
      <c r="K137" s="80"/>
      <c r="L137" s="111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</row>
    <row r="138" spans="1:54">
      <c r="A138" s="80"/>
      <c r="B138" s="80"/>
      <c r="C138" s="111"/>
      <c r="D138" s="80"/>
      <c r="E138" s="111"/>
      <c r="F138" s="80"/>
      <c r="G138" s="111"/>
      <c r="H138" s="80"/>
      <c r="I138" s="80"/>
      <c r="J138" s="80"/>
      <c r="K138" s="80"/>
      <c r="L138" s="111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</row>
    <row r="139" spans="1:54">
      <c r="A139" s="80"/>
      <c r="B139" s="80"/>
      <c r="C139" s="111"/>
      <c r="D139" s="80"/>
      <c r="E139" s="111"/>
      <c r="F139" s="80"/>
      <c r="G139" s="111"/>
      <c r="H139" s="80"/>
      <c r="I139" s="80"/>
      <c r="J139" s="80"/>
      <c r="K139" s="80"/>
      <c r="L139" s="111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</row>
    <row r="140" spans="1:54">
      <c r="A140" s="80"/>
      <c r="B140" s="80"/>
      <c r="C140" s="111"/>
      <c r="D140" s="80"/>
      <c r="E140" s="111"/>
      <c r="F140" s="80"/>
      <c r="G140" s="111"/>
      <c r="H140" s="80"/>
      <c r="I140" s="80"/>
      <c r="J140" s="80"/>
      <c r="K140" s="80"/>
      <c r="L140" s="111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</row>
    <row r="141" spans="1:54">
      <c r="A141" s="80"/>
      <c r="B141" s="80"/>
      <c r="C141" s="111"/>
      <c r="D141" s="80"/>
      <c r="E141" s="111"/>
      <c r="F141" s="80"/>
      <c r="G141" s="111"/>
      <c r="H141" s="80"/>
      <c r="I141" s="80"/>
      <c r="J141" s="80"/>
      <c r="K141" s="80"/>
      <c r="L141" s="111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</row>
    <row r="142" spans="1:54">
      <c r="A142" s="80"/>
      <c r="B142" s="80"/>
      <c r="C142" s="111"/>
      <c r="D142" s="80"/>
      <c r="E142" s="111"/>
      <c r="F142" s="80"/>
      <c r="G142" s="111"/>
      <c r="H142" s="80"/>
      <c r="I142" s="80"/>
      <c r="J142" s="80"/>
      <c r="K142" s="80"/>
      <c r="L142" s="111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</row>
    <row r="143" spans="1:54">
      <c r="A143" s="80"/>
      <c r="B143" s="80"/>
      <c r="C143" s="111"/>
      <c r="D143" s="80"/>
      <c r="E143" s="111"/>
      <c r="F143" s="80"/>
      <c r="G143" s="111"/>
      <c r="H143" s="80"/>
      <c r="I143" s="80"/>
      <c r="J143" s="80"/>
      <c r="K143" s="80"/>
      <c r="L143" s="111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</row>
    <row r="144" spans="1:54">
      <c r="A144" s="80"/>
      <c r="B144" s="80"/>
      <c r="C144" s="111"/>
      <c r="D144" s="80"/>
      <c r="E144" s="111"/>
      <c r="F144" s="80"/>
      <c r="G144" s="111"/>
      <c r="H144" s="80"/>
      <c r="I144" s="80"/>
      <c r="J144" s="80"/>
      <c r="K144" s="80"/>
      <c r="L144" s="111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</row>
    <row r="145" spans="1:54">
      <c r="A145" s="80"/>
      <c r="B145" s="80"/>
      <c r="C145" s="111"/>
      <c r="D145" s="80"/>
      <c r="E145" s="111"/>
      <c r="F145" s="80"/>
      <c r="G145" s="111"/>
      <c r="H145" s="80"/>
      <c r="I145" s="80"/>
      <c r="J145" s="80"/>
      <c r="K145" s="80"/>
      <c r="L145" s="111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</row>
    <row r="146" spans="1:54">
      <c r="A146" s="80"/>
      <c r="B146" s="80"/>
      <c r="C146" s="111"/>
      <c r="D146" s="80"/>
      <c r="E146" s="111"/>
      <c r="F146" s="80"/>
      <c r="G146" s="111"/>
      <c r="H146" s="80"/>
      <c r="I146" s="80"/>
      <c r="J146" s="80"/>
      <c r="K146" s="80"/>
      <c r="L146" s="111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</row>
    <row r="147" spans="1:54">
      <c r="A147" s="80"/>
      <c r="B147" s="80"/>
      <c r="C147" s="111"/>
      <c r="D147" s="80"/>
      <c r="E147" s="111"/>
      <c r="F147" s="80"/>
      <c r="G147" s="111"/>
      <c r="H147" s="80"/>
      <c r="I147" s="80"/>
      <c r="J147" s="80"/>
      <c r="K147" s="80"/>
      <c r="L147" s="111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</row>
    <row r="148" spans="1:54">
      <c r="A148" s="80"/>
      <c r="B148" s="80"/>
      <c r="C148" s="111"/>
      <c r="D148" s="80"/>
      <c r="E148" s="111"/>
      <c r="F148" s="80"/>
      <c r="G148" s="111"/>
      <c r="H148" s="80"/>
      <c r="I148" s="80"/>
      <c r="J148" s="80"/>
      <c r="K148" s="80"/>
      <c r="L148" s="111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</row>
    <row r="149" spans="1:54">
      <c r="A149" s="80"/>
      <c r="B149" s="80"/>
      <c r="C149" s="111"/>
      <c r="D149" s="80"/>
      <c r="E149" s="111"/>
      <c r="F149" s="80"/>
      <c r="G149" s="111"/>
      <c r="H149" s="80"/>
      <c r="I149" s="80"/>
      <c r="J149" s="80"/>
      <c r="K149" s="80"/>
      <c r="L149" s="111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</row>
    <row r="150" spans="1:54">
      <c r="A150" s="80"/>
      <c r="B150" s="80"/>
      <c r="C150" s="111"/>
      <c r="D150" s="80"/>
      <c r="E150" s="111"/>
      <c r="F150" s="80"/>
      <c r="G150" s="111"/>
      <c r="H150" s="80"/>
      <c r="I150" s="80"/>
      <c r="J150" s="80"/>
      <c r="K150" s="80"/>
      <c r="L150" s="111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</row>
    <row r="151" spans="1:54">
      <c r="A151" s="80"/>
      <c r="B151" s="80"/>
      <c r="C151" s="111"/>
      <c r="D151" s="80"/>
      <c r="E151" s="111"/>
      <c r="F151" s="80"/>
      <c r="G151" s="111"/>
      <c r="H151" s="80"/>
      <c r="I151" s="80"/>
      <c r="J151" s="80"/>
      <c r="K151" s="80"/>
      <c r="L151" s="111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</row>
    <row r="152" spans="1:54">
      <c r="A152" s="80"/>
      <c r="B152" s="80"/>
      <c r="C152" s="111"/>
      <c r="D152" s="80"/>
      <c r="E152" s="111"/>
      <c r="F152" s="80"/>
      <c r="G152" s="111"/>
      <c r="H152" s="80"/>
      <c r="I152" s="80"/>
      <c r="J152" s="80"/>
      <c r="K152" s="80"/>
      <c r="L152" s="111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</row>
    <row r="153" spans="1:54">
      <c r="A153" s="80"/>
      <c r="B153" s="80"/>
      <c r="C153" s="111"/>
      <c r="D153" s="80"/>
      <c r="E153" s="111"/>
      <c r="F153" s="80"/>
      <c r="G153" s="111"/>
      <c r="H153" s="80"/>
      <c r="I153" s="80"/>
      <c r="J153" s="80"/>
      <c r="K153" s="80"/>
      <c r="L153" s="111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</row>
    <row r="154" spans="1:54">
      <c r="A154" s="80"/>
      <c r="B154" s="80"/>
      <c r="C154" s="111"/>
      <c r="D154" s="80"/>
      <c r="E154" s="111"/>
      <c r="F154" s="80"/>
      <c r="G154" s="111"/>
      <c r="H154" s="80"/>
      <c r="I154" s="80"/>
      <c r="J154" s="80"/>
      <c r="K154" s="80"/>
      <c r="L154" s="111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</row>
    <row r="155" spans="1:54">
      <c r="A155" s="80"/>
      <c r="B155" s="80"/>
      <c r="C155" s="111"/>
      <c r="D155" s="80"/>
      <c r="E155" s="111"/>
      <c r="F155" s="80"/>
      <c r="G155" s="111"/>
      <c r="H155" s="80"/>
      <c r="I155" s="80"/>
      <c r="J155" s="80"/>
      <c r="K155" s="80"/>
      <c r="L155" s="111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</row>
    <row r="156" spans="1:54">
      <c r="A156" s="80"/>
      <c r="B156" s="80"/>
      <c r="C156" s="111"/>
      <c r="D156" s="80"/>
      <c r="E156" s="111"/>
      <c r="F156" s="80"/>
      <c r="G156" s="111"/>
      <c r="H156" s="80"/>
      <c r="I156" s="80"/>
      <c r="J156" s="80"/>
      <c r="K156" s="80"/>
      <c r="L156" s="111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</row>
    <row r="157" spans="1:54">
      <c r="A157" s="80"/>
      <c r="B157" s="80"/>
      <c r="C157" s="111"/>
      <c r="D157" s="80"/>
      <c r="E157" s="111"/>
      <c r="F157" s="80"/>
      <c r="G157" s="111"/>
      <c r="H157" s="80"/>
      <c r="I157" s="80"/>
      <c r="J157" s="80"/>
      <c r="K157" s="80"/>
      <c r="L157" s="111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</row>
    <row r="158" spans="1:54">
      <c r="A158" s="80"/>
      <c r="B158" s="80"/>
      <c r="C158" s="111"/>
      <c r="D158" s="80"/>
      <c r="E158" s="111"/>
      <c r="F158" s="80"/>
      <c r="G158" s="111"/>
      <c r="H158" s="80"/>
      <c r="I158" s="80"/>
      <c r="J158" s="80"/>
      <c r="K158" s="80"/>
      <c r="L158" s="111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</row>
    <row r="159" spans="1:54">
      <c r="A159" s="80"/>
      <c r="B159" s="80"/>
      <c r="C159" s="111"/>
      <c r="D159" s="80"/>
      <c r="E159" s="111"/>
      <c r="F159" s="80"/>
      <c r="G159" s="111"/>
      <c r="H159" s="80"/>
      <c r="I159" s="80"/>
      <c r="J159" s="80"/>
      <c r="K159" s="80"/>
      <c r="L159" s="111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</row>
    <row r="160" spans="1:54">
      <c r="A160" s="80"/>
      <c r="B160" s="80"/>
      <c r="C160" s="111"/>
      <c r="D160" s="80"/>
      <c r="E160" s="111"/>
      <c r="F160" s="80"/>
      <c r="G160" s="111"/>
      <c r="H160" s="80"/>
      <c r="I160" s="80"/>
      <c r="J160" s="80"/>
      <c r="K160" s="80"/>
      <c r="L160" s="111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</row>
    <row r="161" spans="1:54">
      <c r="A161" s="80"/>
      <c r="B161" s="80"/>
      <c r="C161" s="111"/>
      <c r="D161" s="80"/>
      <c r="E161" s="111"/>
      <c r="F161" s="80"/>
      <c r="G161" s="111"/>
      <c r="H161" s="80"/>
      <c r="I161" s="80"/>
      <c r="J161" s="80"/>
      <c r="K161" s="80"/>
      <c r="L161" s="111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</row>
    <row r="162" spans="1:54">
      <c r="A162" s="80"/>
      <c r="B162" s="80"/>
      <c r="C162" s="111"/>
      <c r="D162" s="80"/>
      <c r="E162" s="111"/>
      <c r="F162" s="80"/>
      <c r="G162" s="111"/>
      <c r="H162" s="80"/>
      <c r="I162" s="80"/>
      <c r="J162" s="80"/>
      <c r="K162" s="80"/>
      <c r="L162" s="111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</row>
    <row r="163" spans="1:54">
      <c r="A163" s="80"/>
      <c r="B163" s="80"/>
      <c r="C163" s="111"/>
      <c r="D163" s="80"/>
      <c r="E163" s="111"/>
      <c r="F163" s="80"/>
      <c r="G163" s="111"/>
      <c r="H163" s="80"/>
      <c r="I163" s="80"/>
      <c r="J163" s="80"/>
      <c r="K163" s="80"/>
      <c r="L163" s="111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</row>
    <row r="164" spans="1:54">
      <c r="A164" s="80"/>
      <c r="B164" s="80"/>
      <c r="C164" s="111"/>
      <c r="D164" s="80"/>
      <c r="E164" s="111"/>
      <c r="F164" s="80"/>
      <c r="G164" s="111"/>
      <c r="H164" s="80"/>
      <c r="I164" s="80"/>
      <c r="J164" s="80"/>
      <c r="K164" s="80"/>
      <c r="L164" s="111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</row>
    <row r="165" spans="1:54">
      <c r="A165" s="80"/>
      <c r="B165" s="80"/>
      <c r="C165" s="111"/>
      <c r="D165" s="80"/>
      <c r="E165" s="111"/>
      <c r="F165" s="80"/>
      <c r="G165" s="111"/>
      <c r="H165" s="80"/>
      <c r="I165" s="80"/>
      <c r="J165" s="80"/>
      <c r="K165" s="80"/>
      <c r="L165" s="111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</row>
    <row r="166" spans="1:54">
      <c r="A166" s="80"/>
      <c r="B166" s="80"/>
      <c r="C166" s="111"/>
      <c r="D166" s="80"/>
      <c r="E166" s="111"/>
      <c r="F166" s="80"/>
      <c r="G166" s="111"/>
      <c r="H166" s="80"/>
      <c r="I166" s="80"/>
      <c r="J166" s="80"/>
      <c r="K166" s="80"/>
      <c r="L166" s="111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</row>
    <row r="167" spans="1:54">
      <c r="A167" s="80"/>
      <c r="B167" s="80"/>
      <c r="C167" s="111"/>
      <c r="D167" s="80"/>
      <c r="E167" s="111"/>
      <c r="F167" s="80"/>
      <c r="G167" s="111"/>
      <c r="H167" s="80"/>
      <c r="I167" s="80"/>
      <c r="J167" s="80"/>
      <c r="K167" s="80"/>
      <c r="L167" s="111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</row>
    <row r="168" spans="1:54">
      <c r="A168" s="80"/>
      <c r="B168" s="80"/>
      <c r="C168" s="111"/>
      <c r="D168" s="80"/>
      <c r="E168" s="111"/>
      <c r="F168" s="80"/>
      <c r="G168" s="111"/>
      <c r="H168" s="80"/>
      <c r="I168" s="80"/>
      <c r="J168" s="80"/>
      <c r="K168" s="80"/>
      <c r="L168" s="111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</row>
    <row r="169" spans="1:54">
      <c r="A169" s="80"/>
      <c r="B169" s="80"/>
      <c r="C169" s="111"/>
      <c r="D169" s="80"/>
      <c r="E169" s="111"/>
      <c r="F169" s="80"/>
      <c r="G169" s="111"/>
      <c r="H169" s="80"/>
      <c r="I169" s="80"/>
      <c r="J169" s="80"/>
      <c r="K169" s="80"/>
      <c r="L169" s="111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</row>
    <row r="170" spans="1:54">
      <c r="A170" s="80"/>
      <c r="B170" s="80"/>
      <c r="C170" s="111"/>
      <c r="D170" s="80"/>
      <c r="E170" s="111"/>
      <c r="F170" s="80"/>
      <c r="G170" s="111"/>
      <c r="H170" s="80"/>
      <c r="I170" s="80"/>
      <c r="J170" s="80"/>
      <c r="K170" s="80"/>
      <c r="L170" s="111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</row>
    <row r="171" spans="1:54">
      <c r="A171" s="80"/>
      <c r="B171" s="80"/>
      <c r="C171" s="111"/>
      <c r="D171" s="80"/>
      <c r="E171" s="111"/>
      <c r="F171" s="80"/>
      <c r="G171" s="111"/>
      <c r="H171" s="80"/>
      <c r="I171" s="80"/>
      <c r="J171" s="80"/>
      <c r="K171" s="80"/>
      <c r="L171" s="111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</row>
    <row r="172" spans="1:54">
      <c r="A172" s="80"/>
      <c r="B172" s="80"/>
      <c r="C172" s="111"/>
      <c r="D172" s="80"/>
      <c r="E172" s="111"/>
      <c r="F172" s="80"/>
      <c r="G172" s="111"/>
      <c r="H172" s="80"/>
      <c r="I172" s="80"/>
      <c r="J172" s="80"/>
      <c r="K172" s="80"/>
      <c r="L172" s="111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</row>
    <row r="173" spans="1:54">
      <c r="A173" s="80"/>
      <c r="B173" s="80"/>
      <c r="C173" s="111"/>
      <c r="D173" s="80"/>
      <c r="E173" s="111"/>
      <c r="F173" s="80"/>
      <c r="G173" s="111"/>
      <c r="H173" s="80"/>
      <c r="I173" s="80"/>
      <c r="J173" s="80"/>
      <c r="K173" s="80"/>
      <c r="L173" s="111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</row>
    <row r="174" spans="1:54">
      <c r="A174" s="80"/>
      <c r="B174" s="80"/>
      <c r="C174" s="111"/>
      <c r="D174" s="80"/>
      <c r="E174" s="111"/>
      <c r="F174" s="80"/>
      <c r="G174" s="111"/>
      <c r="H174" s="80"/>
      <c r="I174" s="80"/>
      <c r="J174" s="80"/>
      <c r="K174" s="80"/>
      <c r="L174" s="111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</row>
    <row r="175" spans="1:54">
      <c r="A175" s="80"/>
      <c r="B175" s="80"/>
      <c r="C175" s="111"/>
      <c r="D175" s="80"/>
      <c r="E175" s="111"/>
      <c r="F175" s="80"/>
      <c r="G175" s="111"/>
      <c r="H175" s="80"/>
      <c r="I175" s="80"/>
      <c r="J175" s="80"/>
      <c r="K175" s="80"/>
      <c r="L175" s="111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</row>
    <row r="176" spans="1:54">
      <c r="A176" s="80"/>
      <c r="B176" s="80"/>
      <c r="C176" s="111"/>
      <c r="D176" s="80"/>
      <c r="E176" s="111"/>
      <c r="F176" s="80"/>
      <c r="G176" s="111"/>
      <c r="H176" s="80"/>
      <c r="I176" s="80"/>
      <c r="J176" s="80"/>
      <c r="K176" s="80"/>
      <c r="L176" s="111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</row>
    <row r="177" spans="1:54">
      <c r="A177" s="80"/>
      <c r="B177" s="80"/>
      <c r="C177" s="111"/>
      <c r="D177" s="80"/>
      <c r="E177" s="111"/>
      <c r="F177" s="80"/>
      <c r="G177" s="111"/>
      <c r="H177" s="80"/>
      <c r="I177" s="80"/>
      <c r="J177" s="80"/>
      <c r="K177" s="80"/>
      <c r="L177" s="111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</row>
    <row r="178" spans="1:54">
      <c r="A178" s="80"/>
      <c r="B178" s="80"/>
      <c r="C178" s="111"/>
      <c r="D178" s="80"/>
      <c r="E178" s="111"/>
      <c r="F178" s="80"/>
      <c r="G178" s="111"/>
      <c r="H178" s="80"/>
      <c r="I178" s="80"/>
      <c r="J178" s="80"/>
      <c r="K178" s="80"/>
      <c r="L178" s="111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</row>
    <row r="179" spans="1:54">
      <c r="A179" s="80"/>
      <c r="B179" s="80"/>
      <c r="C179" s="111"/>
      <c r="D179" s="80"/>
      <c r="E179" s="111"/>
      <c r="F179" s="80"/>
      <c r="G179" s="111"/>
      <c r="H179" s="80"/>
      <c r="I179" s="80"/>
      <c r="J179" s="80"/>
      <c r="K179" s="80"/>
      <c r="L179" s="111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</row>
    <row r="180" spans="1:54">
      <c r="A180" s="80"/>
      <c r="B180" s="80"/>
      <c r="C180" s="111"/>
      <c r="D180" s="80"/>
      <c r="E180" s="111"/>
      <c r="F180" s="80"/>
      <c r="G180" s="111"/>
      <c r="H180" s="80"/>
      <c r="I180" s="80"/>
      <c r="J180" s="80"/>
      <c r="K180" s="80"/>
      <c r="L180" s="111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</row>
    <row r="181" spans="1:54">
      <c r="A181" s="80"/>
      <c r="B181" s="80"/>
      <c r="C181" s="111"/>
      <c r="D181" s="80"/>
      <c r="E181" s="111"/>
      <c r="F181" s="80"/>
      <c r="G181" s="111"/>
      <c r="H181" s="80"/>
      <c r="I181" s="80"/>
      <c r="J181" s="80"/>
      <c r="K181" s="80"/>
      <c r="L181" s="111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</row>
    <row r="182" spans="1:54">
      <c r="A182" s="80"/>
      <c r="B182" s="80"/>
      <c r="C182" s="111"/>
      <c r="D182" s="80"/>
      <c r="E182" s="111"/>
      <c r="F182" s="80"/>
      <c r="G182" s="111"/>
      <c r="H182" s="80"/>
      <c r="I182" s="80"/>
      <c r="J182" s="80"/>
      <c r="K182" s="80"/>
      <c r="L182" s="111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</row>
    <row r="183" spans="1:54">
      <c r="A183" s="80"/>
      <c r="B183" s="80"/>
      <c r="C183" s="111"/>
      <c r="D183" s="80"/>
      <c r="E183" s="111"/>
      <c r="F183" s="80"/>
      <c r="G183" s="111"/>
      <c r="H183" s="80"/>
      <c r="I183" s="80"/>
      <c r="J183" s="80"/>
      <c r="K183" s="80"/>
      <c r="L183" s="111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</row>
    <row r="184" spans="1:54">
      <c r="A184" s="80"/>
      <c r="B184" s="80"/>
      <c r="C184" s="111"/>
      <c r="D184" s="80"/>
      <c r="E184" s="111"/>
      <c r="F184" s="80"/>
      <c r="G184" s="111"/>
      <c r="H184" s="80"/>
      <c r="I184" s="80"/>
      <c r="J184" s="80"/>
      <c r="K184" s="80"/>
      <c r="L184" s="111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</row>
    <row r="185" spans="1:54">
      <c r="A185" s="80"/>
      <c r="B185" s="80"/>
      <c r="C185" s="111"/>
      <c r="D185" s="80"/>
      <c r="E185" s="111"/>
      <c r="F185" s="80"/>
      <c r="G185" s="111"/>
      <c r="H185" s="80"/>
      <c r="I185" s="80"/>
      <c r="J185" s="80"/>
      <c r="K185" s="80"/>
      <c r="L185" s="111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</row>
    <row r="186" spans="1:54">
      <c r="A186" s="80"/>
      <c r="B186" s="80"/>
      <c r="C186" s="111"/>
      <c r="D186" s="80"/>
      <c r="E186" s="111"/>
      <c r="F186" s="80"/>
      <c r="G186" s="111"/>
      <c r="H186" s="80"/>
      <c r="I186" s="80"/>
      <c r="J186" s="80"/>
      <c r="K186" s="80"/>
      <c r="L186" s="111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</row>
    <row r="187" spans="1:54">
      <c r="A187" s="80"/>
      <c r="B187" s="80"/>
      <c r="C187" s="111"/>
      <c r="D187" s="80"/>
      <c r="E187" s="111"/>
      <c r="F187" s="80"/>
      <c r="G187" s="111"/>
      <c r="H187" s="80"/>
      <c r="I187" s="80"/>
      <c r="J187" s="80"/>
      <c r="K187" s="80"/>
      <c r="L187" s="111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</row>
    <row r="188" spans="1:54">
      <c r="A188" s="80"/>
      <c r="B188" s="80"/>
      <c r="C188" s="111"/>
      <c r="D188" s="80"/>
      <c r="E188" s="111"/>
      <c r="F188" s="80"/>
      <c r="G188" s="111"/>
      <c r="H188" s="80"/>
      <c r="I188" s="80"/>
      <c r="J188" s="80"/>
      <c r="K188" s="80"/>
      <c r="L188" s="111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</row>
    <row r="189" spans="1:54">
      <c r="A189" s="80"/>
      <c r="B189" s="80"/>
      <c r="C189" s="111"/>
      <c r="D189" s="80"/>
      <c r="E189" s="111"/>
      <c r="F189" s="80"/>
      <c r="G189" s="111"/>
      <c r="H189" s="80"/>
      <c r="I189" s="80"/>
      <c r="J189" s="80"/>
      <c r="K189" s="80"/>
      <c r="L189" s="111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</row>
    <row r="190" spans="1:54">
      <c r="A190" s="80"/>
      <c r="B190" s="80"/>
      <c r="C190" s="111"/>
      <c r="D190" s="80"/>
      <c r="E190" s="111"/>
      <c r="F190" s="80"/>
      <c r="G190" s="111"/>
      <c r="H190" s="80"/>
      <c r="I190" s="80"/>
      <c r="J190" s="80"/>
      <c r="K190" s="80"/>
      <c r="L190" s="111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</row>
    <row r="191" spans="1:54">
      <c r="A191" s="80"/>
      <c r="B191" s="80"/>
      <c r="C191" s="111"/>
      <c r="D191" s="80"/>
      <c r="E191" s="111"/>
      <c r="F191" s="80"/>
      <c r="G191" s="111"/>
      <c r="H191" s="80"/>
      <c r="I191" s="80"/>
      <c r="J191" s="80"/>
      <c r="K191" s="80"/>
      <c r="L191" s="111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</row>
    <row r="192" spans="1:54">
      <c r="A192" s="80"/>
      <c r="B192" s="80"/>
      <c r="C192" s="111"/>
      <c r="D192" s="80"/>
      <c r="E192" s="111"/>
      <c r="F192" s="80"/>
      <c r="G192" s="111"/>
      <c r="H192" s="80"/>
      <c r="I192" s="80"/>
      <c r="J192" s="80"/>
      <c r="K192" s="80"/>
      <c r="L192" s="111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</row>
    <row r="193" spans="1:54">
      <c r="A193" s="80"/>
      <c r="B193" s="80"/>
      <c r="C193" s="111"/>
      <c r="D193" s="80"/>
      <c r="E193" s="111"/>
      <c r="F193" s="80"/>
      <c r="G193" s="111"/>
      <c r="H193" s="80"/>
      <c r="I193" s="80"/>
      <c r="J193" s="80"/>
      <c r="K193" s="80"/>
      <c r="L193" s="111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</row>
    <row r="194" spans="1:54">
      <c r="A194" s="80"/>
      <c r="B194" s="80"/>
      <c r="C194" s="111"/>
      <c r="D194" s="80"/>
      <c r="E194" s="111"/>
      <c r="F194" s="80"/>
      <c r="G194" s="111"/>
      <c r="H194" s="80"/>
      <c r="I194" s="80"/>
      <c r="J194" s="80"/>
      <c r="K194" s="80"/>
      <c r="L194" s="111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</row>
    <row r="195" spans="1:54">
      <c r="A195" s="80"/>
      <c r="B195" s="80"/>
      <c r="C195" s="111"/>
      <c r="D195" s="80"/>
      <c r="E195" s="111"/>
      <c r="F195" s="80"/>
      <c r="G195" s="111"/>
      <c r="H195" s="80"/>
      <c r="I195" s="80"/>
      <c r="J195" s="80"/>
      <c r="K195" s="80"/>
      <c r="L195" s="111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</row>
    <row r="196" spans="1:54">
      <c r="A196" s="80"/>
      <c r="B196" s="80"/>
      <c r="C196" s="111"/>
      <c r="D196" s="80"/>
      <c r="E196" s="111"/>
      <c r="F196" s="80"/>
      <c r="G196" s="111"/>
      <c r="H196" s="80"/>
      <c r="I196" s="80"/>
      <c r="J196" s="80"/>
      <c r="K196" s="80"/>
      <c r="L196" s="111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</row>
    <row r="197" spans="1:54">
      <c r="A197" s="80"/>
      <c r="B197" s="80"/>
      <c r="C197" s="111"/>
      <c r="D197" s="80"/>
      <c r="E197" s="111"/>
      <c r="F197" s="80"/>
      <c r="G197" s="111"/>
      <c r="H197" s="80"/>
      <c r="I197" s="80"/>
      <c r="J197" s="80"/>
      <c r="K197" s="80"/>
      <c r="L197" s="111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</row>
    <row r="198" spans="1:54">
      <c r="A198" s="80"/>
      <c r="B198" s="80"/>
      <c r="C198" s="111"/>
      <c r="D198" s="80"/>
      <c r="E198" s="111"/>
      <c r="F198" s="80"/>
      <c r="G198" s="111"/>
      <c r="H198" s="80"/>
      <c r="I198" s="80"/>
      <c r="J198" s="80"/>
      <c r="K198" s="80"/>
      <c r="L198" s="111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</row>
    <row r="199" spans="1:54">
      <c r="A199" s="80"/>
      <c r="B199" s="80"/>
      <c r="C199" s="111"/>
      <c r="D199" s="80"/>
      <c r="E199" s="111"/>
      <c r="F199" s="80"/>
      <c r="G199" s="111"/>
      <c r="H199" s="80"/>
      <c r="I199" s="80"/>
      <c r="J199" s="80"/>
      <c r="K199" s="80"/>
      <c r="L199" s="111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</row>
    <row r="200" spans="1:54">
      <c r="A200" s="80"/>
      <c r="B200" s="80"/>
      <c r="C200" s="111"/>
      <c r="D200" s="80"/>
      <c r="E200" s="111"/>
      <c r="F200" s="80"/>
      <c r="G200" s="111"/>
      <c r="H200" s="80"/>
      <c r="I200" s="80"/>
      <c r="J200" s="80"/>
      <c r="K200" s="80"/>
      <c r="L200" s="111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</row>
    <row r="201" spans="1:54">
      <c r="A201" s="80"/>
      <c r="B201" s="80"/>
      <c r="C201" s="111"/>
      <c r="D201" s="80"/>
      <c r="E201" s="111"/>
      <c r="F201" s="80"/>
      <c r="G201" s="111"/>
      <c r="H201" s="80"/>
      <c r="I201" s="80"/>
      <c r="J201" s="80"/>
      <c r="K201" s="80"/>
      <c r="L201" s="111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</row>
    <row r="202" spans="1:54">
      <c r="A202" s="80"/>
      <c r="B202" s="80"/>
      <c r="C202" s="111"/>
      <c r="D202" s="80"/>
      <c r="E202" s="111"/>
      <c r="F202" s="80"/>
      <c r="G202" s="111"/>
      <c r="H202" s="80"/>
      <c r="I202" s="80"/>
      <c r="J202" s="80"/>
      <c r="K202" s="80"/>
      <c r="L202" s="111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</row>
    <row r="203" spans="1:54">
      <c r="A203" s="80"/>
      <c r="B203" s="80"/>
      <c r="C203" s="111"/>
      <c r="D203" s="80"/>
      <c r="E203" s="111"/>
      <c r="F203" s="80"/>
      <c r="G203" s="111"/>
      <c r="H203" s="80"/>
      <c r="I203" s="80"/>
      <c r="J203" s="80"/>
      <c r="K203" s="80"/>
      <c r="L203" s="111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</row>
    <row r="204" spans="1:54">
      <c r="A204" s="80"/>
      <c r="B204" s="80"/>
      <c r="C204" s="111"/>
      <c r="D204" s="80"/>
      <c r="E204" s="111"/>
      <c r="F204" s="80"/>
      <c r="G204" s="111"/>
      <c r="H204" s="80"/>
      <c r="I204" s="80"/>
      <c r="J204" s="80"/>
      <c r="K204" s="80"/>
      <c r="L204" s="111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</row>
    <row r="205" spans="1:54">
      <c r="A205" s="80"/>
      <c r="B205" s="80"/>
      <c r="C205" s="111"/>
      <c r="D205" s="80"/>
      <c r="E205" s="111"/>
      <c r="F205" s="80"/>
      <c r="G205" s="111"/>
      <c r="H205" s="80"/>
      <c r="I205" s="80"/>
      <c r="J205" s="80"/>
      <c r="K205" s="80"/>
      <c r="L205" s="111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</row>
    <row r="206" spans="1:54">
      <c r="A206" s="80"/>
      <c r="B206" s="80"/>
      <c r="C206" s="111"/>
      <c r="D206" s="80"/>
      <c r="E206" s="111"/>
      <c r="F206" s="80"/>
      <c r="G206" s="111"/>
      <c r="H206" s="80"/>
      <c r="I206" s="80"/>
      <c r="J206" s="80"/>
      <c r="K206" s="80"/>
      <c r="L206" s="111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</row>
    <row r="207" spans="1:54">
      <c r="A207" s="80"/>
      <c r="B207" s="80"/>
      <c r="C207" s="111"/>
      <c r="D207" s="80"/>
      <c r="E207" s="111"/>
      <c r="F207" s="80"/>
      <c r="G207" s="111"/>
      <c r="H207" s="80"/>
      <c r="I207" s="80"/>
      <c r="J207" s="80"/>
      <c r="K207" s="80"/>
      <c r="L207" s="111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</row>
    <row r="208" spans="1:54">
      <c r="A208" s="80"/>
      <c r="B208" s="80"/>
      <c r="C208" s="111"/>
      <c r="D208" s="80"/>
      <c r="E208" s="111"/>
      <c r="F208" s="80"/>
      <c r="G208" s="111"/>
      <c r="H208" s="80"/>
      <c r="I208" s="80"/>
      <c r="J208" s="80"/>
      <c r="K208" s="80"/>
      <c r="L208" s="111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</row>
    <row r="209" spans="1:54">
      <c r="A209" s="80"/>
      <c r="B209" s="80"/>
      <c r="C209" s="111"/>
      <c r="D209" s="80"/>
      <c r="E209" s="111"/>
      <c r="F209" s="80"/>
      <c r="G209" s="111"/>
      <c r="H209" s="80"/>
      <c r="I209" s="80"/>
      <c r="J209" s="80"/>
      <c r="K209" s="80"/>
      <c r="L209" s="111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</row>
    <row r="210" spans="1:54">
      <c r="A210" s="80"/>
      <c r="B210" s="80"/>
      <c r="C210" s="111"/>
      <c r="D210" s="80"/>
      <c r="E210" s="111"/>
      <c r="F210" s="80"/>
      <c r="G210" s="111"/>
      <c r="H210" s="80"/>
      <c r="I210" s="80"/>
      <c r="J210" s="80"/>
      <c r="K210" s="80"/>
      <c r="L210" s="111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</row>
    <row r="211" spans="1:54">
      <c r="A211" s="80"/>
      <c r="B211" s="80"/>
      <c r="C211" s="111"/>
      <c r="D211" s="80"/>
      <c r="E211" s="111"/>
      <c r="F211" s="80"/>
      <c r="G211" s="111"/>
      <c r="H211" s="80"/>
      <c r="I211" s="80"/>
      <c r="J211" s="80"/>
      <c r="K211" s="80"/>
      <c r="L211" s="111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</row>
    <row r="212" spans="1:54">
      <c r="A212" s="80"/>
      <c r="B212" s="80"/>
      <c r="C212" s="111"/>
      <c r="D212" s="80"/>
      <c r="E212" s="111"/>
      <c r="F212" s="80"/>
      <c r="G212" s="111"/>
      <c r="H212" s="80"/>
      <c r="I212" s="80"/>
      <c r="J212" s="80"/>
      <c r="K212" s="80"/>
      <c r="L212" s="111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</row>
    <row r="213" spans="1:54">
      <c r="A213" s="80"/>
      <c r="B213" s="80"/>
      <c r="C213" s="111"/>
      <c r="D213" s="80"/>
      <c r="E213" s="111"/>
      <c r="F213" s="80"/>
      <c r="G213" s="111"/>
      <c r="H213" s="80"/>
      <c r="I213" s="80"/>
      <c r="J213" s="80"/>
      <c r="K213" s="80"/>
      <c r="L213" s="111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</row>
    <row r="214" spans="1:54">
      <c r="A214" s="80"/>
      <c r="B214" s="80"/>
      <c r="C214" s="111"/>
      <c r="D214" s="80"/>
      <c r="E214" s="111"/>
      <c r="F214" s="80"/>
      <c r="G214" s="111"/>
      <c r="H214" s="80"/>
      <c r="I214" s="80"/>
      <c r="J214" s="80"/>
      <c r="K214" s="80"/>
      <c r="L214" s="111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</row>
    <row r="215" spans="1:54">
      <c r="A215" s="80"/>
      <c r="B215" s="80"/>
      <c r="C215" s="111"/>
      <c r="D215" s="80"/>
      <c r="E215" s="111"/>
      <c r="F215" s="80"/>
      <c r="G215" s="111"/>
      <c r="H215" s="80"/>
      <c r="I215" s="80"/>
      <c r="J215" s="80"/>
      <c r="K215" s="80"/>
      <c r="L215" s="111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</row>
    <row r="216" spans="1:54">
      <c r="A216" s="80"/>
      <c r="B216" s="80"/>
      <c r="C216" s="111"/>
      <c r="D216" s="80"/>
      <c r="E216" s="111"/>
      <c r="F216" s="80"/>
      <c r="G216" s="111"/>
      <c r="H216" s="80"/>
      <c r="I216" s="80"/>
      <c r="J216" s="80"/>
      <c r="K216" s="80"/>
      <c r="L216" s="111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</row>
    <row r="217" spans="1:54">
      <c r="A217" s="80"/>
      <c r="B217" s="80"/>
      <c r="C217" s="111"/>
      <c r="D217" s="80"/>
      <c r="E217" s="111"/>
      <c r="F217" s="80"/>
      <c r="G217" s="111"/>
      <c r="H217" s="80"/>
      <c r="I217" s="80"/>
      <c r="J217" s="80"/>
      <c r="K217" s="80"/>
      <c r="L217" s="111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</row>
    <row r="218" spans="1:54">
      <c r="A218" s="80"/>
      <c r="B218" s="80"/>
      <c r="C218" s="111"/>
      <c r="D218" s="80"/>
      <c r="E218" s="111"/>
      <c r="F218" s="80"/>
      <c r="G218" s="111"/>
      <c r="H218" s="80"/>
      <c r="I218" s="80"/>
      <c r="J218" s="80"/>
      <c r="K218" s="80"/>
      <c r="L218" s="111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</row>
    <row r="219" spans="1:54">
      <c r="A219" s="80"/>
      <c r="B219" s="80"/>
      <c r="C219" s="111"/>
      <c r="D219" s="80"/>
      <c r="E219" s="111"/>
      <c r="F219" s="80"/>
      <c r="G219" s="111"/>
      <c r="H219" s="80"/>
      <c r="I219" s="80"/>
      <c r="J219" s="80"/>
      <c r="K219" s="80"/>
      <c r="L219" s="111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</row>
    <row r="220" spans="1:54">
      <c r="A220" s="80"/>
      <c r="B220" s="80"/>
      <c r="C220" s="111"/>
      <c r="D220" s="80"/>
      <c r="E220" s="111"/>
      <c r="F220" s="80"/>
      <c r="G220" s="111"/>
      <c r="H220" s="80"/>
      <c r="I220" s="80"/>
      <c r="J220" s="80"/>
      <c r="K220" s="80"/>
      <c r="L220" s="111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</row>
    <row r="221" spans="1:54">
      <c r="A221" s="80"/>
      <c r="B221" s="80"/>
      <c r="C221" s="111"/>
      <c r="D221" s="80"/>
      <c r="E221" s="111"/>
      <c r="F221" s="80"/>
      <c r="G221" s="111"/>
      <c r="H221" s="80"/>
      <c r="I221" s="80"/>
      <c r="J221" s="80"/>
      <c r="K221" s="80"/>
      <c r="L221" s="111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</row>
    <row r="222" spans="1:54">
      <c r="A222" s="80"/>
      <c r="B222" s="80"/>
      <c r="C222" s="111"/>
      <c r="D222" s="80"/>
      <c r="E222" s="111"/>
      <c r="F222" s="80"/>
      <c r="G222" s="111"/>
      <c r="H222" s="80"/>
      <c r="I222" s="80"/>
      <c r="J222" s="80"/>
      <c r="K222" s="80"/>
      <c r="L222" s="111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</row>
    <row r="223" spans="1:54">
      <c r="A223" s="80"/>
      <c r="B223" s="80"/>
      <c r="C223" s="111"/>
      <c r="D223" s="80"/>
      <c r="E223" s="111"/>
      <c r="F223" s="80"/>
      <c r="G223" s="111"/>
      <c r="H223" s="80"/>
      <c r="I223" s="80"/>
      <c r="J223" s="80"/>
      <c r="K223" s="80"/>
      <c r="L223" s="111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</row>
    <row r="224" spans="1:54">
      <c r="A224" s="80"/>
      <c r="B224" s="80"/>
      <c r="C224" s="111"/>
      <c r="D224" s="80"/>
      <c r="E224" s="111"/>
      <c r="F224" s="80"/>
      <c r="G224" s="111"/>
      <c r="H224" s="80"/>
      <c r="I224" s="80"/>
      <c r="J224" s="80"/>
      <c r="K224" s="80"/>
      <c r="L224" s="111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</row>
    <row r="225" spans="1:54">
      <c r="A225" s="80"/>
      <c r="B225" s="80"/>
      <c r="C225" s="111"/>
      <c r="D225" s="80"/>
      <c r="E225" s="111"/>
      <c r="F225" s="80"/>
      <c r="G225" s="111"/>
      <c r="H225" s="80"/>
      <c r="I225" s="80"/>
      <c r="J225" s="80"/>
      <c r="K225" s="80"/>
      <c r="L225" s="111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</row>
    <row r="226" spans="1:54">
      <c r="A226" s="80"/>
      <c r="B226" s="80"/>
      <c r="C226" s="111"/>
      <c r="D226" s="80"/>
      <c r="E226" s="111"/>
      <c r="F226" s="80"/>
      <c r="G226" s="111"/>
      <c r="H226" s="80"/>
      <c r="I226" s="80"/>
      <c r="J226" s="80"/>
      <c r="K226" s="80"/>
      <c r="L226" s="111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</row>
    <row r="227" spans="1:54">
      <c r="A227" s="80"/>
      <c r="B227" s="80"/>
      <c r="C227" s="111"/>
      <c r="D227" s="80"/>
      <c r="E227" s="111"/>
      <c r="F227" s="80"/>
      <c r="G227" s="111"/>
      <c r="H227" s="80"/>
      <c r="I227" s="80"/>
      <c r="J227" s="80"/>
      <c r="K227" s="80"/>
      <c r="L227" s="111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</row>
    <row r="228" spans="1:54">
      <c r="A228" s="80"/>
      <c r="B228" s="80"/>
      <c r="C228" s="111"/>
      <c r="D228" s="80"/>
      <c r="E228" s="111"/>
      <c r="F228" s="80"/>
      <c r="G228" s="111"/>
      <c r="H228" s="80"/>
      <c r="I228" s="80"/>
      <c r="J228" s="80"/>
      <c r="K228" s="80"/>
      <c r="L228" s="111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</row>
    <row r="229" spans="1:54">
      <c r="A229" s="80"/>
      <c r="B229" s="80"/>
      <c r="C229" s="111"/>
      <c r="D229" s="80"/>
      <c r="E229" s="111"/>
      <c r="F229" s="80"/>
      <c r="G229" s="111"/>
      <c r="H229" s="80"/>
      <c r="I229" s="80"/>
      <c r="J229" s="80"/>
      <c r="K229" s="80"/>
      <c r="L229" s="111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</row>
    <row r="230" spans="1:54">
      <c r="A230" s="80"/>
      <c r="B230" s="80"/>
      <c r="C230" s="111"/>
      <c r="D230" s="80"/>
      <c r="E230" s="111"/>
      <c r="F230" s="80"/>
      <c r="G230" s="111"/>
      <c r="H230" s="80"/>
      <c r="I230" s="80"/>
      <c r="J230" s="80"/>
      <c r="K230" s="80"/>
      <c r="L230" s="111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</row>
    <row r="231" spans="1:54">
      <c r="A231" s="80"/>
      <c r="B231" s="80"/>
      <c r="C231" s="111"/>
      <c r="D231" s="80"/>
      <c r="E231" s="111"/>
      <c r="F231" s="80"/>
      <c r="G231" s="111"/>
      <c r="H231" s="80"/>
      <c r="I231" s="80"/>
      <c r="J231" s="80"/>
      <c r="K231" s="80"/>
      <c r="L231" s="111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</row>
    <row r="232" spans="1:54">
      <c r="A232" s="80"/>
      <c r="B232" s="80"/>
      <c r="C232" s="111"/>
      <c r="D232" s="80"/>
      <c r="E232" s="111"/>
      <c r="F232" s="80"/>
      <c r="G232" s="111"/>
      <c r="H232" s="80"/>
      <c r="I232" s="80"/>
      <c r="J232" s="80"/>
      <c r="K232" s="80"/>
      <c r="L232" s="111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</row>
    <row r="233" spans="1:54">
      <c r="A233" s="80"/>
      <c r="B233" s="80"/>
      <c r="C233" s="111"/>
      <c r="D233" s="80"/>
      <c r="E233" s="111"/>
      <c r="F233" s="80"/>
      <c r="G233" s="111"/>
      <c r="H233" s="80"/>
      <c r="I233" s="80"/>
      <c r="J233" s="80"/>
      <c r="K233" s="80"/>
      <c r="L233" s="111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</row>
    <row r="234" spans="1:54">
      <c r="A234" s="80"/>
      <c r="B234" s="80"/>
      <c r="C234" s="111"/>
      <c r="D234" s="80"/>
      <c r="E234" s="111"/>
      <c r="F234" s="80"/>
      <c r="G234" s="111"/>
      <c r="H234" s="80"/>
      <c r="I234" s="80"/>
      <c r="J234" s="80"/>
      <c r="K234" s="80"/>
      <c r="L234" s="111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</row>
    <row r="235" spans="1:54">
      <c r="A235" s="80"/>
      <c r="B235" s="80"/>
      <c r="C235" s="111"/>
      <c r="D235" s="80"/>
      <c r="E235" s="111"/>
      <c r="F235" s="80"/>
      <c r="G235" s="111"/>
      <c r="H235" s="80"/>
      <c r="I235" s="80"/>
      <c r="J235" s="80"/>
      <c r="K235" s="80"/>
      <c r="L235" s="111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</row>
    <row r="236" spans="1:54">
      <c r="A236" s="80"/>
      <c r="B236" s="80"/>
      <c r="C236" s="111"/>
      <c r="D236" s="80"/>
      <c r="E236" s="111"/>
      <c r="F236" s="80"/>
      <c r="G236" s="111"/>
      <c r="H236" s="80"/>
      <c r="I236" s="80"/>
      <c r="J236" s="80"/>
      <c r="K236" s="80"/>
      <c r="L236" s="111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</row>
    <row r="237" spans="1:54">
      <c r="A237" s="80"/>
      <c r="B237" s="80"/>
      <c r="C237" s="111"/>
      <c r="D237" s="80"/>
      <c r="E237" s="111"/>
      <c r="F237" s="80"/>
      <c r="G237" s="111"/>
      <c r="H237" s="80"/>
      <c r="I237" s="80"/>
      <c r="J237" s="80"/>
      <c r="K237" s="80"/>
      <c r="L237" s="111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</row>
    <row r="238" spans="1:54">
      <c r="A238" s="80"/>
      <c r="B238" s="80"/>
      <c r="C238" s="111"/>
      <c r="D238" s="80"/>
      <c r="E238" s="111"/>
      <c r="F238" s="80"/>
      <c r="G238" s="111"/>
      <c r="H238" s="80"/>
      <c r="I238" s="80"/>
      <c r="J238" s="80"/>
      <c r="K238" s="80"/>
      <c r="L238" s="111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</row>
    <row r="239" spans="1:54">
      <c r="A239" s="80"/>
      <c r="B239" s="80"/>
      <c r="C239" s="111"/>
      <c r="D239" s="80"/>
      <c r="E239" s="111"/>
      <c r="F239" s="80"/>
      <c r="G239" s="111"/>
      <c r="H239" s="80"/>
      <c r="I239" s="80"/>
      <c r="J239" s="80"/>
      <c r="K239" s="80"/>
      <c r="L239" s="111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</row>
    <row r="240" spans="1:54">
      <c r="A240" s="80"/>
      <c r="B240" s="80"/>
      <c r="C240" s="111"/>
      <c r="D240" s="80"/>
      <c r="E240" s="111"/>
      <c r="F240" s="80"/>
      <c r="G240" s="111"/>
      <c r="H240" s="80"/>
      <c r="I240" s="80"/>
      <c r="J240" s="80"/>
      <c r="K240" s="80"/>
      <c r="L240" s="111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</row>
    <row r="241" spans="1:54">
      <c r="A241" s="80"/>
      <c r="B241" s="80"/>
      <c r="C241" s="111"/>
      <c r="D241" s="80"/>
      <c r="E241" s="111"/>
      <c r="F241" s="80"/>
      <c r="G241" s="111"/>
      <c r="H241" s="80"/>
      <c r="I241" s="80"/>
      <c r="J241" s="80"/>
      <c r="K241" s="80"/>
      <c r="L241" s="111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</row>
    <row r="242" spans="1:54">
      <c r="A242" s="80"/>
      <c r="B242" s="80"/>
      <c r="C242" s="111"/>
      <c r="D242" s="80"/>
      <c r="E242" s="111"/>
      <c r="F242" s="80"/>
      <c r="G242" s="111"/>
      <c r="H242" s="80"/>
      <c r="I242" s="80"/>
      <c r="J242" s="80"/>
      <c r="K242" s="80"/>
      <c r="L242" s="111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</row>
    <row r="243" spans="1:54">
      <c r="A243" s="80"/>
      <c r="B243" s="80"/>
      <c r="C243" s="111"/>
      <c r="D243" s="80"/>
      <c r="E243" s="111"/>
      <c r="F243" s="80"/>
      <c r="G243" s="111"/>
      <c r="H243" s="80"/>
      <c r="I243" s="80"/>
      <c r="J243" s="80"/>
      <c r="K243" s="80"/>
      <c r="L243" s="111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</row>
    <row r="244" spans="1:54">
      <c r="A244" s="80"/>
      <c r="B244" s="80"/>
      <c r="C244" s="111"/>
      <c r="D244" s="80"/>
      <c r="E244" s="111"/>
      <c r="F244" s="80"/>
      <c r="G244" s="111"/>
      <c r="H244" s="80"/>
      <c r="I244" s="80"/>
      <c r="J244" s="80"/>
      <c r="K244" s="80"/>
      <c r="L244" s="111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</row>
    <row r="245" spans="1:54">
      <c r="A245" s="80"/>
      <c r="B245" s="80"/>
      <c r="C245" s="111"/>
      <c r="D245" s="80"/>
      <c r="E245" s="111"/>
      <c r="F245" s="80"/>
      <c r="G245" s="111"/>
      <c r="H245" s="80"/>
      <c r="I245" s="80"/>
      <c r="J245" s="80"/>
      <c r="K245" s="80"/>
      <c r="L245" s="111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</row>
    <row r="246" spans="1:54">
      <c r="A246" s="80"/>
      <c r="B246" s="80"/>
      <c r="C246" s="111"/>
      <c r="D246" s="80"/>
      <c r="E246" s="111"/>
      <c r="F246" s="80"/>
      <c r="G246" s="111"/>
      <c r="H246" s="80"/>
      <c r="I246" s="80"/>
      <c r="J246" s="80"/>
      <c r="K246" s="80"/>
      <c r="L246" s="111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</row>
    <row r="247" spans="1:54">
      <c r="A247" s="80"/>
      <c r="B247" s="80"/>
      <c r="C247" s="111"/>
      <c r="D247" s="80"/>
      <c r="E247" s="111"/>
      <c r="F247" s="80"/>
      <c r="G247" s="111"/>
      <c r="H247" s="80"/>
      <c r="I247" s="80"/>
      <c r="J247" s="80"/>
      <c r="K247" s="80"/>
      <c r="L247" s="111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</row>
    <row r="248" spans="1:54">
      <c r="A248" s="80"/>
      <c r="B248" s="80"/>
      <c r="C248" s="111"/>
      <c r="D248" s="80"/>
      <c r="E248" s="111"/>
      <c r="F248" s="80"/>
      <c r="G248" s="111"/>
      <c r="H248" s="80"/>
      <c r="I248" s="80"/>
      <c r="J248" s="80"/>
      <c r="K248" s="80"/>
      <c r="L248" s="111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</row>
    <row r="249" spans="1:54">
      <c r="A249" s="80"/>
      <c r="B249" s="80"/>
      <c r="C249" s="111"/>
      <c r="D249" s="80"/>
      <c r="E249" s="111"/>
      <c r="F249" s="80"/>
      <c r="G249" s="111"/>
      <c r="H249" s="80"/>
      <c r="I249" s="80"/>
      <c r="J249" s="80"/>
      <c r="K249" s="80"/>
      <c r="L249" s="111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</row>
    <row r="250" spans="1:54">
      <c r="A250" s="80"/>
      <c r="B250" s="80"/>
      <c r="C250" s="111"/>
      <c r="D250" s="80"/>
      <c r="E250" s="111"/>
      <c r="F250" s="80"/>
      <c r="G250" s="111"/>
      <c r="H250" s="80"/>
      <c r="I250" s="80"/>
      <c r="J250" s="80"/>
      <c r="K250" s="80"/>
      <c r="L250" s="111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</row>
    <row r="251" spans="1:54">
      <c r="A251" s="80"/>
      <c r="B251" s="80"/>
      <c r="C251" s="111"/>
      <c r="D251" s="80"/>
      <c r="E251" s="111"/>
      <c r="F251" s="80"/>
      <c r="G251" s="111"/>
      <c r="H251" s="80"/>
      <c r="I251" s="80"/>
      <c r="J251" s="80"/>
      <c r="K251" s="80"/>
      <c r="L251" s="111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</row>
    <row r="252" spans="1:54">
      <c r="A252" s="80"/>
      <c r="B252" s="80"/>
      <c r="C252" s="111"/>
      <c r="D252" s="80"/>
      <c r="E252" s="111"/>
      <c r="F252" s="80"/>
      <c r="G252" s="111"/>
      <c r="H252" s="80"/>
      <c r="I252" s="80"/>
      <c r="J252" s="80"/>
      <c r="K252" s="80"/>
      <c r="L252" s="111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</row>
    <row r="253" spans="1:54">
      <c r="A253" s="80"/>
      <c r="B253" s="80"/>
      <c r="C253" s="111"/>
      <c r="D253" s="80"/>
      <c r="E253" s="111"/>
      <c r="F253" s="80"/>
      <c r="G253" s="111"/>
      <c r="H253" s="80"/>
      <c r="I253" s="80"/>
      <c r="J253" s="80"/>
      <c r="K253" s="80"/>
      <c r="L253" s="111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</row>
    <row r="254" spans="1:54">
      <c r="A254" s="80"/>
      <c r="B254" s="80"/>
      <c r="C254" s="111"/>
      <c r="D254" s="80"/>
      <c r="E254" s="111"/>
      <c r="F254" s="80"/>
      <c r="G254" s="111"/>
      <c r="H254" s="80"/>
      <c r="I254" s="80"/>
      <c r="J254" s="80"/>
      <c r="K254" s="80"/>
      <c r="L254" s="111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</row>
    <row r="255" spans="1:54">
      <c r="A255" s="80"/>
      <c r="B255" s="80"/>
      <c r="C255" s="111"/>
      <c r="D255" s="80"/>
      <c r="E255" s="111"/>
      <c r="F255" s="80"/>
      <c r="G255" s="111"/>
      <c r="H255" s="80"/>
      <c r="I255" s="80"/>
      <c r="J255" s="80"/>
      <c r="K255" s="80"/>
      <c r="L255" s="111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</row>
    <row r="256" spans="1:54">
      <c r="A256" s="80"/>
      <c r="B256" s="80"/>
      <c r="C256" s="111"/>
      <c r="D256" s="80"/>
      <c r="E256" s="111"/>
      <c r="F256" s="80"/>
      <c r="G256" s="111"/>
      <c r="H256" s="80"/>
      <c r="I256" s="80"/>
      <c r="J256" s="80"/>
      <c r="K256" s="80"/>
      <c r="L256" s="111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</row>
    <row r="257" spans="1:54">
      <c r="A257" s="80"/>
      <c r="B257" s="80"/>
      <c r="C257" s="111"/>
      <c r="D257" s="80"/>
      <c r="E257" s="111"/>
      <c r="F257" s="80"/>
      <c r="G257" s="111"/>
      <c r="H257" s="80"/>
      <c r="I257" s="80"/>
      <c r="J257" s="80"/>
      <c r="K257" s="80"/>
      <c r="L257" s="111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</row>
    <row r="258" spans="1:54">
      <c r="A258" s="80"/>
      <c r="B258" s="80"/>
      <c r="C258" s="111"/>
      <c r="D258" s="80"/>
      <c r="E258" s="111"/>
      <c r="F258" s="80"/>
      <c r="G258" s="111"/>
      <c r="H258" s="80"/>
      <c r="I258" s="80"/>
      <c r="J258" s="80"/>
      <c r="K258" s="80"/>
      <c r="L258" s="111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</row>
    <row r="259" spans="1:54">
      <c r="A259" s="80"/>
      <c r="B259" s="80"/>
      <c r="C259" s="111"/>
      <c r="D259" s="80"/>
      <c r="E259" s="111"/>
      <c r="F259" s="80"/>
      <c r="G259" s="111"/>
      <c r="H259" s="80"/>
      <c r="I259" s="80"/>
      <c r="J259" s="80"/>
      <c r="K259" s="80"/>
      <c r="L259" s="111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</row>
    <row r="260" spans="1:54">
      <c r="A260" s="80"/>
      <c r="B260" s="80"/>
      <c r="C260" s="111"/>
      <c r="D260" s="80"/>
      <c r="E260" s="111"/>
      <c r="F260" s="80"/>
      <c r="G260" s="111"/>
      <c r="H260" s="80"/>
      <c r="I260" s="80"/>
      <c r="J260" s="80"/>
      <c r="K260" s="80"/>
      <c r="L260" s="111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</row>
    <row r="261" spans="1:54">
      <c r="A261" s="80"/>
      <c r="B261" s="80"/>
      <c r="C261" s="111"/>
      <c r="D261" s="80"/>
      <c r="E261" s="111"/>
      <c r="F261" s="80"/>
      <c r="G261" s="111"/>
      <c r="H261" s="80"/>
      <c r="I261" s="80"/>
      <c r="J261" s="80"/>
      <c r="K261" s="80"/>
      <c r="L261" s="111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</row>
    <row r="262" spans="1:54">
      <c r="A262" s="80"/>
      <c r="B262" s="80"/>
      <c r="C262" s="111"/>
      <c r="D262" s="80"/>
      <c r="E262" s="111"/>
      <c r="F262" s="80"/>
      <c r="G262" s="111"/>
      <c r="H262" s="80"/>
      <c r="I262" s="80"/>
      <c r="J262" s="80"/>
      <c r="K262" s="80"/>
      <c r="L262" s="111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</row>
    <row r="263" spans="1:54">
      <c r="A263" s="80"/>
      <c r="B263" s="80"/>
      <c r="C263" s="111"/>
      <c r="D263" s="80"/>
      <c r="E263" s="111"/>
      <c r="F263" s="80"/>
      <c r="G263" s="111"/>
      <c r="H263" s="80"/>
      <c r="I263" s="80"/>
      <c r="J263" s="80"/>
      <c r="K263" s="80"/>
      <c r="L263" s="111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</row>
    <row r="264" spans="1:54">
      <c r="A264" s="80"/>
      <c r="B264" s="80"/>
      <c r="C264" s="111"/>
      <c r="D264" s="80"/>
      <c r="E264" s="111"/>
      <c r="F264" s="80"/>
      <c r="G264" s="111"/>
      <c r="H264" s="80"/>
      <c r="I264" s="80"/>
      <c r="J264" s="80"/>
      <c r="K264" s="80"/>
      <c r="L264" s="111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</row>
    <row r="265" spans="1:54">
      <c r="A265" s="80"/>
      <c r="B265" s="80"/>
      <c r="C265" s="111"/>
      <c r="D265" s="80"/>
      <c r="E265" s="111"/>
      <c r="F265" s="80"/>
      <c r="G265" s="111"/>
      <c r="H265" s="80"/>
      <c r="I265" s="80"/>
      <c r="J265" s="80"/>
      <c r="K265" s="80"/>
      <c r="L265" s="111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</row>
    <row r="266" spans="1:54">
      <c r="A266" s="80"/>
      <c r="B266" s="80"/>
      <c r="C266" s="111"/>
      <c r="D266" s="80"/>
      <c r="E266" s="111"/>
      <c r="F266" s="80"/>
      <c r="G266" s="111"/>
      <c r="H266" s="80"/>
      <c r="I266" s="80"/>
      <c r="J266" s="80"/>
      <c r="K266" s="80"/>
      <c r="L266" s="111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</row>
    <row r="267" spans="1:54">
      <c r="A267" s="80"/>
      <c r="B267" s="80"/>
      <c r="C267" s="111"/>
      <c r="D267" s="80"/>
      <c r="E267" s="111"/>
      <c r="F267" s="80"/>
      <c r="G267" s="111"/>
      <c r="H267" s="80"/>
      <c r="I267" s="80"/>
      <c r="J267" s="80"/>
      <c r="K267" s="80"/>
      <c r="L267" s="111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</row>
    <row r="268" spans="1:54">
      <c r="A268" s="80"/>
      <c r="B268" s="80"/>
      <c r="C268" s="111"/>
      <c r="D268" s="80"/>
      <c r="E268" s="111"/>
      <c r="F268" s="80"/>
      <c r="G268" s="111"/>
      <c r="H268" s="80"/>
      <c r="I268" s="80"/>
      <c r="J268" s="80"/>
      <c r="K268" s="80"/>
      <c r="L268" s="111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</row>
    <row r="269" spans="1:54">
      <c r="A269" s="80"/>
      <c r="B269" s="80"/>
      <c r="C269" s="111"/>
      <c r="D269" s="80"/>
      <c r="E269" s="111"/>
      <c r="F269" s="80"/>
      <c r="G269" s="111"/>
      <c r="H269" s="80"/>
      <c r="I269" s="80"/>
      <c r="J269" s="80"/>
      <c r="K269" s="80"/>
      <c r="L269" s="111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</row>
    <row r="270" spans="1:54">
      <c r="A270" s="80"/>
      <c r="B270" s="80"/>
      <c r="C270" s="111"/>
      <c r="D270" s="80"/>
      <c r="E270" s="111"/>
      <c r="F270" s="80"/>
      <c r="G270" s="111"/>
      <c r="H270" s="80"/>
      <c r="I270" s="80"/>
      <c r="J270" s="80"/>
      <c r="K270" s="80"/>
      <c r="L270" s="111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</row>
    <row r="271" spans="1:54">
      <c r="A271" s="80"/>
      <c r="B271" s="80"/>
      <c r="C271" s="111"/>
      <c r="D271" s="80"/>
      <c r="E271" s="111"/>
      <c r="F271" s="80"/>
      <c r="G271" s="111"/>
      <c r="H271" s="80"/>
      <c r="I271" s="80"/>
      <c r="J271" s="80"/>
      <c r="K271" s="80"/>
      <c r="L271" s="111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</row>
    <row r="272" spans="1:54">
      <c r="A272" s="80"/>
      <c r="B272" s="80"/>
      <c r="C272" s="111"/>
      <c r="D272" s="80"/>
      <c r="E272" s="111"/>
      <c r="F272" s="80"/>
      <c r="G272" s="111"/>
      <c r="H272" s="80"/>
      <c r="I272" s="80"/>
      <c r="J272" s="80"/>
      <c r="K272" s="80"/>
      <c r="L272" s="111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</row>
    <row r="273" spans="1:54">
      <c r="A273" s="80"/>
      <c r="B273" s="80"/>
      <c r="C273" s="111"/>
      <c r="D273" s="80"/>
      <c r="E273" s="111"/>
      <c r="F273" s="80"/>
      <c r="G273" s="111"/>
      <c r="H273" s="80"/>
      <c r="I273" s="80"/>
      <c r="J273" s="80"/>
      <c r="K273" s="80"/>
      <c r="L273" s="111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</row>
    <row r="274" spans="1:54">
      <c r="A274" s="80"/>
      <c r="B274" s="80"/>
      <c r="C274" s="111"/>
      <c r="D274" s="80"/>
      <c r="E274" s="111"/>
      <c r="F274" s="80"/>
      <c r="G274" s="111"/>
      <c r="H274" s="80"/>
      <c r="I274" s="80"/>
      <c r="J274" s="80"/>
      <c r="K274" s="80"/>
      <c r="L274" s="111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</row>
    <row r="275" spans="1:54">
      <c r="A275" s="80"/>
      <c r="B275" s="80"/>
      <c r="C275" s="111"/>
      <c r="D275" s="80"/>
      <c r="E275" s="111"/>
      <c r="F275" s="80"/>
      <c r="G275" s="111"/>
      <c r="H275" s="80"/>
      <c r="I275" s="80"/>
      <c r="J275" s="80"/>
      <c r="K275" s="80"/>
      <c r="L275" s="111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</row>
    <row r="276" spans="1:54">
      <c r="A276" s="80"/>
      <c r="B276" s="80"/>
      <c r="C276" s="111"/>
      <c r="D276" s="80"/>
      <c r="E276" s="111"/>
      <c r="F276" s="80"/>
      <c r="G276" s="111"/>
      <c r="H276" s="80"/>
      <c r="I276" s="80"/>
      <c r="J276" s="80"/>
      <c r="K276" s="80"/>
      <c r="L276" s="111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</row>
    <row r="277" spans="1:54">
      <c r="A277" s="80"/>
      <c r="B277" s="80"/>
      <c r="C277" s="111"/>
      <c r="D277" s="80"/>
      <c r="E277" s="111"/>
      <c r="F277" s="80"/>
      <c r="G277" s="111"/>
      <c r="H277" s="80"/>
      <c r="I277" s="80"/>
      <c r="J277" s="80"/>
      <c r="K277" s="80"/>
      <c r="L277" s="111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</row>
    <row r="278" spans="1:54">
      <c r="A278" s="80"/>
      <c r="B278" s="80"/>
      <c r="C278" s="111"/>
      <c r="D278" s="80"/>
      <c r="E278" s="111"/>
      <c r="F278" s="80"/>
      <c r="G278" s="111"/>
      <c r="H278" s="80"/>
      <c r="I278" s="80"/>
      <c r="J278" s="80"/>
      <c r="K278" s="80"/>
      <c r="L278" s="111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</row>
    <row r="279" spans="1:54">
      <c r="A279" s="80"/>
      <c r="B279" s="80"/>
      <c r="C279" s="111"/>
      <c r="D279" s="80"/>
      <c r="E279" s="111"/>
      <c r="F279" s="80"/>
      <c r="G279" s="111"/>
      <c r="H279" s="80"/>
      <c r="I279" s="80"/>
      <c r="J279" s="80"/>
      <c r="K279" s="80"/>
      <c r="L279" s="111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</row>
    <row r="280" spans="1:54">
      <c r="A280" s="80"/>
      <c r="B280" s="80"/>
      <c r="C280" s="111"/>
      <c r="D280" s="80"/>
      <c r="E280" s="111"/>
      <c r="F280" s="80"/>
      <c r="G280" s="111"/>
      <c r="H280" s="80"/>
      <c r="I280" s="80"/>
      <c r="J280" s="80"/>
      <c r="K280" s="80"/>
      <c r="L280" s="111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</row>
    <row r="281" spans="1:54">
      <c r="A281" s="80"/>
      <c r="B281" s="80"/>
      <c r="C281" s="111"/>
      <c r="D281" s="80"/>
      <c r="E281" s="111"/>
      <c r="F281" s="80"/>
      <c r="G281" s="111"/>
      <c r="H281" s="80"/>
      <c r="I281" s="80"/>
      <c r="J281" s="80"/>
      <c r="K281" s="80"/>
      <c r="L281" s="111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</row>
    <row r="282" spans="1:54">
      <c r="A282" s="80"/>
      <c r="B282" s="80"/>
      <c r="C282" s="111"/>
      <c r="D282" s="80"/>
      <c r="E282" s="111"/>
      <c r="F282" s="80"/>
      <c r="G282" s="111"/>
      <c r="H282" s="80"/>
      <c r="I282" s="80"/>
      <c r="J282" s="80"/>
      <c r="K282" s="80"/>
      <c r="L282" s="111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</row>
    <row r="283" spans="1:54">
      <c r="A283" s="80"/>
      <c r="B283" s="80"/>
      <c r="C283" s="111"/>
      <c r="D283" s="80"/>
      <c r="E283" s="111"/>
      <c r="F283" s="80"/>
      <c r="G283" s="111"/>
      <c r="H283" s="80"/>
      <c r="I283" s="80"/>
      <c r="J283" s="80"/>
      <c r="K283" s="80"/>
      <c r="L283" s="111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</row>
    <row r="284" spans="1:54">
      <c r="A284" s="80"/>
      <c r="B284" s="80"/>
      <c r="C284" s="111"/>
      <c r="D284" s="80"/>
      <c r="E284" s="111"/>
      <c r="F284" s="80"/>
      <c r="G284" s="111"/>
      <c r="H284" s="80"/>
      <c r="I284" s="80"/>
      <c r="J284" s="80"/>
      <c r="K284" s="80"/>
      <c r="L284" s="111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</row>
    <row r="285" spans="1:54">
      <c r="A285" s="80"/>
      <c r="B285" s="80"/>
      <c r="C285" s="111"/>
      <c r="D285" s="80"/>
      <c r="E285" s="111"/>
      <c r="F285" s="80"/>
      <c r="G285" s="111"/>
      <c r="H285" s="80"/>
      <c r="I285" s="80"/>
      <c r="J285" s="80"/>
      <c r="K285" s="80"/>
      <c r="L285" s="111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</row>
    <row r="286" spans="1:54">
      <c r="A286" s="80"/>
      <c r="B286" s="80"/>
      <c r="C286" s="111"/>
      <c r="D286" s="80"/>
      <c r="E286" s="111"/>
      <c r="F286" s="80"/>
      <c r="G286" s="111"/>
      <c r="H286" s="80"/>
      <c r="I286" s="80"/>
      <c r="J286" s="80"/>
      <c r="K286" s="80"/>
      <c r="L286" s="111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</row>
    <row r="287" spans="1:54">
      <c r="A287" s="80"/>
      <c r="B287" s="80"/>
      <c r="C287" s="111"/>
      <c r="D287" s="80"/>
      <c r="E287" s="111"/>
      <c r="F287" s="80"/>
      <c r="G287" s="111"/>
      <c r="H287" s="80"/>
      <c r="I287" s="80"/>
      <c r="J287" s="80"/>
      <c r="K287" s="80"/>
      <c r="L287" s="111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</row>
    <row r="288" spans="1:54">
      <c r="A288" s="80"/>
      <c r="B288" s="80"/>
      <c r="C288" s="111"/>
      <c r="D288" s="80"/>
      <c r="E288" s="111"/>
      <c r="F288" s="80"/>
      <c r="G288" s="111"/>
      <c r="H288" s="80"/>
      <c r="I288" s="80"/>
      <c r="J288" s="80"/>
      <c r="K288" s="80"/>
      <c r="L288" s="111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</row>
    <row r="289" spans="1:54">
      <c r="A289" s="80"/>
      <c r="B289" s="80"/>
      <c r="C289" s="111"/>
      <c r="D289" s="80"/>
      <c r="E289" s="111"/>
      <c r="F289" s="80"/>
      <c r="G289" s="111"/>
      <c r="H289" s="80"/>
      <c r="I289" s="80"/>
      <c r="J289" s="80"/>
      <c r="K289" s="80"/>
      <c r="L289" s="111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</row>
    <row r="290" spans="1:54">
      <c r="A290" s="80"/>
      <c r="B290" s="80"/>
      <c r="C290" s="111"/>
      <c r="D290" s="80"/>
      <c r="E290" s="111"/>
      <c r="F290" s="80"/>
      <c r="G290" s="111"/>
      <c r="H290" s="80"/>
      <c r="I290" s="80"/>
      <c r="J290" s="80"/>
      <c r="K290" s="80"/>
      <c r="L290" s="111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</row>
    <row r="291" spans="1:54">
      <c r="A291" s="80"/>
      <c r="B291" s="80"/>
      <c r="C291" s="111"/>
      <c r="D291" s="80"/>
      <c r="E291" s="111"/>
      <c r="F291" s="80"/>
      <c r="G291" s="111"/>
      <c r="H291" s="80"/>
      <c r="I291" s="80"/>
      <c r="J291" s="80"/>
      <c r="K291" s="80"/>
      <c r="L291" s="111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</row>
    <row r="292" spans="1:54">
      <c r="A292" s="80"/>
      <c r="B292" s="80"/>
      <c r="C292" s="111"/>
      <c r="D292" s="80"/>
      <c r="E292" s="111"/>
      <c r="F292" s="80"/>
      <c r="G292" s="111"/>
      <c r="H292" s="80"/>
      <c r="I292" s="80"/>
      <c r="J292" s="80"/>
      <c r="K292" s="80"/>
      <c r="L292" s="111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</row>
    <row r="293" spans="1:54">
      <c r="A293" s="80"/>
      <c r="B293" s="80"/>
      <c r="C293" s="111"/>
      <c r="D293" s="80"/>
      <c r="E293" s="111"/>
      <c r="F293" s="80"/>
      <c r="G293" s="111"/>
      <c r="H293" s="80"/>
      <c r="I293" s="80"/>
      <c r="J293" s="80"/>
      <c r="K293" s="80"/>
      <c r="L293" s="111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</row>
    <row r="294" spans="1:54">
      <c r="A294" s="80"/>
      <c r="B294" s="80"/>
      <c r="C294" s="111"/>
      <c r="D294" s="80"/>
      <c r="E294" s="111"/>
      <c r="F294" s="80"/>
      <c r="G294" s="111"/>
      <c r="H294" s="80"/>
      <c r="I294" s="80"/>
      <c r="J294" s="80"/>
      <c r="K294" s="80"/>
      <c r="L294" s="111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</row>
    <row r="295" spans="1:54">
      <c r="A295" s="80"/>
      <c r="B295" s="80"/>
      <c r="C295" s="111"/>
      <c r="D295" s="80"/>
      <c r="E295" s="111"/>
      <c r="F295" s="80"/>
      <c r="G295" s="111"/>
      <c r="H295" s="80"/>
      <c r="I295" s="80"/>
      <c r="J295" s="80"/>
      <c r="K295" s="80"/>
      <c r="L295" s="111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</row>
    <row r="296" spans="1:54">
      <c r="A296" s="80"/>
      <c r="B296" s="80"/>
      <c r="C296" s="111"/>
      <c r="D296" s="80"/>
      <c r="E296" s="111"/>
      <c r="F296" s="80"/>
      <c r="G296" s="111"/>
      <c r="H296" s="80"/>
      <c r="I296" s="80"/>
      <c r="J296" s="80"/>
      <c r="K296" s="80"/>
      <c r="L296" s="111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</row>
    <row r="297" spans="1:54">
      <c r="A297" s="80"/>
      <c r="B297" s="80"/>
      <c r="C297" s="111"/>
      <c r="D297" s="80"/>
      <c r="E297" s="111"/>
      <c r="F297" s="80"/>
      <c r="G297" s="111"/>
      <c r="H297" s="80"/>
      <c r="I297" s="80"/>
      <c r="J297" s="80"/>
      <c r="K297" s="80"/>
      <c r="L297" s="111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</row>
    <row r="298" spans="1:54">
      <c r="A298" s="80"/>
      <c r="B298" s="80"/>
      <c r="C298" s="111"/>
      <c r="D298" s="80"/>
      <c r="E298" s="111"/>
      <c r="F298" s="80"/>
      <c r="G298" s="111"/>
      <c r="H298" s="80"/>
      <c r="I298" s="80"/>
      <c r="J298" s="80"/>
      <c r="K298" s="80"/>
      <c r="L298" s="111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</row>
    <row r="299" spans="1:54">
      <c r="A299" s="80"/>
      <c r="B299" s="80"/>
      <c r="C299" s="111"/>
      <c r="D299" s="80"/>
      <c r="E299" s="111"/>
      <c r="F299" s="80"/>
      <c r="G299" s="111"/>
      <c r="H299" s="80"/>
      <c r="I299" s="80"/>
      <c r="J299" s="80"/>
      <c r="K299" s="80"/>
      <c r="L299" s="111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</row>
    <row r="300" spans="1:54">
      <c r="A300" s="80"/>
      <c r="B300" s="80"/>
      <c r="C300" s="111"/>
      <c r="D300" s="80"/>
      <c r="E300" s="111"/>
      <c r="F300" s="80"/>
      <c r="G300" s="111"/>
      <c r="H300" s="80"/>
      <c r="I300" s="80"/>
      <c r="J300" s="80"/>
      <c r="K300" s="80"/>
      <c r="L300" s="111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</row>
    <row r="301" spans="1:54">
      <c r="A301" s="80"/>
      <c r="B301" s="80"/>
      <c r="C301" s="111"/>
      <c r="D301" s="80"/>
      <c r="E301" s="111"/>
      <c r="F301" s="80"/>
      <c r="G301" s="111"/>
      <c r="H301" s="80"/>
      <c r="I301" s="80"/>
      <c r="J301" s="80"/>
      <c r="K301" s="80"/>
      <c r="L301" s="111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</row>
    <row r="302" spans="1:54">
      <c r="A302" s="80"/>
      <c r="B302" s="80"/>
      <c r="C302" s="111"/>
      <c r="D302" s="80"/>
      <c r="E302" s="111"/>
      <c r="F302" s="80"/>
      <c r="G302" s="111"/>
      <c r="H302" s="80"/>
      <c r="I302" s="80"/>
      <c r="J302" s="80"/>
      <c r="K302" s="80"/>
      <c r="L302" s="111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</row>
    <row r="303" spans="1:54">
      <c r="A303" s="80"/>
      <c r="B303" s="80"/>
      <c r="C303" s="111"/>
      <c r="D303" s="80"/>
      <c r="E303" s="111"/>
      <c r="F303" s="80"/>
      <c r="G303" s="111"/>
      <c r="H303" s="80"/>
      <c r="I303" s="80"/>
      <c r="J303" s="80"/>
      <c r="K303" s="80"/>
      <c r="L303" s="111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</row>
    <row r="304" spans="1:54">
      <c r="A304" s="80"/>
      <c r="B304" s="80"/>
      <c r="C304" s="111"/>
      <c r="D304" s="80"/>
      <c r="E304" s="111"/>
      <c r="F304" s="80"/>
      <c r="G304" s="111"/>
      <c r="H304" s="80"/>
      <c r="I304" s="80"/>
      <c r="J304" s="80"/>
      <c r="K304" s="80"/>
      <c r="L304" s="111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</row>
    <row r="305" spans="1:54">
      <c r="A305" s="80"/>
      <c r="B305" s="80"/>
      <c r="C305" s="111"/>
      <c r="D305" s="80"/>
      <c r="E305" s="111"/>
      <c r="F305" s="80"/>
      <c r="G305" s="111"/>
      <c r="H305" s="80"/>
      <c r="I305" s="80"/>
      <c r="J305" s="80"/>
      <c r="K305" s="80"/>
      <c r="L305" s="111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</row>
    <row r="306" spans="1:54">
      <c r="A306" s="80"/>
      <c r="B306" s="80"/>
      <c r="C306" s="111"/>
      <c r="D306" s="80"/>
      <c r="E306" s="111"/>
      <c r="F306" s="80"/>
      <c r="G306" s="111"/>
      <c r="H306" s="80"/>
      <c r="I306" s="80"/>
      <c r="J306" s="80"/>
      <c r="K306" s="80"/>
      <c r="L306" s="111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</row>
    <row r="307" spans="1:54">
      <c r="A307" s="80"/>
      <c r="B307" s="80"/>
      <c r="C307" s="111"/>
      <c r="D307" s="80"/>
      <c r="E307" s="111"/>
      <c r="F307" s="80"/>
      <c r="G307" s="111"/>
      <c r="H307" s="80"/>
      <c r="I307" s="80"/>
      <c r="J307" s="80"/>
      <c r="K307" s="80"/>
      <c r="L307" s="111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</row>
    <row r="308" spans="1:54">
      <c r="A308" s="80"/>
      <c r="B308" s="80"/>
      <c r="C308" s="111"/>
      <c r="D308" s="80"/>
      <c r="E308" s="111"/>
      <c r="F308" s="80"/>
      <c r="G308" s="111"/>
      <c r="H308" s="80"/>
      <c r="I308" s="80"/>
      <c r="J308" s="80"/>
      <c r="K308" s="80"/>
      <c r="L308" s="111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</row>
    <row r="309" spans="1:54">
      <c r="A309" s="80"/>
      <c r="B309" s="80"/>
      <c r="C309" s="111"/>
      <c r="D309" s="80"/>
      <c r="E309" s="111"/>
      <c r="F309" s="80"/>
      <c r="G309" s="111"/>
      <c r="H309" s="80"/>
      <c r="I309" s="80"/>
      <c r="J309" s="80"/>
      <c r="K309" s="80"/>
      <c r="L309" s="111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</row>
    <row r="310" spans="1:54">
      <c r="A310" s="80"/>
      <c r="B310" s="80"/>
      <c r="C310" s="111"/>
      <c r="D310" s="80"/>
      <c r="E310" s="111"/>
      <c r="F310" s="80"/>
      <c r="G310" s="111"/>
      <c r="H310" s="80"/>
      <c r="I310" s="80"/>
      <c r="J310" s="80"/>
      <c r="K310" s="80"/>
      <c r="L310" s="111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</row>
    <row r="311" spans="1:54">
      <c r="A311" s="80"/>
      <c r="B311" s="80"/>
      <c r="C311" s="111"/>
      <c r="D311" s="80"/>
      <c r="E311" s="111"/>
      <c r="F311" s="80"/>
      <c r="G311" s="111"/>
      <c r="H311" s="80"/>
      <c r="I311" s="80"/>
      <c r="J311" s="80"/>
      <c r="K311" s="80"/>
      <c r="L311" s="111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</row>
    <row r="312" spans="1:54">
      <c r="A312" s="80"/>
      <c r="B312" s="80"/>
      <c r="C312" s="111"/>
      <c r="D312" s="80"/>
      <c r="E312" s="111"/>
      <c r="F312" s="80"/>
      <c r="G312" s="111"/>
      <c r="H312" s="80"/>
      <c r="I312" s="80"/>
      <c r="J312" s="80"/>
      <c r="K312" s="80"/>
      <c r="L312" s="111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</row>
    <row r="313" spans="1:54">
      <c r="A313" s="80"/>
      <c r="B313" s="80"/>
      <c r="C313" s="111"/>
      <c r="D313" s="80"/>
      <c r="E313" s="111"/>
      <c r="F313" s="80"/>
      <c r="G313" s="111"/>
      <c r="H313" s="80"/>
      <c r="I313" s="80"/>
      <c r="J313" s="80"/>
      <c r="K313" s="80"/>
      <c r="L313" s="111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</row>
    <row r="314" spans="1:54">
      <c r="A314" s="80"/>
      <c r="B314" s="80"/>
      <c r="C314" s="111"/>
      <c r="D314" s="80"/>
      <c r="E314" s="111"/>
      <c r="F314" s="80"/>
      <c r="G314" s="111"/>
      <c r="H314" s="80"/>
      <c r="I314" s="80"/>
      <c r="J314" s="80"/>
      <c r="K314" s="80"/>
      <c r="L314" s="111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</row>
    <row r="315" spans="1:54">
      <c r="A315" s="80"/>
      <c r="B315" s="80"/>
      <c r="C315" s="111"/>
      <c r="D315" s="80"/>
      <c r="E315" s="111"/>
      <c r="F315" s="80"/>
      <c r="G315" s="111"/>
      <c r="H315" s="80"/>
      <c r="I315" s="80"/>
      <c r="J315" s="80"/>
      <c r="K315" s="80"/>
      <c r="L315" s="111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</row>
    <row r="316" spans="1:54">
      <c r="A316" s="80"/>
      <c r="B316" s="80"/>
      <c r="C316" s="111"/>
      <c r="D316" s="80"/>
      <c r="E316" s="111"/>
      <c r="F316" s="80"/>
      <c r="G316" s="111"/>
      <c r="H316" s="80"/>
      <c r="I316" s="80"/>
      <c r="J316" s="80"/>
      <c r="K316" s="80"/>
      <c r="L316" s="111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</row>
    <row r="317" spans="1:54">
      <c r="A317" s="80"/>
      <c r="B317" s="80"/>
      <c r="C317" s="111"/>
      <c r="D317" s="80"/>
      <c r="E317" s="111"/>
      <c r="F317" s="80"/>
      <c r="G317" s="111"/>
      <c r="H317" s="80"/>
      <c r="I317" s="80"/>
      <c r="J317" s="80"/>
      <c r="K317" s="80"/>
      <c r="L317" s="111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</row>
    <row r="318" spans="1:54">
      <c r="A318" s="80"/>
      <c r="B318" s="80"/>
      <c r="C318" s="111"/>
      <c r="D318" s="80"/>
      <c r="E318" s="111"/>
      <c r="F318" s="80"/>
      <c r="G318" s="111"/>
      <c r="H318" s="80"/>
      <c r="I318" s="80"/>
      <c r="J318" s="80"/>
      <c r="K318" s="80"/>
      <c r="L318" s="111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</row>
    <row r="319" spans="1:54">
      <c r="A319" s="80"/>
      <c r="B319" s="80"/>
      <c r="C319" s="111"/>
      <c r="D319" s="80"/>
      <c r="E319" s="111"/>
      <c r="F319" s="80"/>
      <c r="G319" s="111"/>
      <c r="H319" s="80"/>
      <c r="I319" s="80"/>
      <c r="J319" s="80"/>
      <c r="K319" s="80"/>
      <c r="L319" s="111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</row>
    <row r="320" spans="1:54">
      <c r="A320" s="80"/>
      <c r="B320" s="80"/>
      <c r="C320" s="111"/>
      <c r="D320" s="80"/>
      <c r="E320" s="111"/>
      <c r="F320" s="80"/>
      <c r="G320" s="111"/>
      <c r="H320" s="80"/>
      <c r="I320" s="80"/>
      <c r="J320" s="80"/>
      <c r="K320" s="80"/>
      <c r="L320" s="111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</row>
    <row r="321" spans="1:54">
      <c r="A321" s="80"/>
      <c r="B321" s="80"/>
      <c r="C321" s="111"/>
      <c r="D321" s="80"/>
      <c r="E321" s="111"/>
      <c r="F321" s="80"/>
      <c r="G321" s="111"/>
      <c r="H321" s="80"/>
      <c r="I321" s="80"/>
      <c r="J321" s="80"/>
      <c r="K321" s="80"/>
      <c r="L321" s="111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</row>
    <row r="322" spans="1:54">
      <c r="A322" s="80"/>
      <c r="B322" s="80"/>
      <c r="C322" s="111"/>
      <c r="D322" s="80"/>
      <c r="E322" s="111"/>
      <c r="F322" s="80"/>
      <c r="G322" s="111"/>
      <c r="H322" s="80"/>
      <c r="I322" s="80"/>
      <c r="J322" s="80"/>
      <c r="K322" s="80"/>
      <c r="L322" s="111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</row>
    <row r="323" spans="1:54">
      <c r="A323" s="80"/>
      <c r="B323" s="80"/>
      <c r="C323" s="111"/>
      <c r="D323" s="80"/>
      <c r="E323" s="111"/>
      <c r="F323" s="80"/>
      <c r="G323" s="111"/>
      <c r="H323" s="80"/>
      <c r="I323" s="80"/>
      <c r="J323" s="80"/>
      <c r="K323" s="80"/>
      <c r="L323" s="111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</row>
    <row r="324" spans="1:54">
      <c r="A324" s="80"/>
      <c r="B324" s="80"/>
      <c r="C324" s="111"/>
      <c r="D324" s="80"/>
      <c r="E324" s="111"/>
      <c r="F324" s="80"/>
      <c r="G324" s="111"/>
      <c r="H324" s="80"/>
      <c r="I324" s="80"/>
      <c r="J324" s="80"/>
      <c r="K324" s="80"/>
      <c r="L324" s="111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</row>
    <row r="325" spans="1:54">
      <c r="A325" s="80"/>
      <c r="B325" s="80"/>
      <c r="C325" s="111"/>
      <c r="D325" s="80"/>
      <c r="E325" s="111"/>
      <c r="F325" s="80"/>
      <c r="G325" s="111"/>
      <c r="H325" s="80"/>
      <c r="I325" s="80"/>
      <c r="J325" s="80"/>
      <c r="K325" s="80"/>
      <c r="L325" s="111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</row>
    <row r="326" spans="1:54">
      <c r="A326" s="80"/>
      <c r="B326" s="80"/>
      <c r="C326" s="111"/>
      <c r="D326" s="80"/>
      <c r="E326" s="111"/>
      <c r="F326" s="80"/>
      <c r="G326" s="111"/>
      <c r="H326" s="80"/>
      <c r="I326" s="80"/>
      <c r="J326" s="80"/>
      <c r="K326" s="80"/>
      <c r="L326" s="111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</row>
    <row r="327" spans="1:54">
      <c r="A327" s="80"/>
      <c r="B327" s="80"/>
      <c r="C327" s="111"/>
      <c r="D327" s="80"/>
      <c r="E327" s="111"/>
      <c r="F327" s="80"/>
      <c r="G327" s="111"/>
      <c r="H327" s="80"/>
      <c r="I327" s="80"/>
      <c r="J327" s="80"/>
      <c r="K327" s="80"/>
      <c r="L327" s="111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</row>
    <row r="328" spans="1:54">
      <c r="A328" s="80"/>
      <c r="B328" s="80"/>
      <c r="C328" s="111"/>
      <c r="D328" s="80"/>
      <c r="E328" s="111"/>
      <c r="F328" s="80"/>
      <c r="G328" s="111"/>
      <c r="H328" s="80"/>
      <c r="I328" s="80"/>
      <c r="J328" s="80"/>
      <c r="K328" s="80"/>
      <c r="L328" s="111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</row>
    <row r="329" spans="1:54">
      <c r="A329" s="80"/>
      <c r="B329" s="80"/>
      <c r="C329" s="111"/>
      <c r="D329" s="80"/>
      <c r="E329" s="111"/>
      <c r="F329" s="80"/>
      <c r="G329" s="111"/>
      <c r="H329" s="80"/>
      <c r="I329" s="80"/>
      <c r="J329" s="80"/>
      <c r="K329" s="80"/>
      <c r="L329" s="111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</row>
    <row r="330" spans="1:54">
      <c r="A330" s="80"/>
      <c r="B330" s="80"/>
      <c r="C330" s="111"/>
      <c r="D330" s="80"/>
      <c r="E330" s="111"/>
      <c r="F330" s="80"/>
      <c r="G330" s="111"/>
      <c r="H330" s="80"/>
      <c r="I330" s="80"/>
      <c r="J330" s="80"/>
      <c r="K330" s="80"/>
      <c r="L330" s="111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</row>
    <row r="331" spans="1:54">
      <c r="A331" s="80"/>
      <c r="B331" s="80"/>
      <c r="C331" s="111"/>
      <c r="D331" s="80"/>
      <c r="E331" s="111"/>
      <c r="F331" s="80"/>
      <c r="G331" s="111"/>
      <c r="H331" s="80"/>
      <c r="I331" s="80"/>
      <c r="J331" s="80"/>
      <c r="K331" s="80"/>
      <c r="L331" s="111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</row>
    <row r="332" spans="1:54">
      <c r="A332" s="80"/>
      <c r="B332" s="80"/>
      <c r="C332" s="111"/>
      <c r="D332" s="80"/>
      <c r="E332" s="111"/>
      <c r="F332" s="80"/>
      <c r="G332" s="111"/>
      <c r="H332" s="80"/>
      <c r="I332" s="80"/>
      <c r="J332" s="80"/>
      <c r="K332" s="80"/>
      <c r="L332" s="111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</row>
    <row r="333" spans="1:54">
      <c r="A333" s="80"/>
      <c r="B333" s="80"/>
      <c r="C333" s="111"/>
      <c r="D333" s="80"/>
      <c r="E333" s="111"/>
      <c r="F333" s="80"/>
      <c r="G333" s="111"/>
      <c r="H333" s="80"/>
      <c r="I333" s="80"/>
      <c r="J333" s="80"/>
      <c r="K333" s="80"/>
      <c r="L333" s="111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</row>
    <row r="334" spans="1:54">
      <c r="A334" s="80"/>
      <c r="B334" s="80"/>
      <c r="C334" s="111"/>
      <c r="D334" s="80"/>
      <c r="E334" s="111"/>
      <c r="F334" s="80"/>
      <c r="G334" s="111"/>
      <c r="H334" s="80"/>
      <c r="I334" s="80"/>
      <c r="J334" s="80"/>
      <c r="K334" s="80"/>
      <c r="L334" s="111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</row>
    <row r="335" spans="1:54">
      <c r="A335" s="80"/>
      <c r="B335" s="80"/>
      <c r="C335" s="111"/>
      <c r="D335" s="80"/>
      <c r="E335" s="111"/>
      <c r="F335" s="80"/>
      <c r="G335" s="111"/>
      <c r="H335" s="80"/>
      <c r="I335" s="80"/>
      <c r="J335" s="80"/>
      <c r="K335" s="80"/>
      <c r="L335" s="111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</row>
    <row r="336" spans="1:54">
      <c r="A336" s="80"/>
      <c r="B336" s="80"/>
      <c r="C336" s="111"/>
      <c r="D336" s="80"/>
      <c r="E336" s="111"/>
      <c r="F336" s="80"/>
      <c r="G336" s="111"/>
      <c r="H336" s="80"/>
      <c r="I336" s="80"/>
      <c r="J336" s="80"/>
      <c r="K336" s="80"/>
      <c r="L336" s="111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</row>
    <row r="337" spans="1:54">
      <c r="A337" s="80"/>
      <c r="B337" s="80"/>
      <c r="C337" s="111"/>
      <c r="D337" s="80"/>
      <c r="E337" s="111"/>
      <c r="F337" s="80"/>
      <c r="G337" s="111"/>
      <c r="H337" s="80"/>
      <c r="I337" s="80"/>
      <c r="J337" s="80"/>
      <c r="K337" s="80"/>
      <c r="L337" s="111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</row>
    <row r="338" spans="1:54">
      <c r="A338" s="80"/>
      <c r="B338" s="80"/>
      <c r="C338" s="111"/>
      <c r="D338" s="80"/>
      <c r="E338" s="111"/>
      <c r="F338" s="80"/>
      <c r="G338" s="111"/>
      <c r="H338" s="80"/>
      <c r="I338" s="80"/>
      <c r="J338" s="80"/>
      <c r="K338" s="80"/>
      <c r="L338" s="111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</row>
    <row r="339" spans="1:54">
      <c r="A339" s="80"/>
      <c r="B339" s="80"/>
      <c r="C339" s="111"/>
      <c r="D339" s="80"/>
      <c r="E339" s="111"/>
      <c r="F339" s="80"/>
      <c r="G339" s="111"/>
      <c r="H339" s="80"/>
      <c r="I339" s="80"/>
      <c r="J339" s="80"/>
      <c r="K339" s="80"/>
      <c r="L339" s="111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</row>
    <row r="340" spans="1:54">
      <c r="A340" s="80"/>
      <c r="B340" s="80"/>
      <c r="C340" s="111"/>
      <c r="D340" s="80"/>
      <c r="E340" s="111"/>
      <c r="F340" s="80"/>
      <c r="G340" s="111"/>
      <c r="H340" s="80"/>
      <c r="I340" s="80"/>
      <c r="J340" s="80"/>
      <c r="K340" s="80"/>
      <c r="L340" s="111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</row>
    <row r="341" spans="1:54">
      <c r="A341" s="80"/>
      <c r="B341" s="80"/>
      <c r="C341" s="111"/>
      <c r="D341" s="80"/>
      <c r="E341" s="111"/>
      <c r="F341" s="80"/>
      <c r="G341" s="111"/>
      <c r="H341" s="80"/>
      <c r="I341" s="80"/>
      <c r="J341" s="80"/>
      <c r="K341" s="80"/>
      <c r="L341" s="111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</row>
    <row r="342" spans="1:54">
      <c r="A342" s="80"/>
      <c r="B342" s="80"/>
      <c r="C342" s="111"/>
      <c r="D342" s="80"/>
      <c r="E342" s="111"/>
      <c r="F342" s="80"/>
      <c r="G342" s="111"/>
      <c r="H342" s="80"/>
      <c r="I342" s="80"/>
      <c r="J342" s="80"/>
      <c r="K342" s="80"/>
      <c r="L342" s="111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</row>
    <row r="343" spans="1:54">
      <c r="A343" s="80"/>
      <c r="B343" s="80"/>
      <c r="C343" s="111"/>
      <c r="D343" s="80"/>
      <c r="E343" s="111"/>
      <c r="F343" s="80"/>
      <c r="G343" s="111"/>
      <c r="H343" s="80"/>
      <c r="I343" s="80"/>
      <c r="J343" s="80"/>
      <c r="K343" s="80"/>
      <c r="L343" s="111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</row>
    <row r="344" spans="1:54">
      <c r="A344" s="80"/>
      <c r="B344" s="80"/>
      <c r="C344" s="111"/>
      <c r="D344" s="80"/>
      <c r="E344" s="111"/>
      <c r="F344" s="80"/>
      <c r="G344" s="111"/>
      <c r="H344" s="80"/>
      <c r="I344" s="80"/>
      <c r="J344" s="80"/>
      <c r="K344" s="80"/>
      <c r="L344" s="111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</row>
    <row r="345" spans="1:54">
      <c r="A345" s="80"/>
      <c r="B345" s="80"/>
      <c r="C345" s="111"/>
      <c r="D345" s="80"/>
      <c r="E345" s="111"/>
      <c r="F345" s="80"/>
      <c r="G345" s="111"/>
      <c r="H345" s="80"/>
      <c r="I345" s="80"/>
      <c r="J345" s="80"/>
      <c r="K345" s="80"/>
      <c r="L345" s="111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</row>
    <row r="346" spans="1:54">
      <c r="A346" s="80"/>
      <c r="B346" s="80"/>
      <c r="C346" s="111"/>
      <c r="D346" s="80"/>
      <c r="E346" s="111"/>
      <c r="F346" s="80"/>
      <c r="G346" s="111"/>
      <c r="H346" s="80"/>
      <c r="I346" s="80"/>
      <c r="J346" s="80"/>
      <c r="K346" s="80"/>
      <c r="L346" s="111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</row>
    <row r="347" spans="1:54">
      <c r="A347" s="80"/>
      <c r="B347" s="80"/>
      <c r="C347" s="111"/>
      <c r="D347" s="80"/>
      <c r="E347" s="111"/>
      <c r="F347" s="80"/>
      <c r="G347" s="111"/>
      <c r="H347" s="80"/>
      <c r="I347" s="80"/>
      <c r="J347" s="80"/>
      <c r="K347" s="80"/>
      <c r="L347" s="111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</row>
    <row r="348" spans="1:54">
      <c r="A348" s="80"/>
      <c r="B348" s="80"/>
      <c r="C348" s="111"/>
      <c r="D348" s="80"/>
      <c r="E348" s="111"/>
      <c r="F348" s="80"/>
      <c r="G348" s="111"/>
      <c r="H348" s="80"/>
      <c r="I348" s="80"/>
      <c r="J348" s="80"/>
      <c r="K348" s="80"/>
      <c r="L348" s="111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</row>
    <row r="349" spans="1:54">
      <c r="A349" s="80"/>
      <c r="B349" s="80"/>
      <c r="C349" s="111"/>
      <c r="D349" s="80"/>
      <c r="E349" s="111"/>
      <c r="F349" s="80"/>
      <c r="G349" s="111"/>
      <c r="H349" s="80"/>
      <c r="I349" s="80"/>
      <c r="J349" s="80"/>
      <c r="K349" s="80"/>
      <c r="L349" s="111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</row>
    <row r="350" spans="1:54">
      <c r="A350" s="80"/>
      <c r="B350" s="80"/>
      <c r="C350" s="111"/>
      <c r="D350" s="80"/>
      <c r="E350" s="111"/>
      <c r="F350" s="80"/>
      <c r="G350" s="111"/>
      <c r="H350" s="80"/>
      <c r="I350" s="80"/>
      <c r="J350" s="80"/>
      <c r="K350" s="80"/>
      <c r="L350" s="111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</row>
    <row r="351" spans="1:54">
      <c r="A351" s="80"/>
      <c r="B351" s="80"/>
      <c r="C351" s="111"/>
      <c r="D351" s="80"/>
      <c r="E351" s="111"/>
      <c r="F351" s="80"/>
      <c r="G351" s="111"/>
      <c r="H351" s="80"/>
      <c r="I351" s="80"/>
      <c r="J351" s="80"/>
      <c r="K351" s="80"/>
      <c r="L351" s="111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</row>
    <row r="352" spans="1:54">
      <c r="A352" s="80"/>
      <c r="B352" s="80"/>
      <c r="C352" s="111"/>
      <c r="D352" s="80"/>
      <c r="E352" s="111"/>
      <c r="F352" s="80"/>
      <c r="G352" s="111"/>
      <c r="H352" s="80"/>
      <c r="I352" s="80"/>
      <c r="J352" s="80"/>
      <c r="K352" s="80"/>
      <c r="L352" s="111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</row>
    <row r="353" spans="1:54">
      <c r="A353" s="80"/>
      <c r="B353" s="80"/>
      <c r="C353" s="111"/>
      <c r="D353" s="80"/>
      <c r="E353" s="111"/>
      <c r="F353" s="80"/>
      <c r="G353" s="111"/>
      <c r="H353" s="80"/>
      <c r="I353" s="80"/>
      <c r="J353" s="80"/>
      <c r="K353" s="80"/>
      <c r="L353" s="111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</row>
    <row r="354" spans="1:54">
      <c r="A354" s="80"/>
      <c r="B354" s="80"/>
      <c r="C354" s="111"/>
      <c r="D354" s="80"/>
      <c r="E354" s="111"/>
      <c r="F354" s="80"/>
      <c r="G354" s="111"/>
      <c r="H354" s="80"/>
      <c r="I354" s="80"/>
      <c r="J354" s="80"/>
      <c r="K354" s="80"/>
      <c r="L354" s="111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</row>
    <row r="355" spans="1:54">
      <c r="A355" s="80"/>
      <c r="B355" s="80"/>
      <c r="C355" s="111"/>
      <c r="D355" s="80"/>
      <c r="E355" s="111"/>
      <c r="F355" s="80"/>
      <c r="G355" s="111"/>
      <c r="H355" s="80"/>
      <c r="I355" s="80"/>
      <c r="J355" s="80"/>
      <c r="K355" s="80"/>
      <c r="L355" s="111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</row>
    <row r="356" spans="1:54">
      <c r="A356" s="80"/>
      <c r="B356" s="80"/>
      <c r="C356" s="111"/>
      <c r="D356" s="80"/>
      <c r="E356" s="111"/>
      <c r="F356" s="80"/>
      <c r="G356" s="111"/>
      <c r="H356" s="80"/>
      <c r="I356" s="80"/>
      <c r="J356" s="80"/>
      <c r="K356" s="80"/>
      <c r="L356" s="111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</row>
    <row r="357" spans="1:54">
      <c r="A357" s="80"/>
      <c r="B357" s="80"/>
      <c r="C357" s="111"/>
      <c r="D357" s="80"/>
      <c r="E357" s="111"/>
      <c r="F357" s="80"/>
      <c r="G357" s="111"/>
      <c r="H357" s="80"/>
      <c r="I357" s="80"/>
      <c r="J357" s="80"/>
      <c r="K357" s="80"/>
      <c r="L357" s="111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</row>
    <row r="358" spans="1:54">
      <c r="A358" s="80"/>
      <c r="B358" s="80"/>
      <c r="C358" s="111"/>
      <c r="D358" s="80"/>
      <c r="E358" s="111"/>
      <c r="F358" s="80"/>
      <c r="G358" s="111"/>
      <c r="H358" s="80"/>
      <c r="I358" s="80"/>
      <c r="J358" s="80"/>
      <c r="K358" s="80"/>
      <c r="L358" s="111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</row>
    <row r="359" spans="1:54">
      <c r="A359" s="80"/>
      <c r="B359" s="80"/>
      <c r="C359" s="111"/>
      <c r="D359" s="80"/>
      <c r="E359" s="111"/>
      <c r="F359" s="80"/>
      <c r="G359" s="111"/>
      <c r="H359" s="80"/>
      <c r="I359" s="80"/>
      <c r="J359" s="80"/>
      <c r="K359" s="80"/>
      <c r="L359" s="111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</row>
    <row r="360" spans="1:54">
      <c r="A360" s="80"/>
      <c r="B360" s="80"/>
      <c r="C360" s="111"/>
      <c r="D360" s="80"/>
      <c r="E360" s="111"/>
      <c r="F360" s="80"/>
      <c r="G360" s="111"/>
      <c r="H360" s="80"/>
      <c r="I360" s="80"/>
      <c r="J360" s="80"/>
      <c r="K360" s="80"/>
      <c r="L360" s="111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</row>
    <row r="361" spans="1:54">
      <c r="A361" s="80"/>
      <c r="B361" s="80"/>
      <c r="C361" s="111"/>
      <c r="D361" s="80"/>
      <c r="E361" s="111"/>
      <c r="F361" s="80"/>
      <c r="G361" s="111"/>
      <c r="H361" s="80"/>
      <c r="I361" s="80"/>
      <c r="J361" s="80"/>
      <c r="K361" s="80"/>
      <c r="L361" s="111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</row>
    <row r="362" spans="1:54">
      <c r="A362" s="80"/>
      <c r="B362" s="80"/>
      <c r="C362" s="111"/>
      <c r="D362" s="80"/>
      <c r="E362" s="111"/>
      <c r="F362" s="80"/>
      <c r="G362" s="111"/>
      <c r="H362" s="80"/>
      <c r="I362" s="80"/>
      <c r="J362" s="80"/>
      <c r="K362" s="80"/>
      <c r="L362" s="111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</row>
    <row r="363" spans="1:54">
      <c r="A363" s="80"/>
      <c r="B363" s="80"/>
      <c r="C363" s="111"/>
      <c r="D363" s="80"/>
      <c r="E363" s="111"/>
      <c r="F363" s="80"/>
      <c r="G363" s="111"/>
      <c r="H363" s="80"/>
      <c r="I363" s="80"/>
      <c r="J363" s="80"/>
      <c r="K363" s="80"/>
      <c r="L363" s="111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</row>
    <row r="364" spans="1:54">
      <c r="A364" s="80"/>
      <c r="B364" s="80"/>
      <c r="C364" s="111"/>
      <c r="D364" s="80"/>
      <c r="E364" s="111"/>
      <c r="F364" s="80"/>
      <c r="G364" s="111"/>
      <c r="H364" s="80"/>
      <c r="I364" s="80"/>
      <c r="J364" s="80"/>
      <c r="K364" s="80"/>
      <c r="L364" s="111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</row>
    <row r="365" spans="1:54">
      <c r="A365" s="80"/>
      <c r="B365" s="80"/>
      <c r="C365" s="111"/>
      <c r="D365" s="80"/>
      <c r="E365" s="111"/>
      <c r="F365" s="80"/>
      <c r="G365" s="111"/>
      <c r="H365" s="80"/>
      <c r="I365" s="80"/>
      <c r="J365" s="80"/>
      <c r="K365" s="80"/>
      <c r="L365" s="111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</row>
    <row r="366" spans="1:54">
      <c r="A366" s="80"/>
      <c r="B366" s="80"/>
      <c r="C366" s="111"/>
      <c r="D366" s="80"/>
      <c r="E366" s="111"/>
      <c r="F366" s="80"/>
      <c r="G366" s="111"/>
      <c r="H366" s="80"/>
      <c r="I366" s="80"/>
      <c r="J366" s="80"/>
      <c r="K366" s="80"/>
      <c r="L366" s="111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</row>
    <row r="367" spans="1:54">
      <c r="A367" s="80"/>
      <c r="B367" s="80"/>
      <c r="C367" s="111"/>
      <c r="D367" s="80"/>
      <c r="E367" s="111"/>
      <c r="F367" s="80"/>
      <c r="G367" s="111"/>
      <c r="H367" s="80"/>
      <c r="I367" s="80"/>
      <c r="J367" s="80"/>
      <c r="K367" s="80"/>
      <c r="L367" s="111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</row>
    <row r="368" spans="1:54">
      <c r="A368" s="80"/>
      <c r="B368" s="80"/>
      <c r="C368" s="111"/>
      <c r="D368" s="80"/>
      <c r="E368" s="111"/>
      <c r="F368" s="80"/>
      <c r="G368" s="111"/>
      <c r="H368" s="80"/>
      <c r="I368" s="80"/>
      <c r="J368" s="80"/>
      <c r="K368" s="80"/>
      <c r="L368" s="111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</row>
    <row r="369" spans="1:54">
      <c r="A369" s="80"/>
      <c r="B369" s="80"/>
      <c r="C369" s="111"/>
      <c r="D369" s="80"/>
      <c r="E369" s="111"/>
      <c r="F369" s="80"/>
      <c r="G369" s="111"/>
      <c r="H369" s="80"/>
      <c r="I369" s="80"/>
      <c r="J369" s="80"/>
      <c r="K369" s="80"/>
      <c r="L369" s="111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</row>
    <row r="370" spans="1:54">
      <c r="A370" s="80"/>
      <c r="B370" s="80"/>
      <c r="C370" s="111"/>
      <c r="D370" s="80"/>
      <c r="E370" s="111"/>
      <c r="F370" s="80"/>
      <c r="G370" s="111"/>
      <c r="H370" s="80"/>
      <c r="I370" s="80"/>
      <c r="J370" s="80"/>
      <c r="K370" s="80"/>
      <c r="L370" s="111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</row>
    <row r="371" spans="1:54">
      <c r="A371" s="80"/>
      <c r="B371" s="80"/>
      <c r="C371" s="111"/>
      <c r="D371" s="80"/>
      <c r="E371" s="111"/>
      <c r="F371" s="80"/>
      <c r="G371" s="111"/>
      <c r="H371" s="80"/>
      <c r="I371" s="80"/>
      <c r="J371" s="80"/>
      <c r="K371" s="80"/>
      <c r="L371" s="111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</row>
    <row r="372" spans="1:54">
      <c r="A372" s="80"/>
      <c r="B372" s="80"/>
      <c r="C372" s="111"/>
      <c r="D372" s="80"/>
      <c r="E372" s="111"/>
      <c r="F372" s="80"/>
      <c r="G372" s="111"/>
      <c r="H372" s="80"/>
      <c r="I372" s="80"/>
      <c r="J372" s="80"/>
      <c r="K372" s="80"/>
      <c r="L372" s="111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</row>
    <row r="373" spans="1:54">
      <c r="A373" s="80"/>
      <c r="B373" s="80"/>
      <c r="C373" s="111"/>
      <c r="D373" s="80"/>
      <c r="E373" s="111"/>
      <c r="F373" s="80"/>
      <c r="G373" s="111"/>
      <c r="H373" s="80"/>
      <c r="I373" s="80"/>
      <c r="J373" s="80"/>
      <c r="K373" s="80"/>
      <c r="L373" s="111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</row>
    <row r="374" spans="1:54">
      <c r="A374" s="80"/>
      <c r="B374" s="80"/>
      <c r="C374" s="111"/>
      <c r="D374" s="80"/>
      <c r="E374" s="111"/>
      <c r="F374" s="80"/>
      <c r="G374" s="111"/>
      <c r="H374" s="80"/>
      <c r="I374" s="80"/>
      <c r="J374" s="80"/>
      <c r="K374" s="80"/>
      <c r="L374" s="111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</row>
    <row r="375" spans="1:54">
      <c r="A375" s="80"/>
      <c r="B375" s="80"/>
      <c r="C375" s="111"/>
      <c r="D375" s="80"/>
      <c r="E375" s="111"/>
      <c r="F375" s="80"/>
      <c r="G375" s="111"/>
      <c r="H375" s="80"/>
      <c r="I375" s="80"/>
      <c r="J375" s="80"/>
      <c r="K375" s="80"/>
      <c r="L375" s="111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</row>
    <row r="376" spans="1:54">
      <c r="A376" s="80"/>
      <c r="B376" s="80"/>
      <c r="C376" s="111"/>
      <c r="D376" s="80"/>
      <c r="E376" s="111"/>
      <c r="F376" s="80"/>
      <c r="G376" s="111"/>
      <c r="H376" s="80"/>
      <c r="I376" s="80"/>
      <c r="J376" s="80"/>
      <c r="K376" s="80"/>
      <c r="L376" s="111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</row>
    <row r="377" spans="1:54">
      <c r="A377" s="80"/>
      <c r="B377" s="80"/>
      <c r="C377" s="111"/>
      <c r="D377" s="80"/>
      <c r="E377" s="111"/>
      <c r="F377" s="80"/>
      <c r="G377" s="111"/>
      <c r="H377" s="80"/>
      <c r="I377" s="80"/>
      <c r="J377" s="80"/>
      <c r="K377" s="80"/>
      <c r="L377" s="111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</row>
    <row r="378" spans="1:54">
      <c r="A378" s="80"/>
      <c r="B378" s="80"/>
      <c r="C378" s="111"/>
      <c r="D378" s="80"/>
      <c r="E378" s="111"/>
      <c r="F378" s="80"/>
      <c r="G378" s="111"/>
      <c r="H378" s="80"/>
      <c r="I378" s="80"/>
      <c r="J378" s="80"/>
      <c r="K378" s="80"/>
      <c r="L378" s="111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</row>
    <row r="379" spans="1:54">
      <c r="A379" s="80"/>
      <c r="B379" s="80"/>
      <c r="C379" s="111"/>
      <c r="D379" s="80"/>
      <c r="E379" s="111"/>
      <c r="F379" s="80"/>
      <c r="G379" s="111"/>
      <c r="H379" s="80"/>
      <c r="I379" s="80"/>
      <c r="J379" s="80"/>
      <c r="K379" s="80"/>
      <c r="L379" s="111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</row>
    <row r="380" spans="1:54">
      <c r="A380" s="80"/>
      <c r="B380" s="80"/>
      <c r="C380" s="111"/>
      <c r="D380" s="80"/>
      <c r="E380" s="111"/>
      <c r="F380" s="80"/>
      <c r="G380" s="111"/>
      <c r="H380" s="80"/>
      <c r="I380" s="80"/>
      <c r="J380" s="80"/>
      <c r="K380" s="80"/>
      <c r="L380" s="111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</row>
    <row r="381" spans="1:54">
      <c r="A381" s="80"/>
      <c r="B381" s="80"/>
      <c r="C381" s="111"/>
      <c r="D381" s="80"/>
      <c r="E381" s="111"/>
      <c r="F381" s="80"/>
      <c r="G381" s="111"/>
      <c r="H381" s="80"/>
      <c r="I381" s="80"/>
      <c r="J381" s="80"/>
      <c r="K381" s="80"/>
      <c r="L381" s="111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</row>
    <row r="382" spans="1:54">
      <c r="A382" s="80"/>
      <c r="B382" s="80"/>
      <c r="C382" s="111"/>
      <c r="D382" s="80"/>
      <c r="E382" s="111"/>
      <c r="F382" s="80"/>
      <c r="G382" s="111"/>
      <c r="H382" s="80"/>
      <c r="I382" s="80"/>
      <c r="J382" s="80"/>
      <c r="K382" s="80"/>
      <c r="L382" s="111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</row>
    <row r="383" spans="1:54">
      <c r="A383" s="80"/>
      <c r="B383" s="80"/>
      <c r="C383" s="111"/>
      <c r="D383" s="80"/>
      <c r="E383" s="111"/>
      <c r="F383" s="80"/>
      <c r="G383" s="111"/>
      <c r="H383" s="80"/>
      <c r="I383" s="80"/>
      <c r="J383" s="80"/>
      <c r="K383" s="80"/>
      <c r="L383" s="111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</row>
    <row r="384" spans="1:54">
      <c r="A384" s="80"/>
      <c r="B384" s="80"/>
      <c r="C384" s="111"/>
      <c r="D384" s="80"/>
      <c r="E384" s="111"/>
      <c r="F384" s="80"/>
      <c r="G384" s="111"/>
      <c r="H384" s="80"/>
      <c r="I384" s="80"/>
      <c r="J384" s="80"/>
      <c r="K384" s="80"/>
      <c r="L384" s="111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</row>
    <row r="385" spans="1:54">
      <c r="A385" s="80"/>
      <c r="B385" s="80"/>
      <c r="C385" s="111"/>
      <c r="D385" s="80"/>
      <c r="E385" s="111"/>
      <c r="F385" s="80"/>
      <c r="G385" s="111"/>
      <c r="H385" s="80"/>
      <c r="I385" s="80"/>
      <c r="J385" s="80"/>
      <c r="K385" s="80"/>
      <c r="L385" s="111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</row>
    <row r="386" spans="1:54">
      <c r="A386" s="80"/>
      <c r="B386" s="80"/>
      <c r="C386" s="111"/>
      <c r="D386" s="80"/>
      <c r="E386" s="111"/>
      <c r="F386" s="80"/>
      <c r="G386" s="111"/>
      <c r="H386" s="80"/>
      <c r="I386" s="80"/>
      <c r="J386" s="80"/>
      <c r="K386" s="80"/>
      <c r="L386" s="111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</row>
    <row r="387" spans="1:54">
      <c r="A387" s="80"/>
      <c r="B387" s="80"/>
      <c r="C387" s="111"/>
      <c r="D387" s="80"/>
      <c r="E387" s="111"/>
      <c r="F387" s="80"/>
      <c r="G387" s="111"/>
      <c r="H387" s="80"/>
      <c r="I387" s="80"/>
      <c r="J387" s="80"/>
      <c r="K387" s="80"/>
      <c r="L387" s="111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</row>
    <row r="388" spans="1:54">
      <c r="A388" s="80"/>
      <c r="B388" s="80"/>
      <c r="C388" s="111"/>
      <c r="D388" s="80"/>
      <c r="E388" s="111"/>
      <c r="F388" s="80"/>
      <c r="G388" s="111"/>
      <c r="H388" s="80"/>
      <c r="I388" s="80"/>
      <c r="J388" s="80"/>
      <c r="K388" s="80"/>
      <c r="L388" s="111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</row>
    <row r="389" spans="1:54">
      <c r="A389" s="80"/>
      <c r="B389" s="80"/>
      <c r="C389" s="111"/>
      <c r="D389" s="80"/>
      <c r="E389" s="111"/>
      <c r="F389" s="80"/>
      <c r="G389" s="111"/>
      <c r="H389" s="80"/>
      <c r="I389" s="80"/>
      <c r="J389" s="80"/>
      <c r="K389" s="80"/>
      <c r="L389" s="111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</row>
    <row r="390" spans="1:54">
      <c r="A390" s="80"/>
      <c r="B390" s="80"/>
      <c r="C390" s="111"/>
      <c r="D390" s="80"/>
      <c r="E390" s="111"/>
      <c r="F390" s="80"/>
      <c r="G390" s="111"/>
      <c r="H390" s="80"/>
      <c r="I390" s="80"/>
      <c r="J390" s="80"/>
      <c r="K390" s="80"/>
      <c r="L390" s="111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</row>
    <row r="391" spans="1:54">
      <c r="A391" s="80"/>
      <c r="B391" s="80"/>
      <c r="C391" s="111"/>
      <c r="D391" s="80"/>
      <c r="E391" s="111"/>
      <c r="F391" s="80"/>
      <c r="G391" s="111"/>
      <c r="H391" s="80"/>
      <c r="I391" s="80"/>
      <c r="J391" s="80"/>
      <c r="K391" s="80"/>
      <c r="L391" s="111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</row>
    <row r="392" spans="1:54">
      <c r="A392" s="80"/>
      <c r="B392" s="80"/>
      <c r="C392" s="111"/>
      <c r="D392" s="80"/>
      <c r="E392" s="111"/>
      <c r="F392" s="80"/>
      <c r="G392" s="111"/>
      <c r="H392" s="80"/>
      <c r="I392" s="80"/>
      <c r="J392" s="80"/>
      <c r="K392" s="80"/>
      <c r="L392" s="111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</row>
    <row r="393" spans="1:54">
      <c r="A393" s="80"/>
      <c r="B393" s="80"/>
      <c r="C393" s="111"/>
      <c r="D393" s="80"/>
      <c r="E393" s="111"/>
      <c r="F393" s="80"/>
      <c r="G393" s="111"/>
      <c r="H393" s="80"/>
      <c r="I393" s="80"/>
      <c r="J393" s="80"/>
      <c r="K393" s="80"/>
      <c r="L393" s="111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</row>
    <row r="394" spans="1:54">
      <c r="A394" s="80"/>
      <c r="B394" s="80"/>
      <c r="C394" s="111"/>
      <c r="D394" s="80"/>
      <c r="E394" s="111"/>
      <c r="F394" s="80"/>
      <c r="G394" s="111"/>
      <c r="H394" s="80"/>
      <c r="I394" s="80"/>
      <c r="J394" s="80"/>
      <c r="K394" s="80"/>
      <c r="L394" s="111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</row>
    <row r="395" spans="1:54">
      <c r="A395" s="80"/>
      <c r="B395" s="80"/>
      <c r="C395" s="111"/>
      <c r="D395" s="80"/>
      <c r="E395" s="111"/>
      <c r="F395" s="80"/>
      <c r="G395" s="111"/>
      <c r="H395" s="80"/>
      <c r="I395" s="80"/>
      <c r="J395" s="80"/>
      <c r="K395" s="80"/>
      <c r="L395" s="111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</row>
    <row r="396" spans="1:54">
      <c r="A396" s="80"/>
      <c r="B396" s="80"/>
      <c r="C396" s="111"/>
      <c r="D396" s="80"/>
      <c r="E396" s="111"/>
      <c r="F396" s="80"/>
      <c r="G396" s="111"/>
      <c r="H396" s="80"/>
      <c r="I396" s="80"/>
      <c r="J396" s="80"/>
      <c r="K396" s="80"/>
      <c r="L396" s="111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</row>
    <row r="397" spans="1:54">
      <c r="A397" s="80"/>
      <c r="B397" s="80"/>
      <c r="C397" s="111"/>
      <c r="D397" s="80"/>
      <c r="E397" s="111"/>
      <c r="F397" s="80"/>
      <c r="G397" s="111"/>
      <c r="H397" s="80"/>
      <c r="I397" s="80"/>
      <c r="J397" s="80"/>
      <c r="K397" s="80"/>
      <c r="L397" s="111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</row>
    <row r="398" spans="1:54">
      <c r="A398" s="80"/>
      <c r="B398" s="80"/>
      <c r="C398" s="111"/>
      <c r="D398" s="80"/>
      <c r="E398" s="111"/>
      <c r="F398" s="80"/>
      <c r="G398" s="111"/>
      <c r="H398" s="80"/>
      <c r="I398" s="80"/>
      <c r="J398" s="80"/>
      <c r="K398" s="80"/>
      <c r="L398" s="111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</row>
    <row r="399" spans="1:54">
      <c r="A399" s="80"/>
      <c r="B399" s="80"/>
      <c r="C399" s="111"/>
      <c r="D399" s="80"/>
      <c r="E399" s="111"/>
      <c r="F399" s="80"/>
      <c r="G399" s="111"/>
      <c r="H399" s="80"/>
      <c r="I399" s="80"/>
      <c r="J399" s="80"/>
      <c r="K399" s="80"/>
      <c r="L399" s="111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</row>
    <row r="400" spans="1:54">
      <c r="A400" s="80"/>
      <c r="B400" s="80"/>
      <c r="C400" s="111"/>
      <c r="D400" s="80"/>
      <c r="E400" s="111"/>
      <c r="F400" s="80"/>
      <c r="G400" s="111"/>
      <c r="H400" s="80"/>
      <c r="I400" s="80"/>
      <c r="J400" s="80"/>
      <c r="K400" s="80"/>
      <c r="L400" s="111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</row>
    <row r="401" spans="1:54">
      <c r="A401" s="80"/>
      <c r="B401" s="80"/>
      <c r="C401" s="111"/>
      <c r="D401" s="80"/>
      <c r="E401" s="111"/>
      <c r="F401" s="80"/>
      <c r="G401" s="111"/>
      <c r="H401" s="80"/>
      <c r="I401" s="80"/>
      <c r="J401" s="80"/>
      <c r="K401" s="80"/>
      <c r="L401" s="111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</row>
    <row r="402" spans="1:54">
      <c r="A402" s="80"/>
      <c r="B402" s="80"/>
      <c r="C402" s="111"/>
      <c r="D402" s="80"/>
      <c r="E402" s="111"/>
      <c r="F402" s="80"/>
      <c r="G402" s="111"/>
      <c r="H402" s="80"/>
      <c r="I402" s="80"/>
      <c r="J402" s="80"/>
      <c r="K402" s="80"/>
      <c r="L402" s="111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</row>
    <row r="403" spans="1:54">
      <c r="A403" s="80"/>
      <c r="B403" s="80"/>
      <c r="C403" s="111"/>
      <c r="D403" s="80"/>
      <c r="E403" s="111"/>
      <c r="F403" s="80"/>
      <c r="G403" s="111"/>
      <c r="H403" s="80"/>
      <c r="I403" s="80"/>
      <c r="J403" s="80"/>
      <c r="K403" s="80"/>
      <c r="L403" s="111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</row>
    <row r="404" spans="1:54">
      <c r="A404" s="80"/>
      <c r="B404" s="80"/>
      <c r="C404" s="111"/>
      <c r="D404" s="80"/>
      <c r="E404" s="111"/>
      <c r="F404" s="80"/>
      <c r="G404" s="111"/>
      <c r="H404" s="80"/>
      <c r="I404" s="80"/>
      <c r="J404" s="80"/>
      <c r="K404" s="80"/>
      <c r="L404" s="111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</row>
    <row r="405" spans="1:54">
      <c r="A405" s="80"/>
      <c r="B405" s="80"/>
      <c r="C405" s="111"/>
      <c r="D405" s="80"/>
      <c r="E405" s="111"/>
      <c r="F405" s="80"/>
      <c r="G405" s="111"/>
      <c r="H405" s="80"/>
      <c r="I405" s="80"/>
      <c r="J405" s="80"/>
      <c r="K405" s="80"/>
      <c r="L405" s="111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</row>
    <row r="406" spans="1:54">
      <c r="A406" s="80"/>
      <c r="B406" s="80"/>
      <c r="C406" s="111"/>
      <c r="D406" s="80"/>
      <c r="E406" s="111"/>
      <c r="F406" s="80"/>
      <c r="G406" s="111"/>
      <c r="H406" s="80"/>
      <c r="I406" s="80"/>
      <c r="J406" s="80"/>
      <c r="K406" s="80"/>
      <c r="L406" s="111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</row>
    <row r="407" spans="1:54">
      <c r="A407" s="80"/>
      <c r="B407" s="80"/>
      <c r="C407" s="111"/>
      <c r="D407" s="80"/>
      <c r="E407" s="111"/>
      <c r="F407" s="80"/>
      <c r="G407" s="111"/>
      <c r="H407" s="80"/>
      <c r="I407" s="80"/>
      <c r="J407" s="80"/>
      <c r="K407" s="80"/>
      <c r="L407" s="111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</row>
    <row r="408" spans="1:54">
      <c r="A408" s="80"/>
      <c r="B408" s="80"/>
      <c r="C408" s="111"/>
      <c r="D408" s="80"/>
      <c r="E408" s="111"/>
      <c r="F408" s="80"/>
      <c r="G408" s="111"/>
      <c r="H408" s="80"/>
      <c r="I408" s="80"/>
      <c r="J408" s="80"/>
      <c r="K408" s="80"/>
      <c r="L408" s="111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</row>
  </sheetData>
  <mergeCells count="3">
    <mergeCell ref="A1:L1"/>
    <mergeCell ref="B3:C3"/>
    <mergeCell ref="D3:E3"/>
  </mergeCells>
  <printOptions horizontalCentered="1"/>
  <pageMargins left="0.2" right="0.2" top="0.37" bottom="0.15748031496062992" header="0.15748031496062992" footer="0.15748031496062992"/>
  <pageSetup scale="7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2"/>
  <sheetViews>
    <sheetView zoomScale="85" zoomScaleNormal="85" workbookViewId="0">
      <selection activeCell="F5" sqref="F5:F55"/>
    </sheetView>
  </sheetViews>
  <sheetFormatPr baseColWidth="10" defaultColWidth="11.42578125" defaultRowHeight="12.75"/>
  <cols>
    <col min="1" max="1" width="28.28515625" style="25" bestFit="1" customWidth="1"/>
    <col min="2" max="2" width="17.7109375" style="25" customWidth="1"/>
    <col min="3" max="3" width="18.28515625" style="25" customWidth="1"/>
    <col min="4" max="4" width="15.5703125" style="25" customWidth="1"/>
    <col min="5" max="5" width="21.7109375" style="25" customWidth="1"/>
    <col min="6" max="6" width="23.42578125" style="25" customWidth="1"/>
    <col min="7" max="7" width="18.28515625" style="25" customWidth="1"/>
    <col min="8" max="8" width="17.5703125" style="25" customWidth="1"/>
    <col min="9" max="9" width="18.42578125" style="25" customWidth="1"/>
    <col min="10" max="10" width="21.42578125" style="25" customWidth="1"/>
    <col min="11" max="11" width="17.140625" style="25" customWidth="1"/>
    <col min="12" max="12" width="33.28515625" style="25" customWidth="1"/>
    <col min="13" max="13" width="21.42578125" style="25" customWidth="1"/>
    <col min="14" max="14" width="17.7109375" style="25" customWidth="1"/>
    <col min="15" max="15" width="17.7109375" style="25" bestFit="1" customWidth="1"/>
    <col min="16" max="16" width="22.7109375" style="25" customWidth="1"/>
    <col min="17" max="17" width="20.7109375" style="25" customWidth="1"/>
    <col min="18" max="18" width="0.28515625" style="25" customWidth="1"/>
    <col min="19" max="20" width="11.42578125" style="25" customWidth="1"/>
    <col min="21" max="21" width="21.28515625" style="25" customWidth="1"/>
    <col min="22" max="22" width="16.7109375" style="25" bestFit="1" customWidth="1"/>
    <col min="23" max="24" width="15.28515625" style="25" bestFit="1" customWidth="1"/>
    <col min="25" max="25" width="14.28515625" style="25" bestFit="1" customWidth="1"/>
    <col min="26" max="26" width="13.28515625" style="25" bestFit="1" customWidth="1"/>
    <col min="27" max="27" width="12.5703125" style="25" bestFit="1" customWidth="1"/>
    <col min="28" max="28" width="14.28515625" style="25" bestFit="1" customWidth="1"/>
    <col min="29" max="16384" width="11.42578125" style="25"/>
  </cols>
  <sheetData>
    <row r="1" spans="1:29" ht="38.25" customHeight="1" thickBot="1">
      <c r="A1" s="46"/>
      <c r="B1" s="428" t="s">
        <v>174</v>
      </c>
      <c r="C1" s="428"/>
      <c r="D1" s="428"/>
      <c r="E1" s="428"/>
      <c r="F1" s="428" t="s">
        <v>173</v>
      </c>
      <c r="G1" s="428"/>
      <c r="H1" s="428"/>
      <c r="I1" s="428"/>
      <c r="J1" s="57" t="s">
        <v>172</v>
      </c>
      <c r="L1" s="429" t="s">
        <v>171</v>
      </c>
      <c r="M1" s="429"/>
      <c r="N1" s="429"/>
      <c r="O1" s="429"/>
      <c r="P1" s="429"/>
      <c r="Q1" s="429"/>
      <c r="T1" s="56"/>
    </row>
    <row r="2" spans="1:29" ht="68.25" customHeight="1" thickTop="1" thickBot="1">
      <c r="A2" s="55" t="s">
        <v>0</v>
      </c>
      <c r="B2" s="54" t="s">
        <v>323</v>
      </c>
      <c r="C2" s="53" t="s">
        <v>322</v>
      </c>
      <c r="D2" s="53" t="s">
        <v>170</v>
      </c>
      <c r="E2" s="52" t="s">
        <v>169</v>
      </c>
      <c r="F2" s="53" t="s">
        <v>241</v>
      </c>
      <c r="G2" s="53" t="s">
        <v>168</v>
      </c>
      <c r="H2" s="53" t="s">
        <v>167</v>
      </c>
      <c r="I2" s="50" t="s">
        <v>321</v>
      </c>
      <c r="J2" s="51" t="s">
        <v>166</v>
      </c>
      <c r="L2" s="55" t="s">
        <v>0</v>
      </c>
      <c r="M2" s="54" t="s">
        <v>165</v>
      </c>
      <c r="N2" s="53" t="s">
        <v>164</v>
      </c>
      <c r="O2" s="52" t="s">
        <v>163</v>
      </c>
      <c r="P2" s="51" t="s">
        <v>162</v>
      </c>
      <c r="Q2" s="50" t="s">
        <v>93</v>
      </c>
    </row>
    <row r="3" spans="1:29" ht="26.25" customHeight="1" thickTop="1">
      <c r="A3" s="46"/>
      <c r="B3" s="49" t="s">
        <v>161</v>
      </c>
      <c r="C3" s="49" t="s">
        <v>160</v>
      </c>
      <c r="D3" s="49" t="s">
        <v>159</v>
      </c>
      <c r="E3" s="49" t="s">
        <v>158</v>
      </c>
      <c r="F3" s="49" t="s">
        <v>157</v>
      </c>
      <c r="G3" s="49" t="s">
        <v>156</v>
      </c>
      <c r="H3" s="49"/>
      <c r="I3" s="49" t="s">
        <v>155</v>
      </c>
      <c r="J3" s="49" t="s">
        <v>154</v>
      </c>
      <c r="M3" s="48">
        <f>M4*P3</f>
        <v>8199280.6469599316</v>
      </c>
      <c r="N3" s="48">
        <f>P3*N4</f>
        <v>4919568.3881759588</v>
      </c>
      <c r="O3" s="48">
        <f>P3*O4</f>
        <v>3279712.2587839728</v>
      </c>
      <c r="P3" s="48">
        <f>+'PART MES'!E6</f>
        <v>16398561.293919863</v>
      </c>
    </row>
    <row r="4" spans="1:29" ht="13.5" thickBot="1">
      <c r="F4" s="47"/>
      <c r="G4" s="46"/>
      <c r="H4" s="46"/>
      <c r="I4" s="46"/>
      <c r="M4" s="337">
        <v>0.5</v>
      </c>
      <c r="N4" s="337">
        <v>0.3</v>
      </c>
      <c r="O4" s="337">
        <v>0.2</v>
      </c>
      <c r="P4" s="45" t="s">
        <v>153</v>
      </c>
      <c r="Q4" s="45"/>
    </row>
    <row r="5" spans="1:29" ht="13.5" thickTop="1">
      <c r="A5" s="41" t="s">
        <v>1</v>
      </c>
      <c r="B5" s="40">
        <v>626624</v>
      </c>
      <c r="C5" s="39">
        <v>145672.85</v>
      </c>
      <c r="D5" s="338">
        <f t="shared" ref="D5:D55" si="0">IFERROR(C5/B5,0)</f>
        <v>0.23247250344704321</v>
      </c>
      <c r="E5" s="44">
        <f t="shared" ref="E5:E55" si="1">IFERROR(D5/$D$56,0)</f>
        <v>1.7129206960559418E-2</v>
      </c>
      <c r="F5" s="323">
        <v>110684</v>
      </c>
      <c r="G5" s="324">
        <f t="shared" ref="G5:G55" si="2">IFERROR((C5/F5)-1,0)</f>
        <v>0.31611479527302966</v>
      </c>
      <c r="H5" s="43">
        <f t="shared" ref="H5:H55" si="3">IF(G5&lt;0,0,G5)</f>
        <v>0.31611479527302966</v>
      </c>
      <c r="I5" s="36">
        <f t="shared" ref="I5:I55" si="4">IFERROR(H5/$H$56,0)</f>
        <v>0.11047203821567791</v>
      </c>
      <c r="J5" s="42">
        <f t="shared" ref="J5:J55" si="5">IFERROR(C5/$C$56,0)</f>
        <v>6.9888220261119801E-5</v>
      </c>
      <c r="L5" s="41" t="s">
        <v>1</v>
      </c>
      <c r="M5" s="40">
        <f t="shared" ref="M5:M55" si="6">IFERROR($M$3*E5,0)</f>
        <v>140447.17512948619</v>
      </c>
      <c r="N5" s="39">
        <f t="shared" ref="N5:N55" si="7">IFERROR($N$3*I5,0)</f>
        <v>543474.74698321556</v>
      </c>
      <c r="O5" s="38">
        <f t="shared" ref="O5:O55" si="8">IFERROR($O$3*J5,0)</f>
        <v>229.21325273498903</v>
      </c>
      <c r="P5" s="37">
        <f>IFERROR(SUM(M5:O5),2)</f>
        <v>684151.13536543667</v>
      </c>
      <c r="Q5" s="383">
        <f t="shared" ref="Q5:Q55" si="9">IFERROR(P5/$P$56,0)</f>
        <v>4.1720192589035303E-2</v>
      </c>
      <c r="S5" s="26" t="s">
        <v>184</v>
      </c>
      <c r="T5" s="26"/>
      <c r="AC5" s="26"/>
    </row>
    <row r="6" spans="1:29">
      <c r="A6" s="31" t="s">
        <v>2</v>
      </c>
      <c r="B6" s="30">
        <v>2597546</v>
      </c>
      <c r="C6" s="29">
        <v>768052</v>
      </c>
      <c r="D6" s="339">
        <f t="shared" si="0"/>
        <v>0.29568369530318234</v>
      </c>
      <c r="E6" s="35">
        <f t="shared" si="1"/>
        <v>2.1786779669041415E-2</v>
      </c>
      <c r="F6" s="71">
        <v>953414</v>
      </c>
      <c r="G6" s="325">
        <f t="shared" si="2"/>
        <v>-0.19441921347913915</v>
      </c>
      <c r="H6" s="33">
        <f t="shared" si="3"/>
        <v>0</v>
      </c>
      <c r="I6" s="27">
        <f t="shared" si="4"/>
        <v>0</v>
      </c>
      <c r="J6" s="32">
        <f t="shared" si="5"/>
        <v>3.6848175447925667E-4</v>
      </c>
      <c r="L6" s="31" t="s">
        <v>2</v>
      </c>
      <c r="M6" s="30">
        <f t="shared" si="6"/>
        <v>178635.92089995136</v>
      </c>
      <c r="N6" s="29">
        <f t="shared" si="7"/>
        <v>0</v>
      </c>
      <c r="O6" s="28">
        <f t="shared" si="8"/>
        <v>1208.5141273038441</v>
      </c>
      <c r="P6" s="326">
        <f t="shared" ref="P6:P55" si="10">IFERROR(SUM(M6:O6),2)</f>
        <v>179844.43502725521</v>
      </c>
      <c r="Q6" s="384">
        <f t="shared" si="9"/>
        <v>1.0967086185416556E-2</v>
      </c>
      <c r="S6" s="26"/>
      <c r="T6" s="26"/>
      <c r="U6" s="26"/>
      <c r="V6" s="26"/>
      <c r="W6" s="26"/>
      <c r="X6" s="26"/>
      <c r="Y6" s="26"/>
      <c r="Z6" s="26"/>
    </row>
    <row r="7" spans="1:29">
      <c r="A7" s="31" t="s">
        <v>3</v>
      </c>
      <c r="B7" s="30">
        <v>1129316</v>
      </c>
      <c r="C7" s="29">
        <v>272877</v>
      </c>
      <c r="D7" s="339">
        <f t="shared" si="0"/>
        <v>0.24163033198856654</v>
      </c>
      <c r="E7" s="35">
        <f t="shared" si="1"/>
        <v>1.780398069969457E-2</v>
      </c>
      <c r="F7" s="71">
        <v>293401</v>
      </c>
      <c r="G7" s="325">
        <f t="shared" si="2"/>
        <v>-6.9952045153220288E-2</v>
      </c>
      <c r="H7" s="33">
        <f t="shared" si="3"/>
        <v>0</v>
      </c>
      <c r="I7" s="27">
        <f t="shared" si="4"/>
        <v>0</v>
      </c>
      <c r="J7" s="32">
        <f t="shared" si="5"/>
        <v>1.3091586991119888E-4</v>
      </c>
      <c r="L7" s="31" t="s">
        <v>3</v>
      </c>
      <c r="M7" s="30">
        <f t="shared" si="6"/>
        <v>145979.83438985384</v>
      </c>
      <c r="N7" s="29">
        <f t="shared" si="7"/>
        <v>0</v>
      </c>
      <c r="O7" s="28">
        <f t="shared" si="8"/>
        <v>429.36638341712683</v>
      </c>
      <c r="P7" s="326">
        <f t="shared" si="10"/>
        <v>146409.20077327098</v>
      </c>
      <c r="Q7" s="384">
        <f t="shared" si="9"/>
        <v>8.9281735238295242E-3</v>
      </c>
      <c r="S7" s="26"/>
      <c r="T7" s="26"/>
      <c r="U7" s="26"/>
      <c r="V7" s="26"/>
      <c r="W7" s="26"/>
      <c r="X7" s="26"/>
      <c r="Y7" s="26"/>
      <c r="Z7" s="26"/>
    </row>
    <row r="8" spans="1:29">
      <c r="A8" s="31" t="s">
        <v>4</v>
      </c>
      <c r="B8" s="30">
        <v>54890194.010000005</v>
      </c>
      <c r="C8" s="29">
        <v>23142962</v>
      </c>
      <c r="D8" s="339">
        <f t="shared" si="0"/>
        <v>0.42162288578873974</v>
      </c>
      <c r="E8" s="35">
        <f t="shared" si="1"/>
        <v>3.1066322093566658E-2</v>
      </c>
      <c r="F8" s="71">
        <v>18200124</v>
      </c>
      <c r="G8" s="325">
        <f t="shared" si="2"/>
        <v>0.27158265515114066</v>
      </c>
      <c r="H8" s="33">
        <f t="shared" si="3"/>
        <v>0.27158265515114066</v>
      </c>
      <c r="I8" s="27">
        <f t="shared" si="4"/>
        <v>9.4909475631025059E-2</v>
      </c>
      <c r="J8" s="32">
        <f t="shared" si="5"/>
        <v>1.11031014066844E-2</v>
      </c>
      <c r="L8" s="31" t="s">
        <v>4</v>
      </c>
      <c r="M8" s="30">
        <f t="shared" si="6"/>
        <v>254721.49351400483</v>
      </c>
      <c r="N8" s="29">
        <f t="shared" si="7"/>
        <v>466913.65605274739</v>
      </c>
      <c r="O8" s="28">
        <f t="shared" si="8"/>
        <v>36414.977794024402</v>
      </c>
      <c r="P8" s="326">
        <f t="shared" si="10"/>
        <v>758050.12736077665</v>
      </c>
      <c r="Q8" s="384">
        <f t="shared" si="9"/>
        <v>4.622662401742772E-2</v>
      </c>
      <c r="S8" s="26"/>
      <c r="T8" s="26"/>
      <c r="U8" s="26"/>
      <c r="V8" s="26"/>
      <c r="W8" s="26"/>
      <c r="X8" s="26"/>
      <c r="Y8" s="26"/>
      <c r="Z8" s="26"/>
    </row>
    <row r="9" spans="1:29">
      <c r="A9" s="31" t="s">
        <v>5</v>
      </c>
      <c r="B9" s="30">
        <v>10678636</v>
      </c>
      <c r="C9" s="29">
        <v>2531264</v>
      </c>
      <c r="D9" s="339">
        <f t="shared" si="0"/>
        <v>0.23704001147712123</v>
      </c>
      <c r="E9" s="35">
        <f t="shared" si="1"/>
        <v>1.7465753387259923E-2</v>
      </c>
      <c r="F9" s="71">
        <v>1756976</v>
      </c>
      <c r="G9" s="325">
        <f t="shared" si="2"/>
        <v>0.44069355529045362</v>
      </c>
      <c r="H9" s="33">
        <f t="shared" si="3"/>
        <v>0.44069355529045362</v>
      </c>
      <c r="I9" s="27">
        <f t="shared" si="4"/>
        <v>0.15400834130335822</v>
      </c>
      <c r="J9" s="32">
        <f t="shared" si="5"/>
        <v>1.2144029307523203E-3</v>
      </c>
      <c r="L9" s="31" t="s">
        <v>5</v>
      </c>
      <c r="M9" s="30">
        <f t="shared" si="6"/>
        <v>143206.61373273516</v>
      </c>
      <c r="N9" s="29">
        <f t="shared" si="7"/>
        <v>757654.56739141489</v>
      </c>
      <c r="O9" s="28">
        <f t="shared" si="8"/>
        <v>3982.8921790915692</v>
      </c>
      <c r="P9" s="326">
        <f t="shared" si="10"/>
        <v>904844.07330324163</v>
      </c>
      <c r="Q9" s="384">
        <f t="shared" si="9"/>
        <v>5.5178259670787884E-2</v>
      </c>
      <c r="S9" s="26"/>
      <c r="T9" s="26"/>
      <c r="U9" s="26"/>
      <c r="V9" s="26"/>
      <c r="W9" s="26"/>
      <c r="X9" s="26"/>
      <c r="Y9" s="26"/>
      <c r="Z9" s="26"/>
    </row>
    <row r="10" spans="1:29">
      <c r="A10" s="31" t="s">
        <v>6</v>
      </c>
      <c r="B10" s="30">
        <v>683317463.73000002</v>
      </c>
      <c r="C10" s="29">
        <v>299493654.98000002</v>
      </c>
      <c r="D10" s="339">
        <f t="shared" si="0"/>
        <v>0.43829357637834249</v>
      </c>
      <c r="E10" s="35">
        <f t="shared" si="1"/>
        <v>3.2294663962177388E-2</v>
      </c>
      <c r="F10" s="71">
        <v>292840828.44</v>
      </c>
      <c r="G10" s="325">
        <f t="shared" si="2"/>
        <v>2.2718234255245218E-2</v>
      </c>
      <c r="H10" s="33">
        <f t="shared" si="3"/>
        <v>2.2718234255245218E-2</v>
      </c>
      <c r="I10" s="27">
        <f t="shared" si="4"/>
        <v>7.9392982560987334E-3</v>
      </c>
      <c r="J10" s="32">
        <f t="shared" si="5"/>
        <v>0.14368551535890223</v>
      </c>
      <c r="L10" s="31" t="s">
        <v>6</v>
      </c>
      <c r="M10" s="30">
        <f t="shared" si="6"/>
        <v>264793.01322515542</v>
      </c>
      <c r="N10" s="29">
        <f t="shared" si="7"/>
        <v>39057.920725003845</v>
      </c>
      <c r="O10" s="28">
        <f t="shared" si="8"/>
        <v>471247.14613228443</v>
      </c>
      <c r="P10" s="326">
        <f t="shared" si="10"/>
        <v>775098.08008244366</v>
      </c>
      <c r="Q10" s="384">
        <f t="shared" si="9"/>
        <v>4.7266224529698753E-2</v>
      </c>
      <c r="S10" s="26"/>
      <c r="T10" s="26"/>
      <c r="U10" s="26"/>
      <c r="V10" s="26"/>
      <c r="W10" s="26"/>
      <c r="X10" s="26"/>
      <c r="Y10" s="26"/>
      <c r="Z10" s="26"/>
    </row>
    <row r="11" spans="1:29">
      <c r="A11" s="31" t="s">
        <v>7</v>
      </c>
      <c r="B11" s="30"/>
      <c r="C11" s="29"/>
      <c r="D11" s="339">
        <f t="shared" si="0"/>
        <v>0</v>
      </c>
      <c r="E11" s="35">
        <f t="shared" si="1"/>
        <v>0</v>
      </c>
      <c r="F11" s="71">
        <v>0</v>
      </c>
      <c r="G11" s="325">
        <f t="shared" si="2"/>
        <v>0</v>
      </c>
      <c r="H11" s="33">
        <f t="shared" si="3"/>
        <v>0</v>
      </c>
      <c r="I11" s="27">
        <f t="shared" si="4"/>
        <v>0</v>
      </c>
      <c r="J11" s="32">
        <f t="shared" si="5"/>
        <v>0</v>
      </c>
      <c r="L11" s="31" t="s">
        <v>7</v>
      </c>
      <c r="M11" s="30">
        <f t="shared" si="6"/>
        <v>0</v>
      </c>
      <c r="N11" s="29">
        <f t="shared" si="7"/>
        <v>0</v>
      </c>
      <c r="O11" s="28">
        <f t="shared" si="8"/>
        <v>0</v>
      </c>
      <c r="P11" s="326">
        <f t="shared" si="10"/>
        <v>0</v>
      </c>
      <c r="Q11" s="384">
        <f t="shared" si="9"/>
        <v>0</v>
      </c>
      <c r="S11" s="26"/>
      <c r="T11" s="26"/>
      <c r="U11" s="26"/>
      <c r="V11" s="26"/>
      <c r="W11" s="26"/>
      <c r="X11" s="26"/>
      <c r="Y11" s="26"/>
      <c r="Z11" s="26"/>
    </row>
    <row r="12" spans="1:29">
      <c r="A12" s="31" t="s">
        <v>8</v>
      </c>
      <c r="B12" s="30">
        <v>2185720</v>
      </c>
      <c r="C12" s="29">
        <v>799410</v>
      </c>
      <c r="D12" s="339">
        <f t="shared" si="0"/>
        <v>0.36574218106619327</v>
      </c>
      <c r="E12" s="35">
        <f t="shared" si="1"/>
        <v>2.6948879634345002E-2</v>
      </c>
      <c r="F12" s="71">
        <v>927656</v>
      </c>
      <c r="G12" s="325">
        <f t="shared" si="2"/>
        <v>-0.13824736755866396</v>
      </c>
      <c r="H12" s="33">
        <f t="shared" si="3"/>
        <v>0</v>
      </c>
      <c r="I12" s="27">
        <f t="shared" si="4"/>
        <v>0</v>
      </c>
      <c r="J12" s="32">
        <f t="shared" si="5"/>
        <v>3.835261145707095E-4</v>
      </c>
      <c r="L12" s="31" t="s">
        <v>8</v>
      </c>
      <c r="M12" s="30">
        <f t="shared" si="6"/>
        <v>220961.42724313762</v>
      </c>
      <c r="N12" s="29">
        <f t="shared" si="7"/>
        <v>0</v>
      </c>
      <c r="O12" s="28">
        <f t="shared" si="8"/>
        <v>1257.8552995213424</v>
      </c>
      <c r="P12" s="326">
        <f t="shared" si="10"/>
        <v>222219.28254265897</v>
      </c>
      <c r="Q12" s="384">
        <f t="shared" si="9"/>
        <v>1.3551145040086643E-2</v>
      </c>
      <c r="S12" s="26"/>
      <c r="T12" s="26"/>
      <c r="U12" s="26"/>
      <c r="V12" s="26"/>
      <c r="W12" s="26"/>
      <c r="X12" s="26"/>
      <c r="Y12" s="26"/>
      <c r="Z12" s="26"/>
    </row>
    <row r="13" spans="1:29">
      <c r="A13" s="31" t="s">
        <v>9</v>
      </c>
      <c r="B13" s="30">
        <v>110141115</v>
      </c>
      <c r="C13" s="29">
        <v>27527682</v>
      </c>
      <c r="D13" s="339">
        <f t="shared" si="0"/>
        <v>0.24993102711916435</v>
      </c>
      <c r="E13" s="35">
        <f t="shared" si="1"/>
        <v>1.8415598515566317E-2</v>
      </c>
      <c r="F13" s="71">
        <v>28519495.5</v>
      </c>
      <c r="G13" s="325">
        <f t="shared" si="2"/>
        <v>-3.4776684601591223E-2</v>
      </c>
      <c r="H13" s="33">
        <f t="shared" si="3"/>
        <v>0</v>
      </c>
      <c r="I13" s="27">
        <f t="shared" si="4"/>
        <v>0</v>
      </c>
      <c r="J13" s="32">
        <f t="shared" si="5"/>
        <v>1.3206721107564401E-2</v>
      </c>
      <c r="L13" s="31" t="s">
        <v>9</v>
      </c>
      <c r="M13" s="30">
        <f t="shared" si="6"/>
        <v>150994.66051086696</v>
      </c>
      <c r="N13" s="29">
        <f t="shared" si="7"/>
        <v>0</v>
      </c>
      <c r="O13" s="28">
        <f t="shared" si="8"/>
        <v>43314.245114820013</v>
      </c>
      <c r="P13" s="326">
        <f t="shared" si="10"/>
        <v>194308.90562568698</v>
      </c>
      <c r="Q13" s="384">
        <f t="shared" si="9"/>
        <v>1.1849143479296038E-2</v>
      </c>
      <c r="S13" s="26"/>
      <c r="T13" s="26"/>
      <c r="U13" s="26"/>
      <c r="V13" s="26"/>
      <c r="W13" s="26"/>
      <c r="X13" s="26"/>
      <c r="Y13" s="26"/>
      <c r="Z13" s="26"/>
    </row>
    <row r="14" spans="1:29">
      <c r="A14" s="31" t="s">
        <v>10</v>
      </c>
      <c r="B14" s="30">
        <v>32779189</v>
      </c>
      <c r="C14" s="29">
        <v>4946842.92</v>
      </c>
      <c r="D14" s="339">
        <f t="shared" si="0"/>
        <v>0.15091413396469328</v>
      </c>
      <c r="E14" s="35">
        <f t="shared" si="1"/>
        <v>1.1119764254372078E-2</v>
      </c>
      <c r="F14" s="71">
        <v>6103961.7199999997</v>
      </c>
      <c r="G14" s="325">
        <f t="shared" si="2"/>
        <v>-0.1895684889714544</v>
      </c>
      <c r="H14" s="33">
        <f t="shared" si="3"/>
        <v>0</v>
      </c>
      <c r="I14" s="27">
        <f t="shared" si="4"/>
        <v>0</v>
      </c>
      <c r="J14" s="32">
        <f t="shared" si="5"/>
        <v>2.3733046177796414E-3</v>
      </c>
      <c r="L14" s="31" t="s">
        <v>10</v>
      </c>
      <c r="M14" s="30">
        <f t="shared" si="6"/>
        <v>91174.067849629806</v>
      </c>
      <c r="N14" s="29">
        <f t="shared" si="7"/>
        <v>0</v>
      </c>
      <c r="O14" s="28">
        <f t="shared" si="8"/>
        <v>7783.756248760501</v>
      </c>
      <c r="P14" s="326">
        <f t="shared" si="10"/>
        <v>98957.824098390309</v>
      </c>
      <c r="Q14" s="384">
        <f t="shared" si="9"/>
        <v>6.034543050741966E-3</v>
      </c>
      <c r="S14" s="26"/>
      <c r="T14" s="26"/>
      <c r="U14" s="26"/>
      <c r="V14" s="26"/>
      <c r="W14" s="26"/>
      <c r="X14" s="26"/>
      <c r="Y14" s="26"/>
      <c r="Z14" s="26"/>
    </row>
    <row r="15" spans="1:29">
      <c r="A15" s="31" t="s">
        <v>11</v>
      </c>
      <c r="B15" s="30">
        <v>2853628</v>
      </c>
      <c r="C15" s="29">
        <v>1221813</v>
      </c>
      <c r="D15" s="339">
        <f t="shared" si="0"/>
        <v>0.42816127399927389</v>
      </c>
      <c r="E15" s="35">
        <f t="shared" si="1"/>
        <v>3.1548088337686075E-2</v>
      </c>
      <c r="F15" s="71">
        <v>826855</v>
      </c>
      <c r="G15" s="325">
        <f t="shared" si="2"/>
        <v>0.47766295178719353</v>
      </c>
      <c r="H15" s="33">
        <f t="shared" si="3"/>
        <v>0.47766295178719353</v>
      </c>
      <c r="I15" s="27">
        <f t="shared" si="4"/>
        <v>0.16692796621073072</v>
      </c>
      <c r="J15" s="32">
        <f t="shared" si="5"/>
        <v>5.8617879764073788E-4</v>
      </c>
      <c r="L15" s="31" t="s">
        <v>11</v>
      </c>
      <c r="M15" s="30">
        <f t="shared" si="6"/>
        <v>258671.63015577177</v>
      </c>
      <c r="N15" s="29">
        <f t="shared" si="7"/>
        <v>821213.54567281541</v>
      </c>
      <c r="O15" s="28">
        <f t="shared" si="8"/>
        <v>1922.4977884615778</v>
      </c>
      <c r="P15" s="326">
        <f t="shared" si="10"/>
        <v>1081807.6736170489</v>
      </c>
      <c r="Q15" s="384">
        <f t="shared" si="9"/>
        <v>6.5969669791590399E-2</v>
      </c>
      <c r="S15" s="26"/>
      <c r="T15" s="26"/>
      <c r="U15" s="26"/>
      <c r="V15" s="26"/>
      <c r="W15" s="26"/>
      <c r="X15" s="26"/>
      <c r="Y15" s="26"/>
      <c r="Z15" s="26"/>
    </row>
    <row r="16" spans="1:29">
      <c r="A16" s="31" t="s">
        <v>12</v>
      </c>
      <c r="B16" s="30">
        <v>4729640</v>
      </c>
      <c r="C16" s="29">
        <v>1408205</v>
      </c>
      <c r="D16" s="339">
        <f t="shared" si="0"/>
        <v>0.29774041998968209</v>
      </c>
      <c r="E16" s="35">
        <f t="shared" si="1"/>
        <v>2.1938324743377362E-2</v>
      </c>
      <c r="F16" s="71">
        <v>1648610</v>
      </c>
      <c r="G16" s="325">
        <f t="shared" si="2"/>
        <v>-0.14582284469947415</v>
      </c>
      <c r="H16" s="33">
        <f t="shared" si="3"/>
        <v>0</v>
      </c>
      <c r="I16" s="27">
        <f t="shared" si="4"/>
        <v>0</v>
      </c>
      <c r="J16" s="32">
        <f t="shared" si="5"/>
        <v>6.7560249705288396E-4</v>
      </c>
      <c r="L16" s="31" t="s">
        <v>12</v>
      </c>
      <c r="M16" s="30">
        <f t="shared" si="6"/>
        <v>179878.4814950962</v>
      </c>
      <c r="N16" s="29">
        <f t="shared" si="7"/>
        <v>0</v>
      </c>
      <c r="O16" s="28">
        <f t="shared" si="8"/>
        <v>2215.7817916494064</v>
      </c>
      <c r="P16" s="326">
        <f t="shared" si="10"/>
        <v>182094.26328674561</v>
      </c>
      <c r="Q16" s="384">
        <f t="shared" si="9"/>
        <v>1.1104282871099257E-2</v>
      </c>
      <c r="S16" s="26"/>
      <c r="T16" s="26"/>
      <c r="U16" s="26"/>
      <c r="V16" s="26"/>
      <c r="W16" s="26"/>
      <c r="X16" s="26"/>
      <c r="Y16" s="26"/>
      <c r="Z16" s="26"/>
    </row>
    <row r="17" spans="1:26">
      <c r="A17" s="31" t="s">
        <v>13</v>
      </c>
      <c r="B17" s="30">
        <v>49791403.200000003</v>
      </c>
      <c r="C17" s="29">
        <v>12990205</v>
      </c>
      <c r="D17" s="339">
        <f t="shared" si="0"/>
        <v>0.26089252692521026</v>
      </c>
      <c r="E17" s="35">
        <f t="shared" si="1"/>
        <v>1.9223271663967992E-2</v>
      </c>
      <c r="F17" s="71">
        <v>14225141</v>
      </c>
      <c r="G17" s="325">
        <f t="shared" si="2"/>
        <v>-8.6813621038975941E-2</v>
      </c>
      <c r="H17" s="33">
        <f t="shared" si="3"/>
        <v>0</v>
      </c>
      <c r="I17" s="27">
        <f t="shared" si="4"/>
        <v>0</v>
      </c>
      <c r="J17" s="32">
        <f t="shared" si="5"/>
        <v>6.2321998112695662E-3</v>
      </c>
      <c r="L17" s="31" t="s">
        <v>13</v>
      </c>
      <c r="M17" s="30">
        <f t="shared" si="6"/>
        <v>157616.99932562601</v>
      </c>
      <c r="N17" s="29">
        <f t="shared" si="7"/>
        <v>0</v>
      </c>
      <c r="O17" s="28">
        <f t="shared" si="8"/>
        <v>20439.822120211957</v>
      </c>
      <c r="P17" s="326">
        <f t="shared" si="10"/>
        <v>178056.82144583797</v>
      </c>
      <c r="Q17" s="384">
        <f t="shared" si="9"/>
        <v>1.0858075794237908E-2</v>
      </c>
      <c r="S17" s="26"/>
      <c r="T17" s="26"/>
      <c r="U17" s="26"/>
      <c r="V17" s="26"/>
      <c r="W17" s="26"/>
      <c r="X17" s="26"/>
      <c r="Y17" s="26"/>
      <c r="Z17" s="26"/>
    </row>
    <row r="18" spans="1:26">
      <c r="A18" s="31" t="s">
        <v>14</v>
      </c>
      <c r="B18" s="30">
        <v>6711875</v>
      </c>
      <c r="C18" s="29">
        <v>691812</v>
      </c>
      <c r="D18" s="339">
        <f t="shared" si="0"/>
        <v>0.10307283732191079</v>
      </c>
      <c r="E18" s="35">
        <f t="shared" si="1"/>
        <v>7.5946872697625215E-3</v>
      </c>
      <c r="F18" s="71">
        <v>766514</v>
      </c>
      <c r="G18" s="325">
        <f t="shared" si="2"/>
        <v>-9.7456797918889948E-2</v>
      </c>
      <c r="H18" s="33">
        <f t="shared" si="3"/>
        <v>0</v>
      </c>
      <c r="I18" s="27">
        <f t="shared" si="4"/>
        <v>0</v>
      </c>
      <c r="J18" s="32">
        <f t="shared" si="5"/>
        <v>3.3190474021264644E-4</v>
      </c>
      <c r="L18" s="31" t="s">
        <v>14</v>
      </c>
      <c r="M18" s="30">
        <f t="shared" si="6"/>
        <v>62270.972350676806</v>
      </c>
      <c r="N18" s="29">
        <f t="shared" si="7"/>
        <v>0</v>
      </c>
      <c r="O18" s="28">
        <f t="shared" si="8"/>
        <v>1088.5520452239264</v>
      </c>
      <c r="P18" s="326">
        <f t="shared" si="10"/>
        <v>63359.524395900735</v>
      </c>
      <c r="Q18" s="384">
        <f t="shared" si="9"/>
        <v>3.8637245829237898E-3</v>
      </c>
      <c r="S18" s="26"/>
      <c r="T18" s="26"/>
      <c r="U18" s="26"/>
      <c r="V18" s="26"/>
      <c r="W18" s="26"/>
      <c r="X18" s="26"/>
      <c r="Y18" s="26"/>
      <c r="Z18" s="26"/>
    </row>
    <row r="19" spans="1:26">
      <c r="A19" s="31" t="s">
        <v>15</v>
      </c>
      <c r="B19" s="30">
        <v>1548836</v>
      </c>
      <c r="C19" s="29">
        <v>329170</v>
      </c>
      <c r="D19" s="339">
        <f t="shared" si="0"/>
        <v>0.21252734311444207</v>
      </c>
      <c r="E19" s="35">
        <f t="shared" si="1"/>
        <v>1.5659593246538005E-2</v>
      </c>
      <c r="F19" s="71">
        <v>328496</v>
      </c>
      <c r="G19" s="325">
        <f t="shared" si="2"/>
        <v>2.05177536408363E-3</v>
      </c>
      <c r="H19" s="33">
        <f t="shared" si="3"/>
        <v>2.05177536408363E-3</v>
      </c>
      <c r="I19" s="27">
        <f t="shared" si="4"/>
        <v>7.17030046743819E-4</v>
      </c>
      <c r="J19" s="32">
        <f t="shared" si="5"/>
        <v>1.5792308218966545E-4</v>
      </c>
      <c r="L19" s="31" t="s">
        <v>15</v>
      </c>
      <c r="M19" s="30">
        <f t="shared" si="6"/>
        <v>128397.3998456035</v>
      </c>
      <c r="N19" s="29">
        <f t="shared" si="7"/>
        <v>3527.4783513332222</v>
      </c>
      <c r="O19" s="28">
        <f t="shared" si="8"/>
        <v>517.94226860239462</v>
      </c>
      <c r="P19" s="326">
        <f t="shared" si="10"/>
        <v>132442.82046553915</v>
      </c>
      <c r="Q19" s="384">
        <f t="shared" si="9"/>
        <v>8.0764902537300808E-3</v>
      </c>
      <c r="S19" s="26"/>
      <c r="T19" s="26"/>
      <c r="U19" s="26"/>
      <c r="V19" s="26"/>
      <c r="W19" s="26"/>
      <c r="X19" s="26"/>
      <c r="Y19" s="26"/>
      <c r="Z19" s="26"/>
    </row>
    <row r="20" spans="1:26">
      <c r="A20" s="31" t="s">
        <v>16</v>
      </c>
      <c r="B20" s="30">
        <v>2192867</v>
      </c>
      <c r="C20" s="29">
        <v>632096</v>
      </c>
      <c r="D20" s="339">
        <f t="shared" si="0"/>
        <v>0.28825095183611227</v>
      </c>
      <c r="E20" s="35">
        <f t="shared" si="1"/>
        <v>2.1239114894737506E-2</v>
      </c>
      <c r="F20" s="71">
        <v>704192</v>
      </c>
      <c r="G20" s="325">
        <f t="shared" si="2"/>
        <v>-0.10238116877215309</v>
      </c>
      <c r="H20" s="33">
        <f t="shared" si="3"/>
        <v>0</v>
      </c>
      <c r="I20" s="27">
        <f t="shared" si="4"/>
        <v>0</v>
      </c>
      <c r="J20" s="32">
        <f t="shared" si="5"/>
        <v>3.0325530443162731E-4</v>
      </c>
      <c r="L20" s="31" t="s">
        <v>16</v>
      </c>
      <c r="M20" s="30">
        <f t="shared" si="6"/>
        <v>174145.46371497965</v>
      </c>
      <c r="N20" s="29">
        <f t="shared" si="7"/>
        <v>0</v>
      </c>
      <c r="O20" s="28">
        <f t="shared" si="8"/>
        <v>994.59013948567372</v>
      </c>
      <c r="P20" s="326">
        <f t="shared" si="10"/>
        <v>175140.05385446531</v>
      </c>
      <c r="Q20" s="384">
        <f t="shared" si="9"/>
        <v>1.0680208508255075E-2</v>
      </c>
      <c r="S20" s="26"/>
      <c r="T20" s="26"/>
      <c r="U20" s="26"/>
      <c r="V20" s="26"/>
      <c r="W20" s="26"/>
      <c r="X20" s="26"/>
      <c r="Y20" s="26"/>
      <c r="Z20" s="26"/>
    </row>
    <row r="21" spans="1:26">
      <c r="A21" s="31" t="s">
        <v>17</v>
      </c>
      <c r="B21" s="30">
        <v>10046865</v>
      </c>
      <c r="C21" s="29">
        <v>1193413</v>
      </c>
      <c r="D21" s="339">
        <f t="shared" si="0"/>
        <v>0.11878461589759591</v>
      </c>
      <c r="E21" s="35">
        <f t="shared" si="1"/>
        <v>8.7523738905490572E-3</v>
      </c>
      <c r="F21" s="71">
        <v>1253081</v>
      </c>
      <c r="G21" s="325">
        <f t="shared" si="2"/>
        <v>-4.7617033535741093E-2</v>
      </c>
      <c r="H21" s="33">
        <f t="shared" si="3"/>
        <v>0</v>
      </c>
      <c r="I21" s="27">
        <f t="shared" si="4"/>
        <v>0</v>
      </c>
      <c r="J21" s="32">
        <f t="shared" si="5"/>
        <v>5.7255357196954525E-4</v>
      </c>
      <c r="L21" s="31" t="s">
        <v>17</v>
      </c>
      <c r="M21" s="30">
        <f t="shared" si="6"/>
        <v>71763.169855736283</v>
      </c>
      <c r="N21" s="29">
        <f t="shared" si="7"/>
        <v>0</v>
      </c>
      <c r="O21" s="28">
        <f t="shared" si="8"/>
        <v>1877.8109687990691</v>
      </c>
      <c r="P21" s="326">
        <f t="shared" si="10"/>
        <v>73640.980824535349</v>
      </c>
      <c r="Q21" s="384">
        <f t="shared" si="9"/>
        <v>4.4906976596684363E-3</v>
      </c>
      <c r="S21" s="26"/>
      <c r="T21" s="26"/>
      <c r="U21" s="26"/>
      <c r="V21" s="26"/>
      <c r="W21" s="26"/>
      <c r="X21" s="26"/>
      <c r="Y21" s="26"/>
      <c r="Z21" s="26"/>
    </row>
    <row r="22" spans="1:26">
      <c r="A22" s="31" t="s">
        <v>18</v>
      </c>
      <c r="B22" s="30">
        <v>425436337.39000034</v>
      </c>
      <c r="C22" s="29">
        <v>90011508</v>
      </c>
      <c r="D22" s="339">
        <f t="shared" si="0"/>
        <v>0.21157456495655624</v>
      </c>
      <c r="E22" s="35">
        <f t="shared" si="1"/>
        <v>1.5589389957925661E-2</v>
      </c>
      <c r="F22" s="71">
        <v>89654721.319999993</v>
      </c>
      <c r="G22" s="325">
        <f t="shared" si="2"/>
        <v>3.9795637613611046E-3</v>
      </c>
      <c r="H22" s="33">
        <f t="shared" si="3"/>
        <v>3.9795637613611046E-3</v>
      </c>
      <c r="I22" s="27">
        <f t="shared" si="4"/>
        <v>1.3907306032515819E-3</v>
      </c>
      <c r="J22" s="32">
        <f t="shared" si="5"/>
        <v>4.31840531515622E-2</v>
      </c>
      <c r="L22" s="31" t="s">
        <v>18</v>
      </c>
      <c r="M22" s="30">
        <f t="shared" si="6"/>
        <v>127821.78337993138</v>
      </c>
      <c r="N22" s="29">
        <f t="shared" si="7"/>
        <v>6841.7943122253637</v>
      </c>
      <c r="O22" s="28">
        <f t="shared" si="8"/>
        <v>141631.2685051572</v>
      </c>
      <c r="P22" s="326">
        <f t="shared" si="10"/>
        <v>276294.84619731398</v>
      </c>
      <c r="Q22" s="384">
        <f t="shared" si="9"/>
        <v>1.6848724790250746E-2</v>
      </c>
      <c r="S22" s="26"/>
      <c r="T22" s="26"/>
      <c r="U22" s="26"/>
      <c r="V22" s="26"/>
      <c r="W22" s="26"/>
      <c r="X22" s="26"/>
      <c r="Y22" s="26"/>
      <c r="Z22" s="26"/>
    </row>
    <row r="23" spans="1:26">
      <c r="A23" s="31" t="s">
        <v>19</v>
      </c>
      <c r="B23" s="30">
        <v>5541859</v>
      </c>
      <c r="C23" s="29">
        <v>877317</v>
      </c>
      <c r="D23" s="339">
        <f t="shared" si="0"/>
        <v>0.15830734776904284</v>
      </c>
      <c r="E23" s="35">
        <f t="shared" si="1"/>
        <v>1.1664516375507198E-2</v>
      </c>
      <c r="F23" s="71">
        <v>1101010</v>
      </c>
      <c r="G23" s="325">
        <f t="shared" si="2"/>
        <v>-0.20317072506153444</v>
      </c>
      <c r="H23" s="33">
        <f t="shared" si="3"/>
        <v>0</v>
      </c>
      <c r="I23" s="27">
        <f t="shared" si="4"/>
        <v>0</v>
      </c>
      <c r="J23" s="32">
        <f t="shared" si="5"/>
        <v>4.2090289120330139E-4</v>
      </c>
      <c r="L23" s="31" t="s">
        <v>19</v>
      </c>
      <c r="M23" s="30">
        <f t="shared" si="6"/>
        <v>95640.64337384337</v>
      </c>
      <c r="N23" s="29">
        <f t="shared" si="7"/>
        <v>0</v>
      </c>
      <c r="O23" s="28">
        <f t="shared" si="8"/>
        <v>1380.4403720370844</v>
      </c>
      <c r="P23" s="326">
        <f t="shared" si="10"/>
        <v>97021.08374588046</v>
      </c>
      <c r="Q23" s="384">
        <f t="shared" si="9"/>
        <v>5.9164387659942589E-3</v>
      </c>
      <c r="S23" s="26"/>
      <c r="T23" s="26"/>
      <c r="U23" s="26"/>
      <c r="V23" s="26"/>
      <c r="W23" s="26"/>
      <c r="X23" s="26"/>
      <c r="Y23" s="26"/>
      <c r="Z23" s="26"/>
    </row>
    <row r="24" spans="1:26">
      <c r="A24" s="31" t="s">
        <v>20</v>
      </c>
      <c r="B24" s="30">
        <v>449264751.14000052</v>
      </c>
      <c r="C24" s="29">
        <v>130662277.23999999</v>
      </c>
      <c r="D24" s="339">
        <f t="shared" si="0"/>
        <v>0.29083580874850967</v>
      </c>
      <c r="E24" s="35">
        <f t="shared" si="1"/>
        <v>2.1429574189318013E-2</v>
      </c>
      <c r="F24" s="71">
        <v>149244141.31999999</v>
      </c>
      <c r="G24" s="325">
        <f t="shared" si="2"/>
        <v>-0.12450648927087815</v>
      </c>
      <c r="H24" s="33">
        <f t="shared" si="3"/>
        <v>0</v>
      </c>
      <c r="I24" s="27">
        <f t="shared" si="4"/>
        <v>0</v>
      </c>
      <c r="J24" s="32">
        <f t="shared" si="5"/>
        <v>6.2686725848836083E-2</v>
      </c>
      <c r="L24" s="31" t="s">
        <v>20</v>
      </c>
      <c r="M24" s="30">
        <f t="shared" si="6"/>
        <v>175707.09292306725</v>
      </c>
      <c r="N24" s="29">
        <f t="shared" si="7"/>
        <v>0</v>
      </c>
      <c r="O24" s="28">
        <f t="shared" si="8"/>
        <v>205594.42322945784</v>
      </c>
      <c r="P24" s="326">
        <f t="shared" si="10"/>
        <v>381301.51615252509</v>
      </c>
      <c r="Q24" s="384">
        <f t="shared" si="9"/>
        <v>2.3252132264426222E-2</v>
      </c>
      <c r="S24" s="26"/>
      <c r="T24" s="26"/>
      <c r="U24" s="26"/>
      <c r="V24" s="26"/>
      <c r="W24" s="26"/>
      <c r="X24" s="26"/>
      <c r="Y24" s="26"/>
      <c r="Z24" s="26"/>
    </row>
    <row r="25" spans="1:26">
      <c r="A25" s="31" t="s">
        <v>21</v>
      </c>
      <c r="B25" s="30">
        <v>12500507</v>
      </c>
      <c r="C25" s="29">
        <v>3648762.03</v>
      </c>
      <c r="D25" s="339">
        <f t="shared" si="0"/>
        <v>0.29188912337715578</v>
      </c>
      <c r="E25" s="35">
        <f t="shared" si="1"/>
        <v>2.1507185278806597E-2</v>
      </c>
      <c r="F25" s="71">
        <v>4417747</v>
      </c>
      <c r="G25" s="325">
        <f t="shared" si="2"/>
        <v>-0.17406722702771349</v>
      </c>
      <c r="H25" s="33">
        <f t="shared" si="3"/>
        <v>0</v>
      </c>
      <c r="I25" s="27">
        <f t="shared" si="4"/>
        <v>0</v>
      </c>
      <c r="J25" s="32">
        <f t="shared" si="5"/>
        <v>1.7505354253249705E-3</v>
      </c>
      <c r="L25" s="31" t="s">
        <v>21</v>
      </c>
      <c r="M25" s="30">
        <f t="shared" si="6"/>
        <v>176343.44802710047</v>
      </c>
      <c r="N25" s="29">
        <f t="shared" si="7"/>
        <v>0</v>
      </c>
      <c r="O25" s="28">
        <f t="shared" si="8"/>
        <v>5741.2524938739216</v>
      </c>
      <c r="P25" s="326">
        <f t="shared" si="10"/>
        <v>182084.70052097438</v>
      </c>
      <c r="Q25" s="384">
        <f t="shared" si="9"/>
        <v>1.1103699724468291E-2</v>
      </c>
      <c r="S25" s="26"/>
      <c r="T25" s="26"/>
      <c r="U25" s="26"/>
      <c r="V25" s="26"/>
      <c r="W25" s="26"/>
      <c r="X25" s="26"/>
      <c r="Y25" s="26"/>
      <c r="Z25" s="26"/>
    </row>
    <row r="26" spans="1:26">
      <c r="A26" s="31" t="s">
        <v>22</v>
      </c>
      <c r="B26" s="30">
        <v>796636</v>
      </c>
      <c r="C26" s="29">
        <v>218938</v>
      </c>
      <c r="D26" s="339">
        <f t="shared" si="0"/>
        <v>0.27482815238076108</v>
      </c>
      <c r="E26" s="35">
        <f t="shared" si="1"/>
        <v>2.0250086487284706E-2</v>
      </c>
      <c r="F26" s="71">
        <v>320606.25</v>
      </c>
      <c r="G26" s="325">
        <f t="shared" si="2"/>
        <v>-0.31711250170575278</v>
      </c>
      <c r="H26" s="33">
        <f t="shared" si="3"/>
        <v>0</v>
      </c>
      <c r="I26" s="27">
        <f t="shared" si="4"/>
        <v>0</v>
      </c>
      <c r="J26" s="32">
        <f t="shared" si="5"/>
        <v>1.0503801612674598E-4</v>
      </c>
      <c r="L26" s="31" t="s">
        <v>22</v>
      </c>
      <c r="M26" s="30">
        <f t="shared" si="6"/>
        <v>166036.14223445833</v>
      </c>
      <c r="N26" s="29">
        <f t="shared" si="7"/>
        <v>0</v>
      </c>
      <c r="O26" s="28">
        <f t="shared" si="8"/>
        <v>344.49446912923742</v>
      </c>
      <c r="P26" s="326">
        <f t="shared" si="10"/>
        <v>166380.63670358757</v>
      </c>
      <c r="Q26" s="384">
        <f t="shared" si="9"/>
        <v>1.0146050846867703E-2</v>
      </c>
      <c r="S26" s="26"/>
      <c r="T26" s="26"/>
      <c r="U26" s="26"/>
      <c r="V26" s="26"/>
      <c r="W26" s="26"/>
      <c r="X26" s="26"/>
      <c r="Y26" s="26"/>
      <c r="Z26" s="26"/>
    </row>
    <row r="27" spans="1:26">
      <c r="A27" s="31" t="s">
        <v>23</v>
      </c>
      <c r="B27" s="30">
        <v>1746864</v>
      </c>
      <c r="C27" s="29">
        <v>140414</v>
      </c>
      <c r="D27" s="339">
        <f t="shared" si="0"/>
        <v>8.0380613487941815E-2</v>
      </c>
      <c r="E27" s="35">
        <f t="shared" si="1"/>
        <v>5.92266243807769E-3</v>
      </c>
      <c r="F27" s="71">
        <v>194672</v>
      </c>
      <c r="G27" s="325">
        <f t="shared" si="2"/>
        <v>-0.2787149667132407</v>
      </c>
      <c r="H27" s="33">
        <f t="shared" si="3"/>
        <v>0</v>
      </c>
      <c r="I27" s="27">
        <f t="shared" si="4"/>
        <v>0</v>
      </c>
      <c r="J27" s="32">
        <f t="shared" si="5"/>
        <v>6.7365226668832768E-5</v>
      </c>
      <c r="L27" s="31" t="s">
        <v>23</v>
      </c>
      <c r="M27" s="30">
        <f t="shared" si="6"/>
        <v>48561.571507006927</v>
      </c>
      <c r="N27" s="29">
        <f t="shared" si="7"/>
        <v>0</v>
      </c>
      <c r="O27" s="28">
        <f t="shared" si="8"/>
        <v>220.93855972153185</v>
      </c>
      <c r="P27" s="326">
        <f t="shared" si="10"/>
        <v>48782.510066728457</v>
      </c>
      <c r="Q27" s="384">
        <f t="shared" si="9"/>
        <v>2.9748042643726112E-3</v>
      </c>
      <c r="S27" s="26"/>
      <c r="T27" s="26"/>
      <c r="U27" s="26"/>
      <c r="V27" s="26"/>
      <c r="W27" s="26"/>
      <c r="X27" s="26"/>
      <c r="Y27" s="26"/>
      <c r="Z27" s="26"/>
    </row>
    <row r="28" spans="1:26">
      <c r="A28" s="31" t="s">
        <v>24</v>
      </c>
      <c r="B28" s="30">
        <v>63133792</v>
      </c>
      <c r="C28" s="29">
        <v>9156806</v>
      </c>
      <c r="D28" s="339">
        <f t="shared" si="0"/>
        <v>0.14503811207791859</v>
      </c>
      <c r="E28" s="35">
        <f t="shared" si="1"/>
        <v>1.0686802964280113E-2</v>
      </c>
      <c r="F28" s="71">
        <v>7133102</v>
      </c>
      <c r="G28" s="325">
        <f t="shared" si="2"/>
        <v>0.28370602298971748</v>
      </c>
      <c r="H28" s="33">
        <f t="shared" si="3"/>
        <v>0.28370602298971748</v>
      </c>
      <c r="I28" s="27">
        <f t="shared" si="4"/>
        <v>9.9146206006170037E-2</v>
      </c>
      <c r="J28" s="32">
        <f t="shared" si="5"/>
        <v>4.3930826823003971E-3</v>
      </c>
      <c r="L28" s="31" t="s">
        <v>24</v>
      </c>
      <c r="M28" s="30">
        <f t="shared" si="6"/>
        <v>87624.096722895963</v>
      </c>
      <c r="N28" s="29">
        <f t="shared" si="7"/>
        <v>487756.54087553552</v>
      </c>
      <c r="O28" s="28">
        <f t="shared" si="8"/>
        <v>14408.047126992189</v>
      </c>
      <c r="P28" s="326">
        <f t="shared" si="10"/>
        <v>589788.68472542358</v>
      </c>
      <c r="Q28" s="384">
        <f t="shared" si="9"/>
        <v>3.5965879820451137E-2</v>
      </c>
      <c r="S28" s="26"/>
      <c r="T28" s="26"/>
      <c r="U28" s="26"/>
      <c r="V28" s="26"/>
      <c r="W28" s="26"/>
      <c r="X28" s="26"/>
      <c r="Y28" s="26"/>
      <c r="Z28" s="26"/>
    </row>
    <row r="29" spans="1:26">
      <c r="A29" s="31" t="s">
        <v>25</v>
      </c>
      <c r="B29" s="30">
        <v>516795710.3599999</v>
      </c>
      <c r="C29" s="29">
        <v>215375991.11000001</v>
      </c>
      <c r="D29" s="339">
        <f t="shared" si="0"/>
        <v>0.41675266801260619</v>
      </c>
      <c r="E29" s="35">
        <f t="shared" si="1"/>
        <v>3.0707471188649249E-2</v>
      </c>
      <c r="F29" s="71">
        <v>259353547.03</v>
      </c>
      <c r="G29" s="325">
        <f t="shared" si="2"/>
        <v>-0.16956604767357586</v>
      </c>
      <c r="H29" s="33">
        <f t="shared" si="3"/>
        <v>0</v>
      </c>
      <c r="I29" s="27">
        <f t="shared" si="4"/>
        <v>0</v>
      </c>
      <c r="J29" s="32">
        <f t="shared" si="5"/>
        <v>0.10332910151515991</v>
      </c>
      <c r="L29" s="31" t="s">
        <v>25</v>
      </c>
      <c r="M29" s="30">
        <f t="shared" si="6"/>
        <v>251779.17423417149</v>
      </c>
      <c r="N29" s="29">
        <f t="shared" si="7"/>
        <v>0</v>
      </c>
      <c r="O29" s="28">
        <f t="shared" si="8"/>
        <v>338889.72092840355</v>
      </c>
      <c r="P29" s="326">
        <f t="shared" si="10"/>
        <v>590668.89516257506</v>
      </c>
      <c r="Q29" s="384">
        <f t="shared" si="9"/>
        <v>3.6019555897356607E-2</v>
      </c>
      <c r="S29" s="26"/>
      <c r="T29" s="26"/>
      <c r="U29" s="26"/>
      <c r="V29" s="26"/>
      <c r="W29" s="26"/>
      <c r="X29" s="26"/>
      <c r="Y29" s="26"/>
      <c r="Z29" s="26"/>
    </row>
    <row r="30" spans="1:26">
      <c r="A30" s="31" t="s">
        <v>26</v>
      </c>
      <c r="B30" s="30">
        <v>997290</v>
      </c>
      <c r="C30" s="29">
        <v>288216.5</v>
      </c>
      <c r="D30" s="339">
        <f t="shared" si="0"/>
        <v>0.28899968915761715</v>
      </c>
      <c r="E30" s="35">
        <f t="shared" si="1"/>
        <v>2.1294283899023957E-2</v>
      </c>
      <c r="F30" s="71">
        <v>294751</v>
      </c>
      <c r="G30" s="325">
        <f t="shared" si="2"/>
        <v>-2.2169560069346672E-2</v>
      </c>
      <c r="H30" s="33">
        <f t="shared" si="3"/>
        <v>0</v>
      </c>
      <c r="I30" s="27">
        <f t="shared" si="4"/>
        <v>0</v>
      </c>
      <c r="J30" s="32">
        <f t="shared" si="5"/>
        <v>1.3827517093877847E-4</v>
      </c>
      <c r="L30" s="31" t="s">
        <v>26</v>
      </c>
      <c r="M30" s="30">
        <f t="shared" si="6"/>
        <v>174597.80986413761</v>
      </c>
      <c r="N30" s="29">
        <f t="shared" si="7"/>
        <v>0</v>
      </c>
      <c r="O30" s="28">
        <f t="shared" si="8"/>
        <v>453.50277321336108</v>
      </c>
      <c r="P30" s="326">
        <f t="shared" si="10"/>
        <v>175051.31263735099</v>
      </c>
      <c r="Q30" s="384">
        <f t="shared" si="9"/>
        <v>1.0674796983699735E-2</v>
      </c>
      <c r="S30" s="26"/>
      <c r="T30" s="26"/>
      <c r="U30" s="26"/>
      <c r="V30" s="26"/>
      <c r="W30" s="26"/>
      <c r="X30" s="26"/>
      <c r="Y30" s="26"/>
      <c r="Z30" s="26"/>
    </row>
    <row r="31" spans="1:26">
      <c r="A31" s="31" t="s">
        <v>27</v>
      </c>
      <c r="B31" s="30">
        <v>2347113</v>
      </c>
      <c r="C31" s="29">
        <v>518824</v>
      </c>
      <c r="D31" s="339">
        <f t="shared" si="0"/>
        <v>0.22104772970027434</v>
      </c>
      <c r="E31" s="35">
        <f t="shared" si="1"/>
        <v>1.6287398526941593E-2</v>
      </c>
      <c r="F31" s="71">
        <v>501704</v>
      </c>
      <c r="G31" s="325">
        <f t="shared" si="2"/>
        <v>3.4123706408559551E-2</v>
      </c>
      <c r="H31" s="33">
        <f t="shared" si="3"/>
        <v>3.4123706408559551E-2</v>
      </c>
      <c r="I31" s="27">
        <f t="shared" si="4"/>
        <v>1.1925146987097028E-2</v>
      </c>
      <c r="J31" s="32">
        <f t="shared" si="5"/>
        <v>2.4891176350812948E-4</v>
      </c>
      <c r="L31" s="31" t="s">
        <v>27</v>
      </c>
      <c r="M31" s="30">
        <f t="shared" si="6"/>
        <v>133544.9515312759</v>
      </c>
      <c r="N31" s="29">
        <f t="shared" si="7"/>
        <v>58666.576142074322</v>
      </c>
      <c r="O31" s="28">
        <f t="shared" si="8"/>
        <v>816.35896213314936</v>
      </c>
      <c r="P31" s="326">
        <f t="shared" si="10"/>
        <v>193027.88663548339</v>
      </c>
      <c r="Q31" s="384">
        <f t="shared" si="9"/>
        <v>1.1771025712301531E-2</v>
      </c>
      <c r="S31" s="26"/>
      <c r="T31" s="26"/>
      <c r="U31" s="26"/>
      <c r="V31" s="26"/>
      <c r="W31" s="26"/>
      <c r="X31" s="26"/>
      <c r="Y31" s="26"/>
      <c r="Z31" s="26"/>
    </row>
    <row r="32" spans="1:26">
      <c r="A32" s="31" t="s">
        <v>28</v>
      </c>
      <c r="B32" s="30">
        <v>702996</v>
      </c>
      <c r="C32" s="29">
        <v>336929</v>
      </c>
      <c r="D32" s="339">
        <f t="shared" si="0"/>
        <v>0.47927584225230302</v>
      </c>
      <c r="E32" s="35">
        <f t="shared" si="1"/>
        <v>3.531434888602325E-2</v>
      </c>
      <c r="F32" s="71">
        <v>314751</v>
      </c>
      <c r="G32" s="325">
        <f t="shared" si="2"/>
        <v>7.0462047777449577E-2</v>
      </c>
      <c r="H32" s="33">
        <f t="shared" si="3"/>
        <v>7.0462047777449577E-2</v>
      </c>
      <c r="I32" s="27">
        <f t="shared" si="4"/>
        <v>2.4624238255290091E-2</v>
      </c>
      <c r="J32" s="32">
        <f t="shared" si="5"/>
        <v>1.6164555141441137E-4</v>
      </c>
      <c r="L32" s="31" t="s">
        <v>28</v>
      </c>
      <c r="M32" s="30">
        <f t="shared" si="6"/>
        <v>289552.25738116144</v>
      </c>
      <c r="N32" s="29">
        <f t="shared" si="7"/>
        <v>121140.62410363826</v>
      </c>
      <c r="O32" s="28">
        <f t="shared" si="8"/>
        <v>530.15089655173995</v>
      </c>
      <c r="P32" s="326">
        <f t="shared" si="10"/>
        <v>411223.0323813514</v>
      </c>
      <c r="Q32" s="384">
        <f t="shared" si="9"/>
        <v>2.5076775029881527E-2</v>
      </c>
      <c r="S32" s="26"/>
      <c r="T32" s="26"/>
      <c r="U32" s="26"/>
      <c r="V32" s="26"/>
      <c r="W32" s="26"/>
      <c r="X32" s="26"/>
      <c r="Y32" s="26"/>
      <c r="Z32" s="26"/>
    </row>
    <row r="33" spans="1:26">
      <c r="A33" s="31" t="s">
        <v>29</v>
      </c>
      <c r="B33" s="30">
        <v>1978005</v>
      </c>
      <c r="C33" s="29">
        <v>629171</v>
      </c>
      <c r="D33" s="339">
        <f t="shared" si="0"/>
        <v>0.31808362466222279</v>
      </c>
      <c r="E33" s="35">
        <f t="shared" si="1"/>
        <v>2.3437267448041563E-2</v>
      </c>
      <c r="F33" s="71">
        <v>586273</v>
      </c>
      <c r="G33" s="325">
        <f t="shared" si="2"/>
        <v>7.3170690105121672E-2</v>
      </c>
      <c r="H33" s="33">
        <f t="shared" si="3"/>
        <v>7.3170690105121672E-2</v>
      </c>
      <c r="I33" s="27">
        <f t="shared" si="4"/>
        <v>2.5570822354515022E-2</v>
      </c>
      <c r="J33" s="32">
        <f t="shared" si="5"/>
        <v>3.0185200213978794E-4</v>
      </c>
      <c r="L33" s="31" t="s">
        <v>29</v>
      </c>
      <c r="M33" s="30">
        <f t="shared" si="6"/>
        <v>192168.73340435117</v>
      </c>
      <c r="N33" s="29">
        <f t="shared" si="7"/>
        <v>125797.40931493524</v>
      </c>
      <c r="O33" s="28">
        <f t="shared" si="8"/>
        <v>989.98771175634852</v>
      </c>
      <c r="P33" s="326">
        <f t="shared" si="10"/>
        <v>318956.13043104275</v>
      </c>
      <c r="Q33" s="384">
        <f t="shared" si="9"/>
        <v>1.9450250830803241E-2</v>
      </c>
      <c r="S33" s="26"/>
      <c r="T33" s="26"/>
      <c r="U33" s="26"/>
      <c r="V33" s="26"/>
      <c r="W33" s="26"/>
      <c r="X33" s="26"/>
      <c r="Y33" s="26"/>
      <c r="Z33" s="26"/>
    </row>
    <row r="34" spans="1:26">
      <c r="A34" s="31" t="s">
        <v>30</v>
      </c>
      <c r="B34" s="30">
        <v>579083</v>
      </c>
      <c r="C34" s="29">
        <v>112915</v>
      </c>
      <c r="D34" s="339">
        <f t="shared" si="0"/>
        <v>0.19498931932037375</v>
      </c>
      <c r="E34" s="35">
        <f t="shared" si="1"/>
        <v>1.4367343906106889E-2</v>
      </c>
      <c r="F34" s="71">
        <v>107675</v>
      </c>
      <c r="G34" s="325">
        <f t="shared" si="2"/>
        <v>4.866496401207332E-2</v>
      </c>
      <c r="H34" s="33">
        <f t="shared" si="3"/>
        <v>4.866496401207332E-2</v>
      </c>
      <c r="I34" s="27">
        <f t="shared" si="4"/>
        <v>1.7006852714574711E-2</v>
      </c>
      <c r="J34" s="32">
        <f t="shared" si="5"/>
        <v>5.4172266079673339E-5</v>
      </c>
      <c r="L34" s="31" t="s">
        <v>30</v>
      </c>
      <c r="M34" s="30">
        <f t="shared" si="6"/>
        <v>117801.88483755992</v>
      </c>
      <c r="N34" s="29">
        <f t="shared" si="7"/>
        <v>83666.37499698624</v>
      </c>
      <c r="O34" s="28">
        <f t="shared" si="8"/>
        <v>177.66944514761184</v>
      </c>
      <c r="P34" s="326">
        <f t="shared" si="10"/>
        <v>201645.92927969378</v>
      </c>
      <c r="Q34" s="384">
        <f t="shared" si="9"/>
        <v>1.2296562220641792E-2</v>
      </c>
      <c r="S34" s="26"/>
      <c r="T34" s="26"/>
      <c r="U34" s="26"/>
      <c r="V34" s="26"/>
      <c r="W34" s="26"/>
      <c r="X34" s="26"/>
      <c r="Y34" s="26"/>
      <c r="Z34" s="26"/>
    </row>
    <row r="35" spans="1:26">
      <c r="A35" s="31" t="s">
        <v>31</v>
      </c>
      <c r="B35" s="30"/>
      <c r="C35" s="29"/>
      <c r="D35" s="339">
        <f t="shared" si="0"/>
        <v>0</v>
      </c>
      <c r="E35" s="35">
        <f t="shared" si="1"/>
        <v>0</v>
      </c>
      <c r="F35" s="71">
        <v>0</v>
      </c>
      <c r="G35" s="325">
        <f t="shared" si="2"/>
        <v>0</v>
      </c>
      <c r="H35" s="33">
        <f t="shared" si="3"/>
        <v>0</v>
      </c>
      <c r="I35" s="27">
        <f t="shared" si="4"/>
        <v>0</v>
      </c>
      <c r="J35" s="32">
        <f t="shared" si="5"/>
        <v>0</v>
      </c>
      <c r="L35" s="31" t="s">
        <v>31</v>
      </c>
      <c r="M35" s="30">
        <f t="shared" si="6"/>
        <v>0</v>
      </c>
      <c r="N35" s="29">
        <f t="shared" si="7"/>
        <v>0</v>
      </c>
      <c r="O35" s="28">
        <f t="shared" si="8"/>
        <v>0</v>
      </c>
      <c r="P35" s="326">
        <f t="shared" si="10"/>
        <v>0</v>
      </c>
      <c r="Q35" s="384">
        <f t="shared" si="9"/>
        <v>0</v>
      </c>
      <c r="S35" s="26"/>
      <c r="T35" s="26"/>
      <c r="U35" s="26"/>
      <c r="V35" s="26"/>
      <c r="W35" s="26"/>
      <c r="X35" s="26"/>
      <c r="Y35" s="26"/>
      <c r="Z35" s="26"/>
    </row>
    <row r="36" spans="1:26">
      <c r="A36" s="31" t="s">
        <v>32</v>
      </c>
      <c r="B36" s="30">
        <v>3788861</v>
      </c>
      <c r="C36" s="29">
        <v>1194083</v>
      </c>
      <c r="D36" s="339">
        <f t="shared" si="0"/>
        <v>0.3151561907391166</v>
      </c>
      <c r="E36" s="35">
        <f t="shared" si="1"/>
        <v>2.3221566146645844E-2</v>
      </c>
      <c r="F36" s="71">
        <v>1383880</v>
      </c>
      <c r="G36" s="325">
        <f t="shared" si="2"/>
        <v>-0.13714845217793448</v>
      </c>
      <c r="H36" s="33">
        <f t="shared" si="3"/>
        <v>0</v>
      </c>
      <c r="I36" s="27">
        <f t="shared" si="4"/>
        <v>0</v>
      </c>
      <c r="J36" s="32">
        <f t="shared" si="5"/>
        <v>5.7287501215263321E-4</v>
      </c>
      <c r="L36" s="31" t="s">
        <v>32</v>
      </c>
      <c r="M36" s="30">
        <f t="shared" si="6"/>
        <v>190400.13789829318</v>
      </c>
      <c r="N36" s="29">
        <f t="shared" si="7"/>
        <v>0</v>
      </c>
      <c r="O36" s="28">
        <f t="shared" si="8"/>
        <v>1878.8652001080086</v>
      </c>
      <c r="P36" s="326">
        <f t="shared" si="10"/>
        <v>192279.00309840118</v>
      </c>
      <c r="Q36" s="384">
        <f t="shared" si="9"/>
        <v>1.1725358075753447E-2</v>
      </c>
      <c r="S36" s="26"/>
      <c r="T36" s="26"/>
      <c r="U36" s="26"/>
      <c r="V36" s="26"/>
      <c r="W36" s="26"/>
      <c r="X36" s="26"/>
      <c r="Y36" s="26"/>
      <c r="Z36" s="26"/>
    </row>
    <row r="37" spans="1:26">
      <c r="A37" s="31" t="s">
        <v>33</v>
      </c>
      <c r="B37" s="30">
        <v>39384069</v>
      </c>
      <c r="C37" s="29">
        <v>10280239</v>
      </c>
      <c r="D37" s="339">
        <f t="shared" si="0"/>
        <v>0.26102531457579969</v>
      </c>
      <c r="E37" s="35">
        <f t="shared" si="1"/>
        <v>1.9233055819577908E-2</v>
      </c>
      <c r="F37" s="71">
        <v>10865396</v>
      </c>
      <c r="G37" s="325">
        <f t="shared" si="2"/>
        <v>-5.385510109341618E-2</v>
      </c>
      <c r="H37" s="33">
        <f t="shared" si="3"/>
        <v>0</v>
      </c>
      <c r="I37" s="27">
        <f t="shared" si="4"/>
        <v>0</v>
      </c>
      <c r="J37" s="32">
        <f t="shared" si="5"/>
        <v>4.9320625467886023E-3</v>
      </c>
      <c r="L37" s="31" t="s">
        <v>33</v>
      </c>
      <c r="M37" s="30">
        <f t="shared" si="6"/>
        <v>157697.22236336523</v>
      </c>
      <c r="N37" s="29">
        <f t="shared" si="7"/>
        <v>0</v>
      </c>
      <c r="O37" s="28">
        <f t="shared" si="8"/>
        <v>16175.74599579188</v>
      </c>
      <c r="P37" s="326">
        <f t="shared" si="10"/>
        <v>173872.96835915712</v>
      </c>
      <c r="Q37" s="384">
        <f t="shared" si="9"/>
        <v>1.0602940419146674E-2</v>
      </c>
      <c r="S37" s="26"/>
      <c r="T37" s="26"/>
      <c r="U37" s="26"/>
      <c r="V37" s="26"/>
      <c r="W37" s="26"/>
      <c r="X37" s="26"/>
      <c r="Y37" s="26"/>
      <c r="Z37" s="26"/>
    </row>
    <row r="38" spans="1:26">
      <c r="A38" s="31" t="s">
        <v>34</v>
      </c>
      <c r="B38" s="30">
        <v>2191945</v>
      </c>
      <c r="C38" s="29">
        <v>940947</v>
      </c>
      <c r="D38" s="339">
        <f t="shared" si="0"/>
        <v>0.42927491337601992</v>
      </c>
      <c r="E38" s="35">
        <f t="shared" si="1"/>
        <v>3.1630144318848842E-2</v>
      </c>
      <c r="F38" s="71">
        <v>1126052</v>
      </c>
      <c r="G38" s="325">
        <f t="shared" si="2"/>
        <v>-0.16438406041639286</v>
      </c>
      <c r="H38" s="33">
        <f t="shared" si="3"/>
        <v>0</v>
      </c>
      <c r="I38" s="27">
        <f t="shared" si="4"/>
        <v>0</v>
      </c>
      <c r="J38" s="32">
        <f t="shared" si="5"/>
        <v>4.5143011336731516E-4</v>
      </c>
      <c r="L38" s="31" t="s">
        <v>34</v>
      </c>
      <c r="M38" s="30">
        <f t="shared" si="6"/>
        <v>259344.43017408694</v>
      </c>
      <c r="N38" s="29">
        <f t="shared" si="7"/>
        <v>0</v>
      </c>
      <c r="O38" s="28">
        <f t="shared" si="8"/>
        <v>1480.5608767950221</v>
      </c>
      <c r="P38" s="326">
        <f t="shared" si="10"/>
        <v>260824.99105088197</v>
      </c>
      <c r="Q38" s="384">
        <f t="shared" si="9"/>
        <v>1.5905358182097883E-2</v>
      </c>
      <c r="S38" s="26"/>
      <c r="T38" s="26"/>
      <c r="U38" s="26"/>
      <c r="V38" s="26"/>
      <c r="W38" s="26"/>
      <c r="X38" s="26"/>
      <c r="Y38" s="26"/>
      <c r="Z38" s="26"/>
    </row>
    <row r="39" spans="1:26">
      <c r="A39" s="31" t="s">
        <v>35</v>
      </c>
      <c r="B39" s="30">
        <v>739738</v>
      </c>
      <c r="C39" s="29">
        <v>301669</v>
      </c>
      <c r="D39" s="339">
        <f t="shared" si="0"/>
        <v>0.40780519589368125</v>
      </c>
      <c r="E39" s="35">
        <f t="shared" si="1"/>
        <v>3.0048197083426677E-2</v>
      </c>
      <c r="F39" s="71">
        <v>319251</v>
      </c>
      <c r="G39" s="325">
        <f t="shared" si="2"/>
        <v>-5.5072654431779333E-2</v>
      </c>
      <c r="H39" s="33">
        <f t="shared" si="3"/>
        <v>0</v>
      </c>
      <c r="I39" s="27">
        <f t="shared" si="4"/>
        <v>0</v>
      </c>
      <c r="J39" s="32">
        <f t="shared" si="5"/>
        <v>1.4472916207757143E-4</v>
      </c>
      <c r="L39" s="31" t="s">
        <v>35</v>
      </c>
      <c r="M39" s="30">
        <f t="shared" si="6"/>
        <v>246373.60082217821</v>
      </c>
      <c r="N39" s="29">
        <f t="shared" si="7"/>
        <v>0</v>
      </c>
      <c r="O39" s="28">
        <f t="shared" si="8"/>
        <v>474.67000706934351</v>
      </c>
      <c r="P39" s="326">
        <f t="shared" si="10"/>
        <v>246848.27082924754</v>
      </c>
      <c r="Q39" s="384">
        <f t="shared" si="9"/>
        <v>1.5053044374128851E-2</v>
      </c>
      <c r="S39" s="26"/>
      <c r="T39" s="26"/>
      <c r="U39" s="26"/>
      <c r="V39" s="26"/>
      <c r="W39" s="26"/>
      <c r="X39" s="26"/>
      <c r="Y39" s="26"/>
      <c r="Z39" s="26"/>
    </row>
    <row r="40" spans="1:26">
      <c r="A40" s="31" t="s">
        <v>36</v>
      </c>
      <c r="B40" s="30">
        <v>841795</v>
      </c>
      <c r="C40" s="29">
        <v>64774</v>
      </c>
      <c r="D40" s="339">
        <f t="shared" si="0"/>
        <v>7.6947475335443896E-2</v>
      </c>
      <c r="E40" s="35">
        <f t="shared" si="1"/>
        <v>5.6696994722802083E-3</v>
      </c>
      <c r="F40" s="71">
        <v>69817</v>
      </c>
      <c r="G40" s="325">
        <f t="shared" si="2"/>
        <v>-7.2231691421860034E-2</v>
      </c>
      <c r="H40" s="33">
        <f t="shared" si="3"/>
        <v>0</v>
      </c>
      <c r="I40" s="27">
        <f t="shared" si="4"/>
        <v>0</v>
      </c>
      <c r="J40" s="32">
        <f t="shared" si="5"/>
        <v>3.1076069282599838E-5</v>
      </c>
      <c r="L40" s="31" t="s">
        <v>36</v>
      </c>
      <c r="M40" s="30">
        <f t="shared" si="6"/>
        <v>46487.457157146047</v>
      </c>
      <c r="N40" s="29">
        <f t="shared" si="7"/>
        <v>0</v>
      </c>
      <c r="O40" s="28">
        <f t="shared" si="8"/>
        <v>101.92056538096274</v>
      </c>
      <c r="P40" s="326">
        <f t="shared" si="10"/>
        <v>46589.37772252701</v>
      </c>
      <c r="Q40" s="384">
        <f t="shared" si="9"/>
        <v>2.8410649499966238E-3</v>
      </c>
      <c r="S40" s="26"/>
      <c r="T40" s="26"/>
      <c r="U40" s="26"/>
      <c r="V40" s="26"/>
      <c r="W40" s="26"/>
      <c r="X40" s="26"/>
      <c r="Y40" s="26"/>
      <c r="Z40" s="26"/>
    </row>
    <row r="41" spans="1:26">
      <c r="A41" s="31" t="s">
        <v>37</v>
      </c>
      <c r="B41" s="30">
        <v>4742394</v>
      </c>
      <c r="C41" s="29">
        <v>1105076</v>
      </c>
      <c r="D41" s="339">
        <f t="shared" si="0"/>
        <v>0.23302070641958469</v>
      </c>
      <c r="E41" s="35">
        <f t="shared" si="1"/>
        <v>1.7169600048059317E-2</v>
      </c>
      <c r="F41" s="71">
        <v>875732</v>
      </c>
      <c r="G41" s="325">
        <f t="shared" si="2"/>
        <v>0.26188834026848395</v>
      </c>
      <c r="H41" s="33">
        <f t="shared" si="3"/>
        <v>0.26188834026848395</v>
      </c>
      <c r="I41" s="27">
        <f t="shared" si="4"/>
        <v>9.1521621787402585E-2</v>
      </c>
      <c r="J41" s="32">
        <f t="shared" si="5"/>
        <v>5.301728832330611E-4</v>
      </c>
      <c r="L41" s="31" t="s">
        <v>37</v>
      </c>
      <c r="M41" s="30">
        <f t="shared" si="6"/>
        <v>140778.36939009506</v>
      </c>
      <c r="N41" s="29">
        <f t="shared" si="7"/>
        <v>450246.87737990182</v>
      </c>
      <c r="O41" s="28">
        <f t="shared" si="8"/>
        <v>1738.8145044143143</v>
      </c>
      <c r="P41" s="326">
        <f t="shared" si="10"/>
        <v>592764.06127441116</v>
      </c>
      <c r="Q41" s="384">
        <f t="shared" si="9"/>
        <v>3.6147321136897038E-2</v>
      </c>
      <c r="S41" s="26"/>
      <c r="T41" s="26"/>
      <c r="U41" s="26"/>
      <c r="V41" s="26"/>
      <c r="W41" s="26"/>
      <c r="X41" s="26"/>
      <c r="Y41" s="26"/>
      <c r="Z41" s="26"/>
    </row>
    <row r="42" spans="1:26">
      <c r="A42" s="31" t="s">
        <v>38</v>
      </c>
      <c r="B42" s="30">
        <v>59084249</v>
      </c>
      <c r="C42" s="29">
        <v>16891683.199999999</v>
      </c>
      <c r="D42" s="339">
        <f t="shared" si="0"/>
        <v>0.2858914767622755</v>
      </c>
      <c r="E42" s="35">
        <f t="shared" si="1"/>
        <v>2.1065262347624389E-2</v>
      </c>
      <c r="F42" s="71">
        <v>15135193.17</v>
      </c>
      <c r="G42" s="325">
        <f t="shared" si="2"/>
        <v>0.1160533605531775</v>
      </c>
      <c r="H42" s="33">
        <f t="shared" si="3"/>
        <v>0.1160533605531775</v>
      </c>
      <c r="I42" s="27">
        <f t="shared" si="4"/>
        <v>4.0556947899307347E-2</v>
      </c>
      <c r="J42" s="32">
        <f t="shared" si="5"/>
        <v>8.1039787171230393E-3</v>
      </c>
      <c r="L42" s="31" t="s">
        <v>38</v>
      </c>
      <c r="M42" s="30">
        <f t="shared" si="6"/>
        <v>172719.99789001039</v>
      </c>
      <c r="N42" s="29">
        <f t="shared" si="7"/>
        <v>199522.67880633179</v>
      </c>
      <c r="O42" s="28">
        <f t="shared" si="8"/>
        <v>26578.718343472847</v>
      </c>
      <c r="P42" s="326">
        <f t="shared" si="10"/>
        <v>398821.39503981505</v>
      </c>
      <c r="Q42" s="384">
        <f t="shared" si="9"/>
        <v>2.4320511287029004E-2</v>
      </c>
      <c r="S42" s="26"/>
      <c r="T42" s="26"/>
      <c r="U42" s="26"/>
      <c r="V42" s="26"/>
      <c r="W42" s="26"/>
      <c r="X42" s="26"/>
      <c r="Y42" s="26"/>
      <c r="Z42" s="26"/>
    </row>
    <row r="43" spans="1:26">
      <c r="A43" s="31" t="s">
        <v>39</v>
      </c>
      <c r="B43" s="30"/>
      <c r="C43" s="29"/>
      <c r="D43" s="339">
        <f t="shared" si="0"/>
        <v>0</v>
      </c>
      <c r="E43" s="35">
        <f t="shared" si="1"/>
        <v>0</v>
      </c>
      <c r="F43" s="71">
        <v>0</v>
      </c>
      <c r="G43" s="325">
        <f t="shared" si="2"/>
        <v>0</v>
      </c>
      <c r="H43" s="33">
        <f t="shared" si="3"/>
        <v>0</v>
      </c>
      <c r="I43" s="27">
        <f t="shared" si="4"/>
        <v>0</v>
      </c>
      <c r="J43" s="32">
        <f t="shared" si="5"/>
        <v>0</v>
      </c>
      <c r="L43" s="31" t="s">
        <v>39</v>
      </c>
      <c r="M43" s="30">
        <f t="shared" si="6"/>
        <v>0</v>
      </c>
      <c r="N43" s="29">
        <f t="shared" si="7"/>
        <v>0</v>
      </c>
      <c r="O43" s="28">
        <f t="shared" si="8"/>
        <v>0</v>
      </c>
      <c r="P43" s="326">
        <f t="shared" si="10"/>
        <v>0</v>
      </c>
      <c r="Q43" s="384">
        <f t="shared" si="9"/>
        <v>0</v>
      </c>
      <c r="S43" s="26"/>
      <c r="T43" s="26"/>
      <c r="U43" s="26"/>
      <c r="V43" s="26"/>
      <c r="W43" s="26"/>
      <c r="X43" s="26"/>
      <c r="Y43" s="26"/>
      <c r="Z43" s="26"/>
    </row>
    <row r="44" spans="1:26">
      <c r="A44" s="31" t="s">
        <v>40</v>
      </c>
      <c r="B44" s="30">
        <v>1346236</v>
      </c>
      <c r="C44" s="29">
        <v>451420</v>
      </c>
      <c r="D44" s="339">
        <f t="shared" si="0"/>
        <v>0.33532010732145034</v>
      </c>
      <c r="E44" s="35">
        <f t="shared" si="1"/>
        <v>2.4707298416711626E-2</v>
      </c>
      <c r="F44" s="71">
        <v>468889</v>
      </c>
      <c r="G44" s="325">
        <f t="shared" si="2"/>
        <v>-3.7256152308968615E-2</v>
      </c>
      <c r="H44" s="33">
        <f t="shared" si="3"/>
        <v>0</v>
      </c>
      <c r="I44" s="27">
        <f t="shared" si="4"/>
        <v>0</v>
      </c>
      <c r="J44" s="32">
        <f t="shared" si="5"/>
        <v>2.1657392156654244E-4</v>
      </c>
      <c r="L44" s="31" t="s">
        <v>40</v>
      </c>
      <c r="M44" s="30">
        <f t="shared" si="6"/>
        <v>202582.07374680741</v>
      </c>
      <c r="N44" s="29">
        <f t="shared" si="7"/>
        <v>0</v>
      </c>
      <c r="O44" s="28">
        <f t="shared" si="8"/>
        <v>710.30014549470786</v>
      </c>
      <c r="P44" s="326">
        <f t="shared" si="10"/>
        <v>203292.3738923021</v>
      </c>
      <c r="Q44" s="384">
        <f t="shared" si="9"/>
        <v>1.2396963992669119E-2</v>
      </c>
      <c r="S44" s="26"/>
      <c r="T44" s="26"/>
      <c r="U44" s="26"/>
      <c r="V44" s="26"/>
      <c r="W44" s="26"/>
      <c r="X44" s="26"/>
      <c r="Y44" s="26"/>
      <c r="Z44" s="26"/>
    </row>
    <row r="45" spans="1:26">
      <c r="A45" s="31" t="s">
        <v>41</v>
      </c>
      <c r="B45" s="30">
        <v>105243330.84</v>
      </c>
      <c r="C45" s="29">
        <v>17252658</v>
      </c>
      <c r="D45" s="339">
        <f t="shared" si="0"/>
        <v>0.16393112857886435</v>
      </c>
      <c r="E45" s="35">
        <f t="shared" si="1"/>
        <v>1.2078891856322714E-2</v>
      </c>
      <c r="F45" s="71">
        <v>15857010</v>
      </c>
      <c r="G45" s="325">
        <f t="shared" si="2"/>
        <v>8.8014575257252092E-2</v>
      </c>
      <c r="H45" s="33">
        <f t="shared" si="3"/>
        <v>8.8014575257252092E-2</v>
      </c>
      <c r="I45" s="27">
        <f t="shared" si="4"/>
        <v>3.0758286757688415E-2</v>
      </c>
      <c r="J45" s="32">
        <f t="shared" si="5"/>
        <v>8.277160516827746E-3</v>
      </c>
      <c r="L45" s="31" t="s">
        <v>41</v>
      </c>
      <c r="M45" s="30">
        <f t="shared" si="6"/>
        <v>99038.224234268753</v>
      </c>
      <c r="N45" s="29">
        <f t="shared" si="7"/>
        <v>151317.49520757512</v>
      </c>
      <c r="O45" s="28">
        <f t="shared" si="8"/>
        <v>27146.704814962643</v>
      </c>
      <c r="P45" s="326">
        <f t="shared" si="10"/>
        <v>277502.42425680649</v>
      </c>
      <c r="Q45" s="384">
        <f t="shared" si="9"/>
        <v>1.6922364058833426E-2</v>
      </c>
      <c r="S45" s="26"/>
      <c r="T45" s="26"/>
      <c r="U45" s="26"/>
      <c r="V45" s="26"/>
      <c r="W45" s="26"/>
      <c r="X45" s="26"/>
      <c r="Y45" s="26"/>
      <c r="Z45" s="26"/>
    </row>
    <row r="46" spans="1:26">
      <c r="A46" s="31" t="s">
        <v>42</v>
      </c>
      <c r="B46" s="30">
        <v>7778604</v>
      </c>
      <c r="C46" s="29">
        <v>1075933</v>
      </c>
      <c r="D46" s="339">
        <f t="shared" si="0"/>
        <v>0.13831954936901275</v>
      </c>
      <c r="E46" s="35">
        <f t="shared" si="1"/>
        <v>1.0191760972595446E-2</v>
      </c>
      <c r="F46" s="71">
        <v>1139783</v>
      </c>
      <c r="G46" s="325">
        <f t="shared" si="2"/>
        <v>-5.6019435278469643E-2</v>
      </c>
      <c r="H46" s="33">
        <f t="shared" si="3"/>
        <v>0</v>
      </c>
      <c r="I46" s="27">
        <f t="shared" si="4"/>
        <v>0</v>
      </c>
      <c r="J46" s="32">
        <f t="shared" si="5"/>
        <v>5.1619119479166787E-4</v>
      </c>
      <c r="L46" s="31" t="s">
        <v>42</v>
      </c>
      <c r="M46" s="30">
        <f t="shared" si="6"/>
        <v>83565.108501043374</v>
      </c>
      <c r="N46" s="29">
        <f t="shared" si="7"/>
        <v>0</v>
      </c>
      <c r="O46" s="28">
        <f t="shared" si="8"/>
        <v>1692.9585894345787</v>
      </c>
      <c r="P46" s="326">
        <f t="shared" si="10"/>
        <v>85258.067090477954</v>
      </c>
      <c r="Q46" s="384">
        <f t="shared" si="9"/>
        <v>5.1991187252560566E-3</v>
      </c>
      <c r="S46" s="26"/>
      <c r="T46" s="26"/>
      <c r="U46" s="26"/>
      <c r="V46" s="26"/>
      <c r="W46" s="26"/>
      <c r="X46" s="26"/>
      <c r="Y46" s="26"/>
      <c r="Z46" s="26"/>
    </row>
    <row r="47" spans="1:26">
      <c r="A47" s="31" t="s">
        <v>43</v>
      </c>
      <c r="B47" s="30">
        <v>938475</v>
      </c>
      <c r="C47" s="29">
        <v>222448</v>
      </c>
      <c r="D47" s="339">
        <f t="shared" si="0"/>
        <v>0.23703135405844589</v>
      </c>
      <c r="E47" s="35">
        <f t="shared" si="1"/>
        <v>1.7465115485082096E-2</v>
      </c>
      <c r="F47" s="71">
        <v>622808</v>
      </c>
      <c r="G47" s="325">
        <f t="shared" si="2"/>
        <v>-0.64283053525324019</v>
      </c>
      <c r="H47" s="33">
        <f t="shared" si="3"/>
        <v>0</v>
      </c>
      <c r="I47" s="27">
        <f t="shared" si="4"/>
        <v>0</v>
      </c>
      <c r="J47" s="32">
        <f t="shared" si="5"/>
        <v>1.0672197887695325E-4</v>
      </c>
      <c r="L47" s="31" t="s">
        <v>43</v>
      </c>
      <c r="M47" s="30">
        <f t="shared" si="6"/>
        <v>143201.38339375384</v>
      </c>
      <c r="N47" s="29">
        <f t="shared" si="7"/>
        <v>0</v>
      </c>
      <c r="O47" s="28">
        <f t="shared" si="8"/>
        <v>350.01738240442779</v>
      </c>
      <c r="P47" s="326">
        <f t="shared" si="10"/>
        <v>143551.40077615826</v>
      </c>
      <c r="Q47" s="384">
        <f t="shared" si="9"/>
        <v>8.7539021383164373E-3</v>
      </c>
      <c r="S47" s="26"/>
      <c r="T47" s="26"/>
      <c r="U47" s="26"/>
      <c r="V47" s="26"/>
      <c r="W47" s="26"/>
      <c r="X47" s="26"/>
      <c r="Y47" s="26"/>
      <c r="Z47" s="26"/>
    </row>
    <row r="48" spans="1:26">
      <c r="A48" s="31" t="s">
        <v>44</v>
      </c>
      <c r="B48" s="30">
        <v>19310735</v>
      </c>
      <c r="C48" s="29">
        <v>7881801</v>
      </c>
      <c r="D48" s="339">
        <f t="shared" si="0"/>
        <v>0.4081564476960613</v>
      </c>
      <c r="E48" s="35">
        <f t="shared" si="1"/>
        <v>3.0074078272509359E-2</v>
      </c>
      <c r="F48" s="71">
        <v>9313018</v>
      </c>
      <c r="G48" s="325">
        <f t="shared" si="2"/>
        <v>-0.15367918326798036</v>
      </c>
      <c r="H48" s="33">
        <f t="shared" si="3"/>
        <v>0</v>
      </c>
      <c r="I48" s="27">
        <f t="shared" si="4"/>
        <v>0</v>
      </c>
      <c r="J48" s="32">
        <f t="shared" si="5"/>
        <v>3.7813844126912757E-3</v>
      </c>
      <c r="L48" s="31" t="s">
        <v>44</v>
      </c>
      <c r="M48" s="30">
        <f t="shared" si="6"/>
        <v>246585.80795494418</v>
      </c>
      <c r="N48" s="29">
        <f t="shared" si="7"/>
        <v>0</v>
      </c>
      <c r="O48" s="28">
        <f t="shared" si="8"/>
        <v>12401.85281347821</v>
      </c>
      <c r="P48" s="326">
        <f t="shared" si="10"/>
        <v>258987.66076842239</v>
      </c>
      <c r="Q48" s="384">
        <f t="shared" si="9"/>
        <v>1.5793316018792934E-2</v>
      </c>
      <c r="S48" s="26"/>
      <c r="T48" s="26"/>
      <c r="U48" s="26"/>
      <c r="V48" s="26"/>
      <c r="W48" s="26"/>
      <c r="X48" s="26"/>
      <c r="Y48" s="26"/>
      <c r="Z48" s="26"/>
    </row>
    <row r="49" spans="1:26">
      <c r="A49" s="31" t="s">
        <v>45</v>
      </c>
      <c r="B49" s="30">
        <v>125378961.84</v>
      </c>
      <c r="C49" s="29">
        <v>19038713.890000001</v>
      </c>
      <c r="D49" s="339">
        <f t="shared" si="0"/>
        <v>0.15184935024662188</v>
      </c>
      <c r="E49" s="35">
        <f t="shared" si="1"/>
        <v>1.1188673536151671E-2</v>
      </c>
      <c r="F49" s="71">
        <v>20380807</v>
      </c>
      <c r="G49" s="325">
        <f t="shared" si="2"/>
        <v>-6.5850832599513853E-2</v>
      </c>
      <c r="H49" s="33">
        <f t="shared" si="3"/>
        <v>0</v>
      </c>
      <c r="I49" s="27">
        <f t="shared" si="4"/>
        <v>0</v>
      </c>
      <c r="J49" s="32">
        <f t="shared" si="5"/>
        <v>9.1340413112859474E-3</v>
      </c>
      <c r="L49" s="31" t="s">
        <v>45</v>
      </c>
      <c r="M49" s="30">
        <f t="shared" si="6"/>
        <v>91739.074390121139</v>
      </c>
      <c r="N49" s="29">
        <f t="shared" si="7"/>
        <v>0</v>
      </c>
      <c r="O49" s="28">
        <f t="shared" si="8"/>
        <v>29957.027260863757</v>
      </c>
      <c r="P49" s="326">
        <f t="shared" si="10"/>
        <v>121696.1016509849</v>
      </c>
      <c r="Q49" s="384">
        <f t="shared" si="9"/>
        <v>7.4211450303330248E-3</v>
      </c>
      <c r="S49" s="26"/>
      <c r="T49" s="26"/>
      <c r="U49" s="26"/>
      <c r="V49" s="26"/>
      <c r="W49" s="26"/>
      <c r="X49" s="26"/>
      <c r="Y49" s="26"/>
      <c r="Z49" s="26"/>
    </row>
    <row r="50" spans="1:26">
      <c r="A50" s="31" t="s">
        <v>46</v>
      </c>
      <c r="B50" s="30">
        <v>658439418</v>
      </c>
      <c r="C50" s="29">
        <v>306694612.58999997</v>
      </c>
      <c r="D50" s="339">
        <f t="shared" si="0"/>
        <v>0.46579017629530794</v>
      </c>
      <c r="E50" s="35">
        <f t="shared" si="1"/>
        <v>3.4320688303575229E-2</v>
      </c>
      <c r="F50" s="71">
        <v>291911120</v>
      </c>
      <c r="G50" s="325">
        <f t="shared" si="2"/>
        <v>5.0643814425431977E-2</v>
      </c>
      <c r="H50" s="33">
        <f t="shared" si="3"/>
        <v>5.0643814425431977E-2</v>
      </c>
      <c r="I50" s="27">
        <f t="shared" si="4"/>
        <v>1.7698397817039326E-2</v>
      </c>
      <c r="J50" s="32">
        <f t="shared" si="5"/>
        <v>0.14714025734780864</v>
      </c>
      <c r="L50" s="31" t="s">
        <v>46</v>
      </c>
      <c r="M50" s="30">
        <f t="shared" si="6"/>
        <v>281404.95539784845</v>
      </c>
      <c r="N50" s="29">
        <f t="shared" si="7"/>
        <v>87068.478422069064</v>
      </c>
      <c r="O50" s="28">
        <f t="shared" si="8"/>
        <v>482577.70578423655</v>
      </c>
      <c r="P50" s="326">
        <f t="shared" si="10"/>
        <v>851051.13960415404</v>
      </c>
      <c r="Q50" s="384">
        <f t="shared" si="9"/>
        <v>5.1897914966461137E-2</v>
      </c>
      <c r="S50" s="26"/>
      <c r="T50" s="26"/>
      <c r="U50" s="26"/>
      <c r="V50" s="26"/>
      <c r="W50" s="26"/>
      <c r="X50" s="26"/>
      <c r="Y50" s="26"/>
      <c r="Z50" s="26"/>
    </row>
    <row r="51" spans="1:26">
      <c r="A51" s="31" t="s">
        <v>47</v>
      </c>
      <c r="B51" s="30">
        <v>1139151243</v>
      </c>
      <c r="C51" s="29">
        <v>671271036.40999997</v>
      </c>
      <c r="D51" s="339">
        <f t="shared" si="0"/>
        <v>0.58927297014765223</v>
      </c>
      <c r="E51" s="35">
        <f t="shared" si="1"/>
        <v>4.3419236736623477E-2</v>
      </c>
      <c r="F51" s="71">
        <v>707374780.13</v>
      </c>
      <c r="G51" s="325">
        <f t="shared" si="2"/>
        <v>-5.1039059822524324E-2</v>
      </c>
      <c r="H51" s="33">
        <f t="shared" si="3"/>
        <v>0</v>
      </c>
      <c r="I51" s="27">
        <f t="shared" si="4"/>
        <v>0</v>
      </c>
      <c r="J51" s="32">
        <f t="shared" si="5"/>
        <v>0.32204997738104424</v>
      </c>
      <c r="L51" s="31" t="s">
        <v>47</v>
      </c>
      <c r="M51" s="30">
        <f t="shared" si="6"/>
        <v>356006.5074803686</v>
      </c>
      <c r="N51" s="29">
        <f t="shared" si="7"/>
        <v>0</v>
      </c>
      <c r="O51" s="28">
        <f t="shared" si="8"/>
        <v>1056231.2587577119</v>
      </c>
      <c r="P51" s="326">
        <f t="shared" si="10"/>
        <v>1412237.7662380803</v>
      </c>
      <c r="Q51" s="384">
        <f t="shared" si="9"/>
        <v>8.6119613844520562E-2</v>
      </c>
      <c r="S51" s="26"/>
      <c r="T51" s="26"/>
      <c r="U51" s="26"/>
      <c r="V51" s="26"/>
      <c r="W51" s="26"/>
      <c r="X51" s="26"/>
      <c r="Y51" s="26"/>
      <c r="Z51" s="26"/>
    </row>
    <row r="52" spans="1:26">
      <c r="A52" s="31" t="s">
        <v>48</v>
      </c>
      <c r="B52" s="30">
        <v>289861941.84000015</v>
      </c>
      <c r="C52" s="29">
        <v>112141719.38</v>
      </c>
      <c r="D52" s="339">
        <f t="shared" si="0"/>
        <v>0.38687976306286082</v>
      </c>
      <c r="E52" s="35">
        <f t="shared" si="1"/>
        <v>2.8506354222943786E-2</v>
      </c>
      <c r="F52" s="71">
        <v>114179634.2</v>
      </c>
      <c r="G52" s="325">
        <f t="shared" si="2"/>
        <v>-1.7848321500402942E-2</v>
      </c>
      <c r="H52" s="33">
        <f t="shared" si="3"/>
        <v>0</v>
      </c>
      <c r="I52" s="27">
        <f t="shared" si="4"/>
        <v>0</v>
      </c>
      <c r="J52" s="32">
        <f t="shared" si="5"/>
        <v>5.3801275834790954E-2</v>
      </c>
      <c r="L52" s="31" t="s">
        <v>48</v>
      </c>
      <c r="M52" s="30">
        <f t="shared" si="6"/>
        <v>233731.59849556751</v>
      </c>
      <c r="N52" s="29">
        <f t="shared" si="7"/>
        <v>0</v>
      </c>
      <c r="O52" s="28">
        <f t="shared" si="8"/>
        <v>176452.70389358181</v>
      </c>
      <c r="P52" s="326">
        <f t="shared" si="10"/>
        <v>410184.30238914932</v>
      </c>
      <c r="Q52" s="384">
        <f t="shared" si="9"/>
        <v>2.5013432278430083E-2</v>
      </c>
      <c r="S52" s="26"/>
      <c r="T52" s="26"/>
      <c r="U52" s="26"/>
      <c r="V52" s="26"/>
      <c r="W52" s="26"/>
      <c r="X52" s="26"/>
      <c r="Y52" s="26"/>
      <c r="Z52" s="26"/>
    </row>
    <row r="53" spans="1:26">
      <c r="A53" s="31" t="s">
        <v>49</v>
      </c>
      <c r="B53" s="30">
        <v>198838484.40000001</v>
      </c>
      <c r="C53" s="29">
        <v>85362095.170000002</v>
      </c>
      <c r="D53" s="339">
        <f t="shared" si="0"/>
        <v>0.4293036905183733</v>
      </c>
      <c r="E53" s="35">
        <f t="shared" si="1"/>
        <v>3.1632264697043236E-2</v>
      </c>
      <c r="F53" s="71">
        <v>77757928.799999997</v>
      </c>
      <c r="G53" s="325">
        <f t="shared" si="2"/>
        <v>9.7792810165489019E-2</v>
      </c>
      <c r="H53" s="33">
        <f t="shared" si="3"/>
        <v>9.7792810165489019E-2</v>
      </c>
      <c r="I53" s="27">
        <f t="shared" si="4"/>
        <v>3.4175467973555369E-2</v>
      </c>
      <c r="J53" s="32">
        <f t="shared" si="5"/>
        <v>4.0953444030178796E-2</v>
      </c>
      <c r="L53" s="31" t="s">
        <v>49</v>
      </c>
      <c r="M53" s="30">
        <f t="shared" si="6"/>
        <v>259361.81574998048</v>
      </c>
      <c r="N53" s="29">
        <f t="shared" si="7"/>
        <v>168128.55189382288</v>
      </c>
      <c r="O53" s="28">
        <f t="shared" si="8"/>
        <v>134315.51242520069</v>
      </c>
      <c r="P53" s="326">
        <f t="shared" si="10"/>
        <v>561805.88006900402</v>
      </c>
      <c r="Q53" s="384">
        <f t="shared" si="9"/>
        <v>3.425946154662398E-2</v>
      </c>
      <c r="S53" s="26"/>
      <c r="T53" s="26"/>
      <c r="U53" s="26"/>
      <c r="V53" s="26"/>
      <c r="W53" s="26"/>
      <c r="X53" s="26"/>
      <c r="Y53" s="26"/>
      <c r="Z53" s="26"/>
    </row>
    <row r="54" spans="1:26">
      <c r="A54" s="31" t="s">
        <v>50</v>
      </c>
      <c r="B54" s="30">
        <v>4541705</v>
      </c>
      <c r="C54" s="29">
        <v>1456869</v>
      </c>
      <c r="D54" s="339">
        <f t="shared" si="0"/>
        <v>0.32077578794747785</v>
      </c>
      <c r="E54" s="35">
        <f t="shared" si="1"/>
        <v>2.3635633368315909E-2</v>
      </c>
      <c r="F54" s="71">
        <v>1324391</v>
      </c>
      <c r="G54" s="325">
        <f t="shared" si="2"/>
        <v>0.10002937199059803</v>
      </c>
      <c r="H54" s="33">
        <f t="shared" si="3"/>
        <v>0.10002937199059803</v>
      </c>
      <c r="I54" s="27">
        <f t="shared" si="4"/>
        <v>3.4957074994516751E-2</v>
      </c>
      <c r="J54" s="32">
        <f t="shared" si="5"/>
        <v>6.989496090973531E-4</v>
      </c>
      <c r="L54" s="31" t="s">
        <v>50</v>
      </c>
      <c r="M54" s="30">
        <f t="shared" si="6"/>
        <v>193795.19125547301</v>
      </c>
      <c r="N54" s="29">
        <f t="shared" si="7"/>
        <v>171973.72108612087</v>
      </c>
      <c r="O54" s="28">
        <f t="shared" si="8"/>
        <v>2292.3536012288546</v>
      </c>
      <c r="P54" s="326">
        <f t="shared" si="10"/>
        <v>368061.26594282273</v>
      </c>
      <c r="Q54" s="384">
        <f t="shared" si="9"/>
        <v>2.2444729104332446E-2</v>
      </c>
      <c r="S54" s="26"/>
      <c r="T54" s="26"/>
      <c r="U54" s="26"/>
      <c r="V54" s="26"/>
      <c r="W54" s="26"/>
      <c r="X54" s="26"/>
      <c r="Y54" s="26"/>
      <c r="Z54" s="26"/>
    </row>
    <row r="55" spans="1:26">
      <c r="A55" s="31" t="s">
        <v>51</v>
      </c>
      <c r="B55" s="30">
        <v>3020813</v>
      </c>
      <c r="C55" s="29">
        <v>668168</v>
      </c>
      <c r="D55" s="339">
        <f t="shared" si="0"/>
        <v>0.22118813710084007</v>
      </c>
      <c r="E55" s="35">
        <f t="shared" si="1"/>
        <v>1.6297744126474539E-2</v>
      </c>
      <c r="F55" s="71">
        <v>606247</v>
      </c>
      <c r="G55" s="325">
        <f t="shared" si="2"/>
        <v>0.10213823738509231</v>
      </c>
      <c r="H55" s="33">
        <f t="shared" si="3"/>
        <v>0.10213823738509231</v>
      </c>
      <c r="I55" s="27">
        <f t="shared" si="4"/>
        <v>3.5694056185957272E-2</v>
      </c>
      <c r="J55" s="32">
        <f t="shared" si="5"/>
        <v>3.2056126007991124E-4</v>
      </c>
      <c r="L55" s="31" t="s">
        <v>51</v>
      </c>
      <c r="M55" s="30">
        <f t="shared" si="6"/>
        <v>133629.77800530757</v>
      </c>
      <c r="N55" s="29">
        <f t="shared" si="7"/>
        <v>175599.35045821193</v>
      </c>
      <c r="O55" s="28">
        <f t="shared" si="8"/>
        <v>1051.3486943753223</v>
      </c>
      <c r="P55" s="326">
        <f t="shared" si="10"/>
        <v>310280.47715789481</v>
      </c>
      <c r="Q55" s="384">
        <f t="shared" si="9"/>
        <v>1.892120117104043E-2</v>
      </c>
      <c r="S55" s="26"/>
      <c r="T55" s="26"/>
      <c r="U55" s="26"/>
      <c r="V55" s="26"/>
      <c r="W55" s="26"/>
      <c r="X55" s="26"/>
      <c r="Y55" s="26"/>
      <c r="Z55" s="26"/>
    </row>
    <row r="56" spans="1:26" ht="13.5" thickBot="1">
      <c r="A56" s="340" t="s">
        <v>52</v>
      </c>
      <c r="B56" s="341">
        <f>SUM(B5:B55)</f>
        <v>5122664860.750001</v>
      </c>
      <c r="C56" s="342">
        <f>SUM(C5:C55)</f>
        <v>2084369146.27</v>
      </c>
      <c r="D56" s="343">
        <f>SUM(D5:D55)</f>
        <v>13.571702646965447</v>
      </c>
      <c r="E56" s="344">
        <f>SUM(E5:E55)</f>
        <v>1</v>
      </c>
      <c r="F56" s="345">
        <f>SUM(F5:F55)</f>
        <v>2153395867.8800001</v>
      </c>
      <c r="G56" s="346"/>
      <c r="H56" s="347">
        <f>SUM(H5:H55)</f>
        <v>2.8614914722209539</v>
      </c>
      <c r="I56" s="348">
        <f>SUM(I5:I55)</f>
        <v>0.99999999999999989</v>
      </c>
      <c r="J56" s="349">
        <f>SUM(J5:J55)</f>
        <v>1</v>
      </c>
      <c r="L56" s="340" t="s">
        <v>52</v>
      </c>
      <c r="M56" s="350">
        <f>SUM(M5:M55)</f>
        <v>8199280.6469599307</v>
      </c>
      <c r="N56" s="345">
        <f>SUM(N5:N55)</f>
        <v>4919568.3881759588</v>
      </c>
      <c r="O56" s="351">
        <f>SUM(O5:O55)</f>
        <v>3279712.2587839724</v>
      </c>
      <c r="P56" s="352">
        <f>SUM(P5:P55)</f>
        <v>16398561.293919865</v>
      </c>
      <c r="Q56" s="385">
        <f>SUM(Q5:Q55)</f>
        <v>0.99999999999999978</v>
      </c>
      <c r="S56" s="26"/>
      <c r="T56" s="26"/>
      <c r="U56" s="26"/>
      <c r="V56" s="26"/>
      <c r="W56" s="26"/>
      <c r="X56" s="26"/>
      <c r="Y56" s="26"/>
      <c r="Z56" s="26"/>
    </row>
    <row r="57" spans="1:26" ht="13.5" thickTop="1"/>
    <row r="59" spans="1:26">
      <c r="L59" s="430" t="s">
        <v>152</v>
      </c>
      <c r="M59" s="430"/>
      <c r="N59" s="430"/>
      <c r="O59" s="430"/>
      <c r="P59" s="430"/>
      <c r="Q59" s="430"/>
    </row>
    <row r="60" spans="1:26">
      <c r="L60" s="430"/>
      <c r="M60" s="430"/>
      <c r="N60" s="430"/>
      <c r="O60" s="430"/>
      <c r="P60" s="430"/>
      <c r="Q60" s="430"/>
    </row>
    <row r="61" spans="1:26">
      <c r="L61" s="430"/>
      <c r="M61" s="430"/>
      <c r="N61" s="430"/>
      <c r="O61" s="430"/>
      <c r="P61" s="430"/>
      <c r="Q61" s="430"/>
    </row>
    <row r="62" spans="1:26">
      <c r="L62" s="430"/>
      <c r="M62" s="430"/>
      <c r="N62" s="430"/>
      <c r="O62" s="430"/>
      <c r="P62" s="430"/>
      <c r="Q62" s="430"/>
    </row>
    <row r="63" spans="1:26">
      <c r="L63" s="430"/>
      <c r="M63" s="430"/>
      <c r="N63" s="430"/>
      <c r="O63" s="430"/>
      <c r="P63" s="430"/>
      <c r="Q63" s="430"/>
    </row>
    <row r="64" spans="1:26">
      <c r="A64" s="180"/>
      <c r="B64" s="180"/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</row>
    <row r="65" spans="1:22">
      <c r="A65" s="180"/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</row>
    <row r="66" spans="1:22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</row>
    <row r="67" spans="1:22">
      <c r="A67" s="180"/>
      <c r="B67" s="180"/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</row>
    <row r="68" spans="1:22">
      <c r="A68" s="181"/>
      <c r="B68" s="431"/>
      <c r="C68" s="431"/>
      <c r="D68" s="431"/>
      <c r="E68" s="431"/>
      <c r="F68" s="431"/>
      <c r="G68" s="431"/>
      <c r="H68" s="431"/>
      <c r="I68" s="431"/>
      <c r="J68" s="182"/>
      <c r="K68" s="180"/>
      <c r="L68" s="432"/>
      <c r="M68" s="432"/>
      <c r="N68" s="432"/>
      <c r="O68" s="432"/>
      <c r="P68" s="432"/>
      <c r="Q68" s="432"/>
      <c r="R68" s="180"/>
      <c r="S68" s="180"/>
      <c r="T68" s="180"/>
      <c r="U68" s="180"/>
      <c r="V68" s="180"/>
    </row>
    <row r="69" spans="1:22">
      <c r="A69" s="336"/>
      <c r="B69" s="182"/>
      <c r="C69" s="182"/>
      <c r="D69" s="182"/>
      <c r="E69" s="182"/>
      <c r="F69" s="182"/>
      <c r="G69" s="182"/>
      <c r="H69" s="182"/>
      <c r="I69" s="182"/>
      <c r="J69" s="182"/>
      <c r="K69" s="180"/>
      <c r="L69" s="336"/>
      <c r="M69" s="182"/>
      <c r="N69" s="182"/>
      <c r="O69" s="182"/>
      <c r="P69" s="182"/>
      <c r="Q69" s="182"/>
      <c r="R69" s="180"/>
      <c r="S69" s="180"/>
      <c r="T69" s="180"/>
      <c r="U69" s="180"/>
      <c r="V69" s="180"/>
    </row>
    <row r="70" spans="1:22">
      <c r="A70" s="181"/>
      <c r="B70" s="183"/>
      <c r="C70" s="183"/>
      <c r="D70" s="183"/>
      <c r="E70" s="183"/>
      <c r="F70" s="183"/>
      <c r="G70" s="183"/>
      <c r="H70" s="183"/>
      <c r="I70" s="183"/>
      <c r="J70" s="183"/>
      <c r="K70" s="180"/>
      <c r="L70" s="180"/>
      <c r="M70" s="184"/>
      <c r="N70" s="184"/>
      <c r="O70" s="184"/>
      <c r="P70" s="184"/>
      <c r="Q70" s="180"/>
      <c r="R70" s="180"/>
      <c r="S70" s="180"/>
      <c r="T70" s="180"/>
      <c r="U70" s="180"/>
      <c r="V70" s="180"/>
    </row>
    <row r="71" spans="1:22">
      <c r="A71" s="180"/>
      <c r="B71" s="180"/>
      <c r="C71" s="180"/>
      <c r="D71" s="180"/>
      <c r="E71" s="180"/>
      <c r="F71" s="185"/>
      <c r="G71" s="181"/>
      <c r="H71" s="181"/>
      <c r="I71" s="181"/>
      <c r="J71" s="180"/>
      <c r="K71" s="180"/>
      <c r="L71" s="180"/>
      <c r="M71" s="353"/>
      <c r="N71" s="353"/>
      <c r="O71" s="353"/>
      <c r="P71" s="186"/>
      <c r="Q71" s="186"/>
      <c r="R71" s="180"/>
      <c r="S71" s="180"/>
      <c r="T71" s="180"/>
      <c r="U71" s="180"/>
      <c r="V71" s="180"/>
    </row>
    <row r="72" spans="1:22">
      <c r="A72" s="181"/>
      <c r="B72" s="29"/>
      <c r="C72" s="29"/>
      <c r="D72" s="339"/>
      <c r="E72" s="33"/>
      <c r="F72" s="29"/>
      <c r="G72" s="34"/>
      <c r="H72" s="33"/>
      <c r="I72" s="187"/>
      <c r="J72" s="188"/>
      <c r="K72" s="180"/>
      <c r="L72" s="181"/>
      <c r="M72" s="71"/>
      <c r="N72" s="71"/>
      <c r="O72" s="71"/>
      <c r="P72" s="71"/>
      <c r="Q72" s="189"/>
      <c r="R72" s="180"/>
      <c r="S72" s="180"/>
      <c r="T72" s="180"/>
      <c r="U72" s="180"/>
      <c r="V72" s="180"/>
    </row>
    <row r="73" spans="1:22">
      <c r="A73" s="181"/>
      <c r="B73" s="29"/>
      <c r="C73" s="29"/>
      <c r="D73" s="339"/>
      <c r="E73" s="33"/>
      <c r="F73" s="29"/>
      <c r="G73" s="34"/>
      <c r="H73" s="33"/>
      <c r="I73" s="187"/>
      <c r="J73" s="188"/>
      <c r="K73" s="180"/>
      <c r="L73" s="181"/>
      <c r="M73" s="71"/>
      <c r="N73" s="71"/>
      <c r="O73" s="71"/>
      <c r="P73" s="189"/>
      <c r="Q73" s="189"/>
      <c r="R73" s="180"/>
      <c r="S73" s="180"/>
      <c r="T73" s="180"/>
      <c r="U73" s="180"/>
      <c r="V73" s="180"/>
    </row>
    <row r="74" spans="1:22">
      <c r="A74" s="181"/>
      <c r="B74" s="29"/>
      <c r="C74" s="29"/>
      <c r="D74" s="339"/>
      <c r="E74" s="33"/>
      <c r="F74" s="29"/>
      <c r="G74" s="34"/>
      <c r="H74" s="33"/>
      <c r="I74" s="187"/>
      <c r="J74" s="188"/>
      <c r="K74" s="180"/>
      <c r="L74" s="181"/>
      <c r="M74" s="71"/>
      <c r="N74" s="71"/>
      <c r="O74" s="71"/>
      <c r="P74" s="189"/>
      <c r="Q74" s="189"/>
      <c r="R74" s="180"/>
      <c r="S74" s="180"/>
      <c r="T74" s="180"/>
      <c r="U74" s="180"/>
      <c r="V74" s="180"/>
    </row>
    <row r="75" spans="1:22">
      <c r="A75" s="181"/>
      <c r="B75" s="29"/>
      <c r="C75" s="29"/>
      <c r="D75" s="339"/>
      <c r="E75" s="33"/>
      <c r="F75" s="29"/>
      <c r="G75" s="34"/>
      <c r="H75" s="33"/>
      <c r="I75" s="187"/>
      <c r="J75" s="188"/>
      <c r="K75" s="180"/>
      <c r="L75" s="181"/>
      <c r="M75" s="71"/>
      <c r="N75" s="71"/>
      <c r="O75" s="71"/>
      <c r="P75" s="189"/>
      <c r="Q75" s="189"/>
      <c r="R75" s="180"/>
      <c r="S75" s="180"/>
      <c r="T75" s="180"/>
      <c r="U75" s="180"/>
      <c r="V75" s="180"/>
    </row>
    <row r="76" spans="1:22">
      <c r="A76" s="181"/>
      <c r="B76" s="29"/>
      <c r="C76" s="29"/>
      <c r="D76" s="339"/>
      <c r="E76" s="33"/>
      <c r="F76" s="29"/>
      <c r="G76" s="34"/>
      <c r="H76" s="33"/>
      <c r="I76" s="187"/>
      <c r="J76" s="188"/>
      <c r="K76" s="180"/>
      <c r="L76" s="181"/>
      <c r="M76" s="71"/>
      <c r="N76" s="71"/>
      <c r="O76" s="71"/>
      <c r="P76" s="189"/>
      <c r="Q76" s="189"/>
      <c r="R76" s="180"/>
      <c r="S76" s="180"/>
      <c r="T76" s="180"/>
      <c r="U76" s="180"/>
      <c r="V76" s="180"/>
    </row>
    <row r="77" spans="1:22">
      <c r="A77" s="181"/>
      <c r="B77" s="29"/>
      <c r="C77" s="29"/>
      <c r="D77" s="339"/>
      <c r="E77" s="33"/>
      <c r="F77" s="29"/>
      <c r="G77" s="34"/>
      <c r="H77" s="33"/>
      <c r="I77" s="187"/>
      <c r="J77" s="188"/>
      <c r="K77" s="180"/>
      <c r="L77" s="181"/>
      <c r="M77" s="71"/>
      <c r="N77" s="71"/>
      <c r="O77" s="71"/>
      <c r="P77" s="189"/>
      <c r="Q77" s="189"/>
      <c r="R77" s="180"/>
      <c r="S77" s="180"/>
      <c r="T77" s="180"/>
      <c r="U77" s="180"/>
      <c r="V77" s="180"/>
    </row>
    <row r="78" spans="1:22">
      <c r="A78" s="181"/>
      <c r="B78" s="29"/>
      <c r="C78" s="29"/>
      <c r="D78" s="339"/>
      <c r="E78" s="33"/>
      <c r="F78" s="29"/>
      <c r="G78" s="34"/>
      <c r="H78" s="33"/>
      <c r="I78" s="187"/>
      <c r="J78" s="188"/>
      <c r="K78" s="180"/>
      <c r="L78" s="181"/>
      <c r="M78" s="71"/>
      <c r="N78" s="71"/>
      <c r="O78" s="71"/>
      <c r="P78" s="189"/>
      <c r="Q78" s="189"/>
      <c r="R78" s="180"/>
      <c r="S78" s="180"/>
      <c r="T78" s="180"/>
      <c r="U78" s="180"/>
      <c r="V78" s="180"/>
    </row>
    <row r="79" spans="1:22">
      <c r="A79" s="181"/>
      <c r="B79" s="29"/>
      <c r="C79" s="29"/>
      <c r="D79" s="339"/>
      <c r="E79" s="33"/>
      <c r="F79" s="29"/>
      <c r="G79" s="34"/>
      <c r="H79" s="33"/>
      <c r="I79" s="187"/>
      <c r="J79" s="188"/>
      <c r="K79" s="180"/>
      <c r="L79" s="181"/>
      <c r="M79" s="71"/>
      <c r="N79" s="71"/>
      <c r="O79" s="71"/>
      <c r="P79" s="189"/>
      <c r="Q79" s="189"/>
      <c r="R79" s="180"/>
      <c r="S79" s="180"/>
      <c r="T79" s="180"/>
      <c r="U79" s="180"/>
      <c r="V79" s="180"/>
    </row>
    <row r="80" spans="1:22">
      <c r="A80" s="181"/>
      <c r="B80" s="29"/>
      <c r="C80" s="29"/>
      <c r="D80" s="339"/>
      <c r="E80" s="33"/>
      <c r="F80" s="29"/>
      <c r="G80" s="34"/>
      <c r="H80" s="33"/>
      <c r="I80" s="187"/>
      <c r="J80" s="188"/>
      <c r="K80" s="180"/>
      <c r="L80" s="181"/>
      <c r="M80" s="71"/>
      <c r="N80" s="71"/>
      <c r="O80" s="71"/>
      <c r="P80" s="189"/>
      <c r="Q80" s="189"/>
      <c r="R80" s="180"/>
      <c r="S80" s="180"/>
      <c r="T80" s="180"/>
      <c r="U80" s="180"/>
      <c r="V80" s="180"/>
    </row>
    <row r="81" spans="1:22">
      <c r="A81" s="181"/>
      <c r="B81" s="29"/>
      <c r="C81" s="29"/>
      <c r="D81" s="339"/>
      <c r="E81" s="33"/>
      <c r="F81" s="29"/>
      <c r="G81" s="34"/>
      <c r="H81" s="33"/>
      <c r="I81" s="187"/>
      <c r="J81" s="188"/>
      <c r="K81" s="180"/>
      <c r="L81" s="181"/>
      <c r="M81" s="71"/>
      <c r="N81" s="71"/>
      <c r="O81" s="71"/>
      <c r="P81" s="189"/>
      <c r="Q81" s="189"/>
      <c r="R81" s="180"/>
      <c r="S81" s="180"/>
      <c r="T81" s="180"/>
      <c r="U81" s="180"/>
      <c r="V81" s="180"/>
    </row>
    <row r="82" spans="1:22">
      <c r="A82" s="181"/>
      <c r="B82" s="29"/>
      <c r="C82" s="29"/>
      <c r="D82" s="339"/>
      <c r="E82" s="33"/>
      <c r="F82" s="29"/>
      <c r="G82" s="34"/>
      <c r="H82" s="33"/>
      <c r="I82" s="187"/>
      <c r="J82" s="188"/>
      <c r="K82" s="180"/>
      <c r="L82" s="181"/>
      <c r="M82" s="71"/>
      <c r="N82" s="71"/>
      <c r="O82" s="71"/>
      <c r="P82" s="189"/>
      <c r="Q82" s="189"/>
      <c r="R82" s="180"/>
      <c r="S82" s="180"/>
      <c r="T82" s="180"/>
      <c r="U82" s="180"/>
      <c r="V82" s="180"/>
    </row>
    <row r="83" spans="1:22">
      <c r="A83" s="181"/>
      <c r="B83" s="29"/>
      <c r="C83" s="29"/>
      <c r="D83" s="339"/>
      <c r="E83" s="33"/>
      <c r="F83" s="29"/>
      <c r="G83" s="34"/>
      <c r="H83" s="33"/>
      <c r="I83" s="187"/>
      <c r="J83" s="188"/>
      <c r="K83" s="180"/>
      <c r="L83" s="181"/>
      <c r="M83" s="71"/>
      <c r="N83" s="71"/>
      <c r="O83" s="71"/>
      <c r="P83" s="189"/>
      <c r="Q83" s="189"/>
      <c r="R83" s="180"/>
      <c r="S83" s="180"/>
      <c r="T83" s="180"/>
      <c r="U83" s="180"/>
      <c r="V83" s="180"/>
    </row>
    <row r="84" spans="1:22">
      <c r="A84" s="181"/>
      <c r="B84" s="29"/>
      <c r="C84" s="29"/>
      <c r="D84" s="339"/>
      <c r="E84" s="33"/>
      <c r="F84" s="29"/>
      <c r="G84" s="34"/>
      <c r="H84" s="33"/>
      <c r="I84" s="187"/>
      <c r="J84" s="188"/>
      <c r="K84" s="180"/>
      <c r="L84" s="181"/>
      <c r="M84" s="71"/>
      <c r="N84" s="71"/>
      <c r="O84" s="71"/>
      <c r="P84" s="189"/>
      <c r="Q84" s="189"/>
      <c r="R84" s="180"/>
      <c r="S84" s="180"/>
      <c r="T84" s="180"/>
      <c r="U84" s="180"/>
      <c r="V84" s="180"/>
    </row>
    <row r="85" spans="1:22">
      <c r="A85" s="181"/>
      <c r="B85" s="29"/>
      <c r="C85" s="29"/>
      <c r="D85" s="339"/>
      <c r="E85" s="33"/>
      <c r="F85" s="29"/>
      <c r="G85" s="34"/>
      <c r="H85" s="33"/>
      <c r="I85" s="187"/>
      <c r="J85" s="188"/>
      <c r="K85" s="180"/>
      <c r="L85" s="181"/>
      <c r="M85" s="71"/>
      <c r="N85" s="71"/>
      <c r="O85" s="71"/>
      <c r="P85" s="189"/>
      <c r="Q85" s="189"/>
      <c r="R85" s="180"/>
      <c r="S85" s="180"/>
      <c r="T85" s="180"/>
      <c r="U85" s="180"/>
      <c r="V85" s="180"/>
    </row>
    <row r="86" spans="1:22">
      <c r="A86" s="181"/>
      <c r="B86" s="29"/>
      <c r="C86" s="29"/>
      <c r="D86" s="339"/>
      <c r="E86" s="33"/>
      <c r="F86" s="29"/>
      <c r="G86" s="34"/>
      <c r="H86" s="33"/>
      <c r="I86" s="187"/>
      <c r="J86" s="188"/>
      <c r="K86" s="180"/>
      <c r="L86" s="181"/>
      <c r="M86" s="71"/>
      <c r="N86" s="71"/>
      <c r="O86" s="71"/>
      <c r="P86" s="189"/>
      <c r="Q86" s="189"/>
      <c r="R86" s="180"/>
      <c r="S86" s="180"/>
      <c r="T86" s="180"/>
      <c r="U86" s="180"/>
      <c r="V86" s="180"/>
    </row>
    <row r="87" spans="1:22">
      <c r="A87" s="181"/>
      <c r="B87" s="29"/>
      <c r="C87" s="29"/>
      <c r="D87" s="339"/>
      <c r="E87" s="33"/>
      <c r="F87" s="29"/>
      <c r="G87" s="34"/>
      <c r="H87" s="33"/>
      <c r="I87" s="187"/>
      <c r="J87" s="188"/>
      <c r="K87" s="180"/>
      <c r="L87" s="181"/>
      <c r="M87" s="71"/>
      <c r="N87" s="71"/>
      <c r="O87" s="71"/>
      <c r="P87" s="189"/>
      <c r="Q87" s="189"/>
      <c r="R87" s="180"/>
      <c r="S87" s="180"/>
      <c r="T87" s="180"/>
      <c r="U87" s="180"/>
      <c r="V87" s="180"/>
    </row>
    <row r="88" spans="1:22">
      <c r="A88" s="181"/>
      <c r="B88" s="29"/>
      <c r="C88" s="29"/>
      <c r="D88" s="339"/>
      <c r="E88" s="33"/>
      <c r="F88" s="29"/>
      <c r="G88" s="34"/>
      <c r="H88" s="33"/>
      <c r="I88" s="187"/>
      <c r="J88" s="188"/>
      <c r="K88" s="180"/>
      <c r="L88" s="181"/>
      <c r="M88" s="71"/>
      <c r="N88" s="71"/>
      <c r="O88" s="71"/>
      <c r="P88" s="189"/>
      <c r="Q88" s="189"/>
      <c r="R88" s="180"/>
      <c r="S88" s="180"/>
      <c r="T88" s="180"/>
      <c r="U88" s="180"/>
      <c r="V88" s="180"/>
    </row>
    <row r="89" spans="1:22">
      <c r="A89" s="181"/>
      <c r="B89" s="29"/>
      <c r="C89" s="29"/>
      <c r="D89" s="339"/>
      <c r="E89" s="33"/>
      <c r="F89" s="29"/>
      <c r="G89" s="34"/>
      <c r="H89" s="33"/>
      <c r="I89" s="187"/>
      <c r="J89" s="188"/>
      <c r="K89" s="180"/>
      <c r="L89" s="181"/>
      <c r="M89" s="71"/>
      <c r="N89" s="71"/>
      <c r="O89" s="71"/>
      <c r="P89" s="189"/>
      <c r="Q89" s="189"/>
      <c r="R89" s="180"/>
      <c r="S89" s="180"/>
      <c r="T89" s="180"/>
      <c r="U89" s="180"/>
      <c r="V89" s="180"/>
    </row>
    <row r="90" spans="1:22">
      <c r="A90" s="181"/>
      <c r="B90" s="29"/>
      <c r="C90" s="29"/>
      <c r="D90" s="339"/>
      <c r="E90" s="33"/>
      <c r="F90" s="29"/>
      <c r="G90" s="34"/>
      <c r="H90" s="33"/>
      <c r="I90" s="187"/>
      <c r="J90" s="188"/>
      <c r="K90" s="180"/>
      <c r="L90" s="181"/>
      <c r="M90" s="71"/>
      <c r="N90" s="71"/>
      <c r="O90" s="71"/>
      <c r="P90" s="189"/>
      <c r="Q90" s="189"/>
      <c r="R90" s="180"/>
      <c r="S90" s="180"/>
      <c r="T90" s="180"/>
      <c r="U90" s="180"/>
      <c r="V90" s="180"/>
    </row>
    <row r="91" spans="1:22">
      <c r="A91" s="181"/>
      <c r="B91" s="29"/>
      <c r="C91" s="29"/>
      <c r="D91" s="339"/>
      <c r="E91" s="33"/>
      <c r="F91" s="29"/>
      <c r="G91" s="34"/>
      <c r="H91" s="33"/>
      <c r="I91" s="187"/>
      <c r="J91" s="188"/>
      <c r="K91" s="180"/>
      <c r="L91" s="181"/>
      <c r="M91" s="71"/>
      <c r="N91" s="71"/>
      <c r="O91" s="71"/>
      <c r="P91" s="189"/>
      <c r="Q91" s="189"/>
      <c r="R91" s="180"/>
      <c r="S91" s="180"/>
      <c r="T91" s="180"/>
      <c r="U91" s="180"/>
      <c r="V91" s="180"/>
    </row>
    <row r="92" spans="1:22">
      <c r="A92" s="181"/>
      <c r="B92" s="29"/>
      <c r="C92" s="29"/>
      <c r="D92" s="339"/>
      <c r="E92" s="33"/>
      <c r="F92" s="29"/>
      <c r="G92" s="34"/>
      <c r="H92" s="33"/>
      <c r="I92" s="187"/>
      <c r="J92" s="188"/>
      <c r="K92" s="180"/>
      <c r="L92" s="181"/>
      <c r="M92" s="71"/>
      <c r="N92" s="71"/>
      <c r="O92" s="71"/>
      <c r="P92" s="189"/>
      <c r="Q92" s="189"/>
      <c r="R92" s="180"/>
      <c r="S92" s="180"/>
      <c r="T92" s="180"/>
      <c r="U92" s="180"/>
      <c r="V92" s="180"/>
    </row>
    <row r="93" spans="1:22">
      <c r="A93" s="181"/>
      <c r="B93" s="29"/>
      <c r="C93" s="29"/>
      <c r="D93" s="339"/>
      <c r="E93" s="33"/>
      <c r="F93" s="29"/>
      <c r="G93" s="34"/>
      <c r="H93" s="33"/>
      <c r="I93" s="187"/>
      <c r="J93" s="188"/>
      <c r="K93" s="180"/>
      <c r="L93" s="181"/>
      <c r="M93" s="71"/>
      <c r="N93" s="71"/>
      <c r="O93" s="71"/>
      <c r="P93" s="189"/>
      <c r="Q93" s="189"/>
      <c r="R93" s="180"/>
      <c r="S93" s="180"/>
      <c r="T93" s="180"/>
      <c r="U93" s="180"/>
      <c r="V93" s="180"/>
    </row>
    <row r="94" spans="1:22">
      <c r="A94" s="181"/>
      <c r="B94" s="29"/>
      <c r="C94" s="29"/>
      <c r="D94" s="339"/>
      <c r="E94" s="33"/>
      <c r="F94" s="29"/>
      <c r="G94" s="34"/>
      <c r="H94" s="33"/>
      <c r="I94" s="187"/>
      <c r="J94" s="188"/>
      <c r="K94" s="180"/>
      <c r="L94" s="181"/>
      <c r="M94" s="71"/>
      <c r="N94" s="71"/>
      <c r="O94" s="71"/>
      <c r="P94" s="189"/>
      <c r="Q94" s="189"/>
      <c r="R94" s="180"/>
      <c r="S94" s="180"/>
      <c r="T94" s="180"/>
      <c r="U94" s="180"/>
      <c r="V94" s="180"/>
    </row>
    <row r="95" spans="1:22">
      <c r="A95" s="181"/>
      <c r="B95" s="29"/>
      <c r="C95" s="29"/>
      <c r="D95" s="339"/>
      <c r="E95" s="33"/>
      <c r="F95" s="29"/>
      <c r="G95" s="34"/>
      <c r="H95" s="33"/>
      <c r="I95" s="187"/>
      <c r="J95" s="188"/>
      <c r="K95" s="180"/>
      <c r="L95" s="181"/>
      <c r="M95" s="71"/>
      <c r="N95" s="71"/>
      <c r="O95" s="71"/>
      <c r="P95" s="189"/>
      <c r="Q95" s="189"/>
      <c r="R95" s="180"/>
      <c r="S95" s="180"/>
      <c r="T95" s="180"/>
      <c r="U95" s="180"/>
      <c r="V95" s="180"/>
    </row>
    <row r="96" spans="1:22">
      <c r="A96" s="181"/>
      <c r="B96" s="29"/>
      <c r="C96" s="29"/>
      <c r="D96" s="339"/>
      <c r="E96" s="33"/>
      <c r="F96" s="29"/>
      <c r="G96" s="34"/>
      <c r="H96" s="33"/>
      <c r="I96" s="187"/>
      <c r="J96" s="188"/>
      <c r="K96" s="180"/>
      <c r="L96" s="181"/>
      <c r="M96" s="71"/>
      <c r="N96" s="71"/>
      <c r="O96" s="71"/>
      <c r="P96" s="189"/>
      <c r="Q96" s="189"/>
      <c r="R96" s="180"/>
      <c r="S96" s="180"/>
      <c r="T96" s="180"/>
      <c r="U96" s="180"/>
      <c r="V96" s="180"/>
    </row>
    <row r="97" spans="1:22">
      <c r="A97" s="181"/>
      <c r="B97" s="29"/>
      <c r="C97" s="29"/>
      <c r="D97" s="339"/>
      <c r="E97" s="33"/>
      <c r="F97" s="29"/>
      <c r="G97" s="34"/>
      <c r="H97" s="33"/>
      <c r="I97" s="187"/>
      <c r="J97" s="188"/>
      <c r="K97" s="180"/>
      <c r="L97" s="181"/>
      <c r="M97" s="71"/>
      <c r="N97" s="71"/>
      <c r="O97" s="71"/>
      <c r="P97" s="189"/>
      <c r="Q97" s="189"/>
      <c r="R97" s="180"/>
      <c r="S97" s="180"/>
      <c r="T97" s="180"/>
      <c r="U97" s="180"/>
      <c r="V97" s="180"/>
    </row>
    <row r="98" spans="1:22">
      <c r="A98" s="181"/>
      <c r="B98" s="29"/>
      <c r="C98" s="29"/>
      <c r="D98" s="339"/>
      <c r="E98" s="33"/>
      <c r="F98" s="29"/>
      <c r="G98" s="34"/>
      <c r="H98" s="33"/>
      <c r="I98" s="187"/>
      <c r="J98" s="188"/>
      <c r="K98" s="180"/>
      <c r="L98" s="181"/>
      <c r="M98" s="71"/>
      <c r="N98" s="71"/>
      <c r="O98" s="71"/>
      <c r="P98" s="189"/>
      <c r="Q98" s="189"/>
      <c r="R98" s="180"/>
      <c r="S98" s="180"/>
      <c r="T98" s="180"/>
      <c r="U98" s="180"/>
      <c r="V98" s="180"/>
    </row>
    <row r="99" spans="1:22">
      <c r="A99" s="181"/>
      <c r="B99" s="29"/>
      <c r="C99" s="29"/>
      <c r="D99" s="339"/>
      <c r="E99" s="33"/>
      <c r="F99" s="29"/>
      <c r="G99" s="34"/>
      <c r="H99" s="33"/>
      <c r="I99" s="187"/>
      <c r="J99" s="188"/>
      <c r="K99" s="180"/>
      <c r="L99" s="181"/>
      <c r="M99" s="71"/>
      <c r="N99" s="71"/>
      <c r="O99" s="71"/>
      <c r="P99" s="189"/>
      <c r="Q99" s="189"/>
      <c r="R99" s="180"/>
      <c r="S99" s="180"/>
      <c r="T99" s="180"/>
      <c r="U99" s="180"/>
      <c r="V99" s="180"/>
    </row>
    <row r="100" spans="1:22">
      <c r="A100" s="181"/>
      <c r="B100" s="29"/>
      <c r="C100" s="29"/>
      <c r="D100" s="339"/>
      <c r="E100" s="33"/>
      <c r="F100" s="29"/>
      <c r="G100" s="34"/>
      <c r="H100" s="33"/>
      <c r="I100" s="187"/>
      <c r="J100" s="188"/>
      <c r="K100" s="180"/>
      <c r="L100" s="181"/>
      <c r="M100" s="71"/>
      <c r="N100" s="71"/>
      <c r="O100" s="71"/>
      <c r="P100" s="189"/>
      <c r="Q100" s="189"/>
      <c r="R100" s="180"/>
      <c r="S100" s="180"/>
      <c r="T100" s="180"/>
      <c r="U100" s="180"/>
      <c r="V100" s="180"/>
    </row>
    <row r="101" spans="1:22">
      <c r="A101" s="181"/>
      <c r="B101" s="29"/>
      <c r="C101" s="29"/>
      <c r="D101" s="339"/>
      <c r="E101" s="33"/>
      <c r="F101" s="29"/>
      <c r="G101" s="34"/>
      <c r="H101" s="33"/>
      <c r="I101" s="187"/>
      <c r="J101" s="188"/>
      <c r="K101" s="180"/>
      <c r="L101" s="181"/>
      <c r="M101" s="71"/>
      <c r="N101" s="71"/>
      <c r="O101" s="71"/>
      <c r="P101" s="189"/>
      <c r="Q101" s="189"/>
      <c r="R101" s="180"/>
      <c r="S101" s="180"/>
      <c r="T101" s="180"/>
      <c r="U101" s="180"/>
      <c r="V101" s="180"/>
    </row>
    <row r="102" spans="1:22">
      <c r="A102" s="181"/>
      <c r="B102" s="29"/>
      <c r="C102" s="29"/>
      <c r="D102" s="339"/>
      <c r="E102" s="33"/>
      <c r="F102" s="29"/>
      <c r="G102" s="34"/>
      <c r="H102" s="33"/>
      <c r="I102" s="187"/>
      <c r="J102" s="188"/>
      <c r="K102" s="180"/>
      <c r="L102" s="181"/>
      <c r="M102" s="71"/>
      <c r="N102" s="71"/>
      <c r="O102" s="71"/>
      <c r="P102" s="189"/>
      <c r="Q102" s="189"/>
      <c r="R102" s="180"/>
      <c r="S102" s="180"/>
      <c r="T102" s="180"/>
      <c r="U102" s="180"/>
      <c r="V102" s="180"/>
    </row>
    <row r="103" spans="1:22">
      <c r="A103" s="181"/>
      <c r="B103" s="29"/>
      <c r="C103" s="29"/>
      <c r="D103" s="339"/>
      <c r="E103" s="33"/>
      <c r="F103" s="29"/>
      <c r="G103" s="34"/>
      <c r="H103" s="33"/>
      <c r="I103" s="187"/>
      <c r="J103" s="188"/>
      <c r="K103" s="180"/>
      <c r="L103" s="181"/>
      <c r="M103" s="71"/>
      <c r="N103" s="71"/>
      <c r="O103" s="71"/>
      <c r="P103" s="189"/>
      <c r="Q103" s="189"/>
      <c r="R103" s="180"/>
      <c r="S103" s="180"/>
      <c r="T103" s="180"/>
      <c r="U103" s="180"/>
      <c r="V103" s="180"/>
    </row>
    <row r="104" spans="1:22">
      <c r="A104" s="181"/>
      <c r="B104" s="29"/>
      <c r="C104" s="29"/>
      <c r="D104" s="339"/>
      <c r="E104" s="33"/>
      <c r="F104" s="29"/>
      <c r="G104" s="34"/>
      <c r="H104" s="33"/>
      <c r="I104" s="187"/>
      <c r="J104" s="188"/>
      <c r="K104" s="180"/>
      <c r="L104" s="181"/>
      <c r="M104" s="71"/>
      <c r="N104" s="71"/>
      <c r="O104" s="71"/>
      <c r="P104" s="189"/>
      <c r="Q104" s="189"/>
      <c r="R104" s="180"/>
      <c r="S104" s="180"/>
      <c r="T104" s="180"/>
      <c r="U104" s="180"/>
      <c r="V104" s="180"/>
    </row>
    <row r="105" spans="1:22">
      <c r="A105" s="181"/>
      <c r="B105" s="29"/>
      <c r="C105" s="29"/>
      <c r="D105" s="339"/>
      <c r="E105" s="33"/>
      <c r="F105" s="29"/>
      <c r="G105" s="34"/>
      <c r="H105" s="33"/>
      <c r="I105" s="187"/>
      <c r="J105" s="188"/>
      <c r="K105" s="180"/>
      <c r="L105" s="181"/>
      <c r="M105" s="71"/>
      <c r="N105" s="71"/>
      <c r="O105" s="71"/>
      <c r="P105" s="189"/>
      <c r="Q105" s="189"/>
      <c r="R105" s="180"/>
      <c r="S105" s="180"/>
      <c r="T105" s="180"/>
      <c r="U105" s="180"/>
      <c r="V105" s="180"/>
    </row>
    <row r="106" spans="1:22">
      <c r="A106" s="181"/>
      <c r="B106" s="29"/>
      <c r="C106" s="29"/>
      <c r="D106" s="339"/>
      <c r="E106" s="33"/>
      <c r="F106" s="29"/>
      <c r="G106" s="34"/>
      <c r="H106" s="33"/>
      <c r="I106" s="187"/>
      <c r="J106" s="188"/>
      <c r="K106" s="180"/>
      <c r="L106" s="181"/>
      <c r="M106" s="71"/>
      <c r="N106" s="71"/>
      <c r="O106" s="71"/>
      <c r="P106" s="189"/>
      <c r="Q106" s="189"/>
      <c r="R106" s="180"/>
      <c r="S106" s="180"/>
      <c r="T106" s="180"/>
      <c r="U106" s="180"/>
      <c r="V106" s="180"/>
    </row>
    <row r="107" spans="1:22">
      <c r="A107" s="181"/>
      <c r="B107" s="29"/>
      <c r="C107" s="29"/>
      <c r="D107" s="339"/>
      <c r="E107" s="33"/>
      <c r="F107" s="29"/>
      <c r="G107" s="34"/>
      <c r="H107" s="33"/>
      <c r="I107" s="187"/>
      <c r="J107" s="188"/>
      <c r="K107" s="180"/>
      <c r="L107" s="181"/>
      <c r="M107" s="71"/>
      <c r="N107" s="71"/>
      <c r="O107" s="71"/>
      <c r="P107" s="189"/>
      <c r="Q107" s="189"/>
      <c r="R107" s="180"/>
      <c r="S107" s="180"/>
      <c r="T107" s="180"/>
      <c r="U107" s="180"/>
      <c r="V107" s="180"/>
    </row>
    <row r="108" spans="1:22">
      <c r="A108" s="181"/>
      <c r="B108" s="29"/>
      <c r="C108" s="29"/>
      <c r="D108" s="339"/>
      <c r="E108" s="33"/>
      <c r="F108" s="29"/>
      <c r="G108" s="34"/>
      <c r="H108" s="33"/>
      <c r="I108" s="187"/>
      <c r="J108" s="188"/>
      <c r="K108" s="180"/>
      <c r="L108" s="181"/>
      <c r="M108" s="71"/>
      <c r="N108" s="71"/>
      <c r="O108" s="71"/>
      <c r="P108" s="189"/>
      <c r="Q108" s="189"/>
      <c r="R108" s="180"/>
      <c r="S108" s="180"/>
      <c r="T108" s="180"/>
      <c r="U108" s="180"/>
      <c r="V108" s="180"/>
    </row>
    <row r="109" spans="1:22">
      <c r="A109" s="181"/>
      <c r="B109" s="29"/>
      <c r="C109" s="29"/>
      <c r="D109" s="339"/>
      <c r="E109" s="33"/>
      <c r="F109" s="29"/>
      <c r="G109" s="34"/>
      <c r="H109" s="33"/>
      <c r="I109" s="187"/>
      <c r="J109" s="188"/>
      <c r="K109" s="180"/>
      <c r="L109" s="181"/>
      <c r="M109" s="71"/>
      <c r="N109" s="71"/>
      <c r="O109" s="71"/>
      <c r="P109" s="189"/>
      <c r="Q109" s="189"/>
      <c r="R109" s="180"/>
      <c r="S109" s="180"/>
      <c r="T109" s="180"/>
      <c r="U109" s="180"/>
      <c r="V109" s="180"/>
    </row>
    <row r="110" spans="1:22">
      <c r="A110" s="181"/>
      <c r="B110" s="29"/>
      <c r="C110" s="29"/>
      <c r="D110" s="339"/>
      <c r="E110" s="33"/>
      <c r="F110" s="29"/>
      <c r="G110" s="34"/>
      <c r="H110" s="33"/>
      <c r="I110" s="187"/>
      <c r="J110" s="188"/>
      <c r="K110" s="180"/>
      <c r="L110" s="181"/>
      <c r="M110" s="71"/>
      <c r="N110" s="71"/>
      <c r="O110" s="71"/>
      <c r="P110" s="189"/>
      <c r="Q110" s="189"/>
      <c r="R110" s="180"/>
      <c r="S110" s="180"/>
      <c r="T110" s="180"/>
      <c r="U110" s="180"/>
      <c r="V110" s="180"/>
    </row>
    <row r="111" spans="1:22">
      <c r="A111" s="181"/>
      <c r="B111" s="29"/>
      <c r="C111" s="29"/>
      <c r="D111" s="339"/>
      <c r="E111" s="33"/>
      <c r="F111" s="29"/>
      <c r="G111" s="34"/>
      <c r="H111" s="33"/>
      <c r="I111" s="187"/>
      <c r="J111" s="188"/>
      <c r="K111" s="180"/>
      <c r="L111" s="181"/>
      <c r="M111" s="71"/>
      <c r="N111" s="71"/>
      <c r="O111" s="71"/>
      <c r="P111" s="189"/>
      <c r="Q111" s="189"/>
      <c r="R111" s="180"/>
      <c r="S111" s="180"/>
      <c r="T111" s="180"/>
      <c r="U111" s="180"/>
      <c r="V111" s="180"/>
    </row>
    <row r="112" spans="1:22">
      <c r="A112" s="181"/>
      <c r="B112" s="29"/>
      <c r="C112" s="29"/>
      <c r="D112" s="339"/>
      <c r="E112" s="33"/>
      <c r="F112" s="29"/>
      <c r="G112" s="34"/>
      <c r="H112" s="33"/>
      <c r="I112" s="187"/>
      <c r="J112" s="188"/>
      <c r="K112" s="180"/>
      <c r="L112" s="181"/>
      <c r="M112" s="71"/>
      <c r="N112" s="71"/>
      <c r="O112" s="71"/>
      <c r="P112" s="189"/>
      <c r="Q112" s="189"/>
      <c r="R112" s="180"/>
      <c r="S112" s="180"/>
      <c r="T112" s="180"/>
      <c r="U112" s="180"/>
      <c r="V112" s="180"/>
    </row>
    <row r="113" spans="1:22">
      <c r="A113" s="181"/>
      <c r="B113" s="29"/>
      <c r="C113" s="29"/>
      <c r="D113" s="339"/>
      <c r="E113" s="33"/>
      <c r="F113" s="29"/>
      <c r="G113" s="34"/>
      <c r="H113" s="33"/>
      <c r="I113" s="187"/>
      <c r="J113" s="188"/>
      <c r="K113" s="180"/>
      <c r="L113" s="181"/>
      <c r="M113" s="71"/>
      <c r="N113" s="71"/>
      <c r="O113" s="71"/>
      <c r="P113" s="189"/>
      <c r="Q113" s="189"/>
      <c r="R113" s="180"/>
      <c r="S113" s="180"/>
      <c r="T113" s="180"/>
      <c r="U113" s="180"/>
      <c r="V113" s="180"/>
    </row>
    <row r="114" spans="1:22">
      <c r="A114" s="181"/>
      <c r="B114" s="29"/>
      <c r="C114" s="29"/>
      <c r="D114" s="339"/>
      <c r="E114" s="33"/>
      <c r="F114" s="29"/>
      <c r="G114" s="34"/>
      <c r="H114" s="33"/>
      <c r="I114" s="187"/>
      <c r="J114" s="188"/>
      <c r="K114" s="180"/>
      <c r="L114" s="181"/>
      <c r="M114" s="71"/>
      <c r="N114" s="71"/>
      <c r="O114" s="71"/>
      <c r="P114" s="189"/>
      <c r="Q114" s="189"/>
      <c r="R114" s="180"/>
      <c r="S114" s="180"/>
      <c r="T114" s="180"/>
      <c r="U114" s="180"/>
      <c r="V114" s="180"/>
    </row>
    <row r="115" spans="1:22">
      <c r="A115" s="181"/>
      <c r="B115" s="29"/>
      <c r="C115" s="29"/>
      <c r="D115" s="339"/>
      <c r="E115" s="33"/>
      <c r="F115" s="29"/>
      <c r="G115" s="34"/>
      <c r="H115" s="33"/>
      <c r="I115" s="187"/>
      <c r="J115" s="188"/>
      <c r="K115" s="180"/>
      <c r="L115" s="181"/>
      <c r="M115" s="71"/>
      <c r="N115" s="71"/>
      <c r="O115" s="71"/>
      <c r="P115" s="189"/>
      <c r="Q115" s="189"/>
      <c r="R115" s="180"/>
      <c r="S115" s="180"/>
      <c r="T115" s="180"/>
      <c r="U115" s="180"/>
      <c r="V115" s="180"/>
    </row>
    <row r="116" spans="1:22">
      <c r="A116" s="181"/>
      <c r="B116" s="29"/>
      <c r="C116" s="29"/>
      <c r="D116" s="339"/>
      <c r="E116" s="33"/>
      <c r="F116" s="29"/>
      <c r="G116" s="34"/>
      <c r="H116" s="33"/>
      <c r="I116" s="187"/>
      <c r="J116" s="188"/>
      <c r="K116" s="180"/>
      <c r="L116" s="181"/>
      <c r="M116" s="71"/>
      <c r="N116" s="71"/>
      <c r="O116" s="71"/>
      <c r="P116" s="189"/>
      <c r="Q116" s="189"/>
      <c r="R116" s="180"/>
      <c r="S116" s="180"/>
      <c r="T116" s="180"/>
      <c r="U116" s="180"/>
      <c r="V116" s="180"/>
    </row>
    <row r="117" spans="1:22">
      <c r="A117" s="181"/>
      <c r="B117" s="29"/>
      <c r="C117" s="29"/>
      <c r="D117" s="339"/>
      <c r="E117" s="33"/>
      <c r="F117" s="29"/>
      <c r="G117" s="34"/>
      <c r="H117" s="33"/>
      <c r="I117" s="187"/>
      <c r="J117" s="188"/>
      <c r="K117" s="180"/>
      <c r="L117" s="181"/>
      <c r="M117" s="71"/>
      <c r="N117" s="71"/>
      <c r="O117" s="71"/>
      <c r="P117" s="189"/>
      <c r="Q117" s="189"/>
      <c r="R117" s="180"/>
      <c r="S117" s="180"/>
      <c r="T117" s="180"/>
      <c r="U117" s="180"/>
      <c r="V117" s="180"/>
    </row>
    <row r="118" spans="1:22">
      <c r="A118" s="181"/>
      <c r="B118" s="29"/>
      <c r="C118" s="29"/>
      <c r="D118" s="339"/>
      <c r="E118" s="33"/>
      <c r="F118" s="29"/>
      <c r="G118" s="34"/>
      <c r="H118" s="33"/>
      <c r="I118" s="187"/>
      <c r="J118" s="188"/>
      <c r="K118" s="180"/>
      <c r="L118" s="181"/>
      <c r="M118" s="71"/>
      <c r="N118" s="71"/>
      <c r="O118" s="71"/>
      <c r="P118" s="189"/>
      <c r="Q118" s="189"/>
      <c r="R118" s="180"/>
      <c r="S118" s="180"/>
      <c r="T118" s="180"/>
      <c r="U118" s="180"/>
      <c r="V118" s="180"/>
    </row>
    <row r="119" spans="1:22">
      <c r="A119" s="181"/>
      <c r="B119" s="29"/>
      <c r="C119" s="29"/>
      <c r="D119" s="339"/>
      <c r="E119" s="33"/>
      <c r="F119" s="29"/>
      <c r="G119" s="34"/>
      <c r="H119" s="33"/>
      <c r="I119" s="187"/>
      <c r="J119" s="188"/>
      <c r="K119" s="180"/>
      <c r="L119" s="181"/>
      <c r="M119" s="71"/>
      <c r="N119" s="71"/>
      <c r="O119" s="71"/>
      <c r="P119" s="189"/>
      <c r="Q119" s="189"/>
      <c r="R119" s="180"/>
      <c r="S119" s="180"/>
      <c r="T119" s="180"/>
      <c r="U119" s="180"/>
      <c r="V119" s="180"/>
    </row>
    <row r="120" spans="1:22">
      <c r="A120" s="181"/>
      <c r="B120" s="29"/>
      <c r="C120" s="29"/>
      <c r="D120" s="339"/>
      <c r="E120" s="33"/>
      <c r="F120" s="29"/>
      <c r="G120" s="34"/>
      <c r="H120" s="33"/>
      <c r="I120" s="187"/>
      <c r="J120" s="188"/>
      <c r="K120" s="180"/>
      <c r="L120" s="181"/>
      <c r="M120" s="71"/>
      <c r="N120" s="71"/>
      <c r="O120" s="71"/>
      <c r="P120" s="189"/>
      <c r="Q120" s="189"/>
      <c r="R120" s="180"/>
      <c r="S120" s="180"/>
      <c r="T120" s="180"/>
      <c r="U120" s="180"/>
      <c r="V120" s="180"/>
    </row>
    <row r="121" spans="1:22">
      <c r="A121" s="181"/>
      <c r="B121" s="29"/>
      <c r="C121" s="29"/>
      <c r="D121" s="339"/>
      <c r="E121" s="33"/>
      <c r="F121" s="29"/>
      <c r="G121" s="34"/>
      <c r="H121" s="33"/>
      <c r="I121" s="187"/>
      <c r="J121" s="188"/>
      <c r="K121" s="180"/>
      <c r="L121" s="181"/>
      <c r="M121" s="71"/>
      <c r="N121" s="71"/>
      <c r="O121" s="71"/>
      <c r="P121" s="189"/>
      <c r="Q121" s="189"/>
      <c r="R121" s="180"/>
      <c r="S121" s="180"/>
      <c r="T121" s="180"/>
      <c r="U121" s="180"/>
      <c r="V121" s="180"/>
    </row>
    <row r="122" spans="1:22">
      <c r="A122" s="181"/>
      <c r="B122" s="29"/>
      <c r="C122" s="29"/>
      <c r="D122" s="339"/>
      <c r="E122" s="33"/>
      <c r="F122" s="29"/>
      <c r="G122" s="34"/>
      <c r="H122" s="33"/>
      <c r="I122" s="187"/>
      <c r="J122" s="188"/>
      <c r="K122" s="180"/>
      <c r="L122" s="181"/>
      <c r="M122" s="71"/>
      <c r="N122" s="71"/>
      <c r="O122" s="71"/>
      <c r="P122" s="189"/>
      <c r="Q122" s="189"/>
      <c r="R122" s="180"/>
      <c r="S122" s="180"/>
      <c r="T122" s="180"/>
      <c r="U122" s="180"/>
      <c r="V122" s="180"/>
    </row>
    <row r="123" spans="1:22">
      <c r="A123" s="181"/>
      <c r="B123" s="190"/>
      <c r="C123" s="190"/>
      <c r="D123" s="354"/>
      <c r="E123" s="191"/>
      <c r="F123" s="192"/>
      <c r="G123" s="193"/>
      <c r="H123" s="191"/>
      <c r="I123" s="194"/>
      <c r="J123" s="195"/>
      <c r="K123" s="180"/>
      <c r="L123" s="181"/>
      <c r="M123" s="196"/>
      <c r="N123" s="196"/>
      <c r="O123" s="196"/>
      <c r="P123" s="197"/>
      <c r="Q123" s="196"/>
      <c r="R123" s="180"/>
      <c r="S123" s="180"/>
      <c r="T123" s="180"/>
      <c r="U123" s="180"/>
      <c r="V123" s="180"/>
    </row>
    <row r="124" spans="1:22">
      <c r="A124" s="180"/>
      <c r="B124" s="180"/>
      <c r="C124" s="180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</row>
    <row r="125" spans="1:22">
      <c r="A125" s="180"/>
      <c r="B125" s="180"/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</row>
    <row r="126" spans="1:22">
      <c r="A126" s="180"/>
      <c r="B126" s="180"/>
      <c r="C126" s="180"/>
      <c r="D126" s="180"/>
      <c r="E126" s="180"/>
      <c r="F126" s="180"/>
      <c r="G126" s="180"/>
      <c r="H126" s="180"/>
      <c r="I126" s="180"/>
      <c r="J126" s="180"/>
      <c r="K126" s="180"/>
      <c r="L126" s="427"/>
      <c r="M126" s="427"/>
      <c r="N126" s="427"/>
      <c r="O126" s="427"/>
      <c r="P126" s="427"/>
      <c r="Q126" s="427"/>
      <c r="R126" s="180"/>
      <c r="S126" s="180"/>
      <c r="T126" s="180"/>
      <c r="U126" s="180"/>
      <c r="V126" s="180"/>
    </row>
    <row r="127" spans="1:22">
      <c r="A127" s="180"/>
      <c r="B127" s="180"/>
      <c r="C127" s="180"/>
      <c r="D127" s="180"/>
      <c r="E127" s="180"/>
      <c r="F127" s="180"/>
      <c r="G127" s="180"/>
      <c r="H127" s="180"/>
      <c r="I127" s="180"/>
      <c r="J127" s="180"/>
      <c r="K127" s="180"/>
      <c r="L127" s="427"/>
      <c r="M127" s="427"/>
      <c r="N127" s="427"/>
      <c r="O127" s="427"/>
      <c r="P127" s="427"/>
      <c r="Q127" s="427"/>
      <c r="R127" s="180"/>
      <c r="S127" s="180"/>
      <c r="T127" s="180"/>
      <c r="U127" s="180"/>
      <c r="V127" s="180"/>
    </row>
    <row r="128" spans="1:22">
      <c r="A128" s="180"/>
      <c r="B128" s="180"/>
      <c r="C128" s="180"/>
      <c r="D128" s="180"/>
      <c r="E128" s="180"/>
      <c r="F128" s="180"/>
      <c r="G128" s="180"/>
      <c r="H128" s="180"/>
      <c r="I128" s="180"/>
      <c r="J128" s="180"/>
      <c r="K128" s="180"/>
      <c r="L128" s="427"/>
      <c r="M128" s="427"/>
      <c r="N128" s="427"/>
      <c r="O128" s="427"/>
      <c r="P128" s="427"/>
      <c r="Q128" s="427"/>
      <c r="R128" s="180"/>
      <c r="S128" s="180"/>
      <c r="T128" s="180"/>
      <c r="U128" s="180"/>
      <c r="V128" s="180"/>
    </row>
    <row r="129" spans="1:22">
      <c r="A129" s="180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427"/>
      <c r="M129" s="427"/>
      <c r="N129" s="427"/>
      <c r="O129" s="427"/>
      <c r="P129" s="427"/>
      <c r="Q129" s="427"/>
      <c r="R129" s="180"/>
      <c r="S129" s="180"/>
      <c r="T129" s="180"/>
      <c r="U129" s="180"/>
      <c r="V129" s="180"/>
    </row>
    <row r="130" spans="1:22">
      <c r="A130" s="180"/>
      <c r="B130" s="180"/>
      <c r="C130" s="180"/>
      <c r="D130" s="180"/>
      <c r="E130" s="180"/>
      <c r="F130" s="180"/>
      <c r="G130" s="180"/>
      <c r="H130" s="180"/>
      <c r="I130" s="180"/>
      <c r="J130" s="180"/>
      <c r="K130" s="180"/>
      <c r="L130" s="427"/>
      <c r="M130" s="427"/>
      <c r="N130" s="427"/>
      <c r="O130" s="427"/>
      <c r="P130" s="427"/>
      <c r="Q130" s="427"/>
      <c r="R130" s="180"/>
      <c r="S130" s="180"/>
      <c r="T130" s="180"/>
      <c r="U130" s="180"/>
      <c r="V130" s="180"/>
    </row>
    <row r="131" spans="1:22">
      <c r="A131" s="180"/>
      <c r="B131" s="180"/>
      <c r="C131" s="180"/>
      <c r="D131" s="180"/>
      <c r="E131" s="180"/>
      <c r="F131" s="180"/>
      <c r="G131" s="180"/>
      <c r="H131" s="180"/>
      <c r="I131" s="180"/>
      <c r="J131" s="180"/>
      <c r="K131" s="180"/>
      <c r="L131" s="336"/>
      <c r="M131" s="182"/>
      <c r="N131" s="182"/>
      <c r="O131" s="182"/>
      <c r="P131" s="182"/>
      <c r="Q131" s="182"/>
      <c r="R131" s="180"/>
      <c r="S131" s="180"/>
      <c r="T131" s="180"/>
      <c r="U131" s="180"/>
      <c r="V131" s="180"/>
    </row>
    <row r="132" spans="1:22">
      <c r="A132" s="180"/>
      <c r="B132" s="180"/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4"/>
      <c r="N132" s="184"/>
      <c r="O132" s="184"/>
      <c r="P132" s="184"/>
      <c r="Q132" s="180"/>
      <c r="R132" s="180"/>
      <c r="S132" s="180"/>
      <c r="T132" s="180"/>
      <c r="U132" s="180"/>
      <c r="V132" s="180"/>
    </row>
    <row r="133" spans="1:22">
      <c r="A133" s="180"/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353"/>
      <c r="N133" s="353"/>
      <c r="O133" s="353"/>
      <c r="P133" s="186"/>
      <c r="Q133" s="186"/>
      <c r="R133" s="180"/>
      <c r="S133" s="180"/>
      <c r="T133" s="180"/>
      <c r="U133" s="180"/>
      <c r="V133" s="180"/>
    </row>
    <row r="134" spans="1:22">
      <c r="A134" s="180"/>
      <c r="B134" s="180"/>
      <c r="C134" s="180"/>
      <c r="D134" s="180"/>
      <c r="E134" s="180"/>
      <c r="F134" s="180"/>
      <c r="G134" s="180"/>
      <c r="H134" s="180"/>
      <c r="I134" s="180"/>
      <c r="J134" s="180"/>
      <c r="K134" s="180"/>
      <c r="L134" s="181"/>
      <c r="M134" s="71"/>
      <c r="N134" s="71"/>
      <c r="O134" s="71"/>
      <c r="P134" s="198"/>
      <c r="Q134" s="189"/>
      <c r="R134" s="180"/>
      <c r="S134" s="180"/>
      <c r="T134" s="180"/>
      <c r="U134" s="180"/>
      <c r="V134" s="180"/>
    </row>
    <row r="135" spans="1:22">
      <c r="A135" s="180"/>
      <c r="B135" s="180"/>
      <c r="C135" s="180"/>
      <c r="D135" s="180"/>
      <c r="E135" s="180"/>
      <c r="F135" s="180"/>
      <c r="G135" s="180"/>
      <c r="H135" s="180"/>
      <c r="I135" s="180"/>
      <c r="J135" s="180"/>
      <c r="K135" s="180"/>
      <c r="L135" s="181"/>
      <c r="M135" s="71"/>
      <c r="N135" s="71"/>
      <c r="O135" s="71"/>
      <c r="P135" s="198"/>
      <c r="Q135" s="189"/>
      <c r="R135" s="180"/>
      <c r="S135" s="180"/>
      <c r="T135" s="180"/>
      <c r="U135" s="180"/>
      <c r="V135" s="180"/>
    </row>
    <row r="136" spans="1:22">
      <c r="A136" s="180"/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1"/>
      <c r="M136" s="71"/>
      <c r="N136" s="71"/>
      <c r="O136" s="71"/>
      <c r="P136" s="198"/>
      <c r="Q136" s="189"/>
      <c r="R136" s="180"/>
      <c r="S136" s="180"/>
      <c r="T136" s="180"/>
      <c r="U136" s="180"/>
      <c r="V136" s="180"/>
    </row>
    <row r="137" spans="1:22">
      <c r="A137" s="180"/>
      <c r="B137" s="180"/>
      <c r="C137" s="180"/>
      <c r="D137" s="180"/>
      <c r="E137" s="180"/>
      <c r="F137" s="180"/>
      <c r="G137" s="180"/>
      <c r="H137" s="180"/>
      <c r="I137" s="180"/>
      <c r="J137" s="180"/>
      <c r="K137" s="180"/>
      <c r="L137" s="181"/>
      <c r="M137" s="71"/>
      <c r="N137" s="71"/>
      <c r="O137" s="71"/>
      <c r="P137" s="198"/>
      <c r="Q137" s="189"/>
      <c r="R137" s="180"/>
      <c r="S137" s="180"/>
      <c r="T137" s="180"/>
      <c r="U137" s="180"/>
      <c r="V137" s="180"/>
    </row>
    <row r="138" spans="1:22">
      <c r="A138" s="180"/>
      <c r="B138" s="180"/>
      <c r="C138" s="180"/>
      <c r="D138" s="180"/>
      <c r="E138" s="180"/>
      <c r="F138" s="180"/>
      <c r="G138" s="180"/>
      <c r="H138" s="180"/>
      <c r="I138" s="180"/>
      <c r="J138" s="180"/>
      <c r="K138" s="180"/>
      <c r="L138" s="181"/>
      <c r="M138" s="71"/>
      <c r="N138" s="71"/>
      <c r="O138" s="71"/>
      <c r="P138" s="198"/>
      <c r="Q138" s="189"/>
      <c r="R138" s="180"/>
      <c r="S138" s="180"/>
      <c r="T138" s="180"/>
      <c r="U138" s="180"/>
      <c r="V138" s="180"/>
    </row>
    <row r="139" spans="1:22">
      <c r="A139" s="180"/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1"/>
      <c r="M139" s="71"/>
      <c r="N139" s="71"/>
      <c r="O139" s="71"/>
      <c r="P139" s="198"/>
      <c r="Q139" s="189"/>
      <c r="R139" s="180"/>
      <c r="S139" s="180"/>
      <c r="T139" s="180"/>
      <c r="U139" s="180"/>
      <c r="V139" s="180"/>
    </row>
    <row r="140" spans="1:22">
      <c r="A140" s="180"/>
      <c r="B140" s="180"/>
      <c r="C140" s="180"/>
      <c r="D140" s="180"/>
      <c r="E140" s="180"/>
      <c r="F140" s="180"/>
      <c r="G140" s="180"/>
      <c r="H140" s="180"/>
      <c r="I140" s="180"/>
      <c r="J140" s="180"/>
      <c r="K140" s="180"/>
      <c r="L140" s="181"/>
      <c r="M140" s="71"/>
      <c r="N140" s="71"/>
      <c r="O140" s="71"/>
      <c r="P140" s="198"/>
      <c r="Q140" s="189"/>
      <c r="R140" s="180"/>
      <c r="S140" s="180"/>
      <c r="T140" s="180"/>
      <c r="U140" s="180"/>
      <c r="V140" s="180"/>
    </row>
    <row r="141" spans="1:22">
      <c r="A141" s="180"/>
      <c r="B141" s="180"/>
      <c r="C141" s="180"/>
      <c r="D141" s="180"/>
      <c r="E141" s="180"/>
      <c r="F141" s="180"/>
      <c r="G141" s="180"/>
      <c r="H141" s="180"/>
      <c r="I141" s="180"/>
      <c r="J141" s="180"/>
      <c r="K141" s="180"/>
      <c r="L141" s="181"/>
      <c r="M141" s="71"/>
      <c r="N141" s="71"/>
      <c r="O141" s="71"/>
      <c r="P141" s="198"/>
      <c r="Q141" s="189"/>
      <c r="R141" s="180"/>
      <c r="S141" s="180"/>
      <c r="T141" s="180"/>
      <c r="U141" s="180"/>
      <c r="V141" s="180"/>
    </row>
    <row r="142" spans="1:22">
      <c r="A142" s="180"/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1"/>
      <c r="M142" s="71"/>
      <c r="N142" s="71"/>
      <c r="O142" s="71"/>
      <c r="P142" s="198"/>
      <c r="Q142" s="189"/>
      <c r="R142" s="180"/>
      <c r="S142" s="180"/>
      <c r="T142" s="180"/>
      <c r="U142" s="180"/>
      <c r="V142" s="180"/>
    </row>
    <row r="143" spans="1:22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1"/>
      <c r="M143" s="71"/>
      <c r="N143" s="71"/>
      <c r="O143" s="71"/>
      <c r="P143" s="198"/>
      <c r="Q143" s="189"/>
      <c r="R143" s="180"/>
      <c r="S143" s="180"/>
      <c r="T143" s="180"/>
      <c r="U143" s="180"/>
      <c r="V143" s="180"/>
    </row>
    <row r="144" spans="1:22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1"/>
      <c r="M144" s="71"/>
      <c r="N144" s="71"/>
      <c r="O144" s="71"/>
      <c r="P144" s="198"/>
      <c r="Q144" s="189"/>
      <c r="R144" s="180"/>
      <c r="S144" s="180"/>
      <c r="T144" s="180"/>
      <c r="U144" s="180"/>
      <c r="V144" s="180"/>
    </row>
    <row r="145" spans="1:22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1"/>
      <c r="M145" s="71"/>
      <c r="N145" s="71"/>
      <c r="O145" s="71"/>
      <c r="P145" s="198"/>
      <c r="Q145" s="189"/>
      <c r="R145" s="180"/>
      <c r="S145" s="180"/>
      <c r="T145" s="180"/>
      <c r="U145" s="180"/>
      <c r="V145" s="180"/>
    </row>
    <row r="146" spans="1:22">
      <c r="A146" s="180"/>
      <c r="B146" s="180"/>
      <c r="C146" s="180"/>
      <c r="D146" s="180"/>
      <c r="E146" s="180"/>
      <c r="F146" s="180"/>
      <c r="G146" s="180"/>
      <c r="H146" s="180"/>
      <c r="I146" s="180"/>
      <c r="J146" s="180"/>
      <c r="K146" s="180"/>
      <c r="L146" s="181"/>
      <c r="M146" s="71"/>
      <c r="N146" s="71"/>
      <c r="O146" s="71"/>
      <c r="P146" s="198"/>
      <c r="Q146" s="189"/>
      <c r="R146" s="180"/>
      <c r="S146" s="180"/>
      <c r="T146" s="180"/>
      <c r="U146" s="180"/>
      <c r="V146" s="180"/>
    </row>
    <row r="147" spans="1:22">
      <c r="A147" s="180"/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1"/>
      <c r="M147" s="71"/>
      <c r="N147" s="71"/>
      <c r="O147" s="71"/>
      <c r="P147" s="198"/>
      <c r="Q147" s="189"/>
      <c r="R147" s="180"/>
      <c r="S147" s="180"/>
      <c r="T147" s="180"/>
      <c r="U147" s="180"/>
      <c r="V147" s="180"/>
    </row>
    <row r="148" spans="1:22">
      <c r="A148" s="180"/>
      <c r="B148" s="180"/>
      <c r="C148" s="180"/>
      <c r="D148" s="180"/>
      <c r="E148" s="180"/>
      <c r="F148" s="180"/>
      <c r="G148" s="180"/>
      <c r="H148" s="180"/>
      <c r="I148" s="180"/>
      <c r="J148" s="180"/>
      <c r="K148" s="180"/>
      <c r="L148" s="181"/>
      <c r="M148" s="71"/>
      <c r="N148" s="71"/>
      <c r="O148" s="71"/>
      <c r="P148" s="198"/>
      <c r="Q148" s="189"/>
      <c r="R148" s="180"/>
      <c r="S148" s="180"/>
      <c r="T148" s="180"/>
      <c r="U148" s="180"/>
      <c r="V148" s="180"/>
    </row>
    <row r="149" spans="1:22">
      <c r="A149" s="180"/>
      <c r="B149" s="180"/>
      <c r="C149" s="180"/>
      <c r="D149" s="180"/>
      <c r="E149" s="180"/>
      <c r="F149" s="180"/>
      <c r="G149" s="180"/>
      <c r="H149" s="180"/>
      <c r="I149" s="180"/>
      <c r="J149" s="180"/>
      <c r="K149" s="180"/>
      <c r="L149" s="181"/>
      <c r="M149" s="71"/>
      <c r="N149" s="71"/>
      <c r="O149" s="71"/>
      <c r="P149" s="198"/>
      <c r="Q149" s="189"/>
      <c r="R149" s="180"/>
      <c r="S149" s="180"/>
      <c r="T149" s="180"/>
      <c r="U149" s="180"/>
      <c r="V149" s="180"/>
    </row>
    <row r="150" spans="1:22">
      <c r="A150" s="180"/>
      <c r="B150" s="180"/>
      <c r="C150" s="180"/>
      <c r="D150" s="180"/>
      <c r="E150" s="180"/>
      <c r="F150" s="180"/>
      <c r="G150" s="180"/>
      <c r="H150" s="180"/>
      <c r="I150" s="180"/>
      <c r="J150" s="180"/>
      <c r="K150" s="180"/>
      <c r="L150" s="181"/>
      <c r="M150" s="71"/>
      <c r="N150" s="71"/>
      <c r="O150" s="71"/>
      <c r="P150" s="198"/>
      <c r="Q150" s="189"/>
      <c r="R150" s="180"/>
      <c r="S150" s="180"/>
      <c r="T150" s="180"/>
      <c r="U150" s="180"/>
      <c r="V150" s="180"/>
    </row>
    <row r="151" spans="1:22">
      <c r="A151" s="180"/>
      <c r="B151" s="180"/>
      <c r="C151" s="180"/>
      <c r="D151" s="180"/>
      <c r="E151" s="180"/>
      <c r="F151" s="180"/>
      <c r="G151" s="180"/>
      <c r="H151" s="180"/>
      <c r="I151" s="180"/>
      <c r="J151" s="180"/>
      <c r="K151" s="180"/>
      <c r="L151" s="181"/>
      <c r="M151" s="71"/>
      <c r="N151" s="71"/>
      <c r="O151" s="71"/>
      <c r="P151" s="198"/>
      <c r="Q151" s="189"/>
      <c r="R151" s="180"/>
      <c r="S151" s="180"/>
      <c r="T151" s="180"/>
      <c r="U151" s="180"/>
      <c r="V151" s="180"/>
    </row>
    <row r="152" spans="1:22">
      <c r="A152" s="180"/>
      <c r="B152" s="180"/>
      <c r="C152" s="180"/>
      <c r="D152" s="180"/>
      <c r="E152" s="180"/>
      <c r="F152" s="180"/>
      <c r="G152" s="180"/>
      <c r="H152" s="180"/>
      <c r="I152" s="180"/>
      <c r="J152" s="180"/>
      <c r="K152" s="180"/>
      <c r="L152" s="181"/>
      <c r="M152" s="71"/>
      <c r="N152" s="71"/>
      <c r="O152" s="71"/>
      <c r="P152" s="198"/>
      <c r="Q152" s="189"/>
      <c r="R152" s="180"/>
      <c r="S152" s="180"/>
      <c r="T152" s="180"/>
      <c r="U152" s="180"/>
      <c r="V152" s="180"/>
    </row>
    <row r="153" spans="1:22">
      <c r="A153" s="180"/>
      <c r="B153" s="180"/>
      <c r="C153" s="180"/>
      <c r="D153" s="180"/>
      <c r="E153" s="180"/>
      <c r="F153" s="180"/>
      <c r="G153" s="180"/>
      <c r="H153" s="180"/>
      <c r="I153" s="180"/>
      <c r="J153" s="180"/>
      <c r="K153" s="180"/>
      <c r="L153" s="181"/>
      <c r="M153" s="71"/>
      <c r="N153" s="71"/>
      <c r="O153" s="71"/>
      <c r="P153" s="198"/>
      <c r="Q153" s="189"/>
      <c r="R153" s="180"/>
      <c r="S153" s="180"/>
      <c r="T153" s="180"/>
      <c r="U153" s="180"/>
      <c r="V153" s="180"/>
    </row>
    <row r="154" spans="1:22">
      <c r="A154" s="180"/>
      <c r="B154" s="180"/>
      <c r="C154" s="180"/>
      <c r="D154" s="180"/>
      <c r="E154" s="180"/>
      <c r="F154" s="180"/>
      <c r="G154" s="180"/>
      <c r="H154" s="180"/>
      <c r="I154" s="180"/>
      <c r="J154" s="180"/>
      <c r="K154" s="180"/>
      <c r="L154" s="181"/>
      <c r="M154" s="71"/>
      <c r="N154" s="71"/>
      <c r="O154" s="71"/>
      <c r="P154" s="198"/>
      <c r="Q154" s="189"/>
      <c r="R154" s="180"/>
      <c r="S154" s="180"/>
      <c r="T154" s="180"/>
      <c r="U154" s="180"/>
      <c r="V154" s="180"/>
    </row>
    <row r="155" spans="1:22">
      <c r="A155" s="180"/>
      <c r="B155" s="180"/>
      <c r="C155" s="180"/>
      <c r="D155" s="180"/>
      <c r="E155" s="180"/>
      <c r="F155" s="180"/>
      <c r="G155" s="180"/>
      <c r="H155" s="180"/>
      <c r="I155" s="180"/>
      <c r="J155" s="180"/>
      <c r="K155" s="180"/>
      <c r="L155" s="181"/>
      <c r="M155" s="71"/>
      <c r="N155" s="71"/>
      <c r="O155" s="71"/>
      <c r="P155" s="198"/>
      <c r="Q155" s="189"/>
      <c r="R155" s="180"/>
      <c r="S155" s="180"/>
      <c r="T155" s="180"/>
      <c r="U155" s="180"/>
      <c r="V155" s="180"/>
    </row>
    <row r="156" spans="1:22">
      <c r="A156" s="180"/>
      <c r="B156" s="180"/>
      <c r="C156" s="180"/>
      <c r="D156" s="180"/>
      <c r="E156" s="180"/>
      <c r="F156" s="180"/>
      <c r="G156" s="180"/>
      <c r="H156" s="180"/>
      <c r="I156" s="180"/>
      <c r="J156" s="180"/>
      <c r="K156" s="180"/>
      <c r="L156" s="181"/>
      <c r="M156" s="71"/>
      <c r="N156" s="71"/>
      <c r="O156" s="71"/>
      <c r="P156" s="198"/>
      <c r="Q156" s="189"/>
      <c r="R156" s="180"/>
      <c r="S156" s="180"/>
      <c r="T156" s="180"/>
      <c r="U156" s="180"/>
      <c r="V156" s="180"/>
    </row>
    <row r="157" spans="1:22">
      <c r="A157" s="180"/>
      <c r="B157" s="180"/>
      <c r="C157" s="180"/>
      <c r="D157" s="180"/>
      <c r="E157" s="180"/>
      <c r="F157" s="180"/>
      <c r="G157" s="180"/>
      <c r="H157" s="180"/>
      <c r="I157" s="180"/>
      <c r="J157" s="180"/>
      <c r="K157" s="180"/>
      <c r="L157" s="181"/>
      <c r="M157" s="71"/>
      <c r="N157" s="71"/>
      <c r="O157" s="71"/>
      <c r="P157" s="198"/>
      <c r="Q157" s="189"/>
      <c r="R157" s="180"/>
      <c r="S157" s="180"/>
      <c r="T157" s="180"/>
      <c r="U157" s="180"/>
      <c r="V157" s="180"/>
    </row>
    <row r="158" spans="1:22">
      <c r="A158" s="180"/>
      <c r="B158" s="180"/>
      <c r="C158" s="180"/>
      <c r="D158" s="180"/>
      <c r="E158" s="180"/>
      <c r="F158" s="180"/>
      <c r="G158" s="180"/>
      <c r="H158" s="180"/>
      <c r="I158" s="180"/>
      <c r="J158" s="180"/>
      <c r="K158" s="180"/>
      <c r="L158" s="181"/>
      <c r="M158" s="71"/>
      <c r="N158" s="71"/>
      <c r="O158" s="71"/>
      <c r="P158" s="198"/>
      <c r="Q158" s="189"/>
      <c r="R158" s="180"/>
      <c r="S158" s="180"/>
      <c r="T158" s="180"/>
      <c r="U158" s="180"/>
      <c r="V158" s="180"/>
    </row>
    <row r="159" spans="1:22">
      <c r="A159" s="180"/>
      <c r="B159" s="180"/>
      <c r="C159" s="180"/>
      <c r="D159" s="180"/>
      <c r="E159" s="180"/>
      <c r="F159" s="180"/>
      <c r="G159" s="180"/>
      <c r="H159" s="180"/>
      <c r="I159" s="180"/>
      <c r="J159" s="180"/>
      <c r="K159" s="180"/>
      <c r="L159" s="181"/>
      <c r="M159" s="71"/>
      <c r="N159" s="71"/>
      <c r="O159" s="71"/>
      <c r="P159" s="198"/>
      <c r="Q159" s="189"/>
      <c r="R159" s="180"/>
      <c r="S159" s="180"/>
      <c r="T159" s="180"/>
      <c r="U159" s="180"/>
      <c r="V159" s="180"/>
    </row>
    <row r="160" spans="1:22">
      <c r="A160" s="180"/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1"/>
      <c r="M160" s="71"/>
      <c r="N160" s="71"/>
      <c r="O160" s="71"/>
      <c r="P160" s="198"/>
      <c r="Q160" s="189"/>
      <c r="R160" s="180"/>
      <c r="S160" s="180"/>
      <c r="T160" s="180"/>
      <c r="U160" s="180"/>
      <c r="V160" s="180"/>
    </row>
    <row r="161" spans="1:22">
      <c r="A161" s="180"/>
      <c r="B161" s="180"/>
      <c r="C161" s="180"/>
      <c r="D161" s="180"/>
      <c r="E161" s="180"/>
      <c r="F161" s="180"/>
      <c r="G161" s="180"/>
      <c r="H161" s="180"/>
      <c r="I161" s="180"/>
      <c r="J161" s="180"/>
      <c r="K161" s="180"/>
      <c r="L161" s="181"/>
      <c r="M161" s="71"/>
      <c r="N161" s="71"/>
      <c r="O161" s="71"/>
      <c r="P161" s="198"/>
      <c r="Q161" s="189"/>
      <c r="R161" s="180"/>
      <c r="S161" s="180"/>
      <c r="T161" s="180"/>
      <c r="U161" s="180"/>
      <c r="V161" s="180"/>
    </row>
    <row r="162" spans="1:22">
      <c r="A162" s="180"/>
      <c r="B162" s="180"/>
      <c r="C162" s="180"/>
      <c r="D162" s="180"/>
      <c r="E162" s="180"/>
      <c r="F162" s="180"/>
      <c r="G162" s="180"/>
      <c r="H162" s="180"/>
      <c r="I162" s="180"/>
      <c r="J162" s="180"/>
      <c r="K162" s="180"/>
      <c r="L162" s="181"/>
      <c r="M162" s="71"/>
      <c r="N162" s="71"/>
      <c r="O162" s="71"/>
      <c r="P162" s="198"/>
      <c r="Q162" s="189"/>
      <c r="R162" s="180"/>
      <c r="S162" s="180"/>
      <c r="T162" s="180"/>
      <c r="U162" s="180"/>
      <c r="V162" s="180"/>
    </row>
    <row r="163" spans="1:22">
      <c r="A163" s="180"/>
      <c r="B163" s="180"/>
      <c r="C163" s="180"/>
      <c r="D163" s="180"/>
      <c r="E163" s="180"/>
      <c r="F163" s="180"/>
      <c r="G163" s="180"/>
      <c r="H163" s="180"/>
      <c r="I163" s="180"/>
      <c r="J163" s="180"/>
      <c r="K163" s="180"/>
      <c r="L163" s="181"/>
      <c r="M163" s="71"/>
      <c r="N163" s="71"/>
      <c r="O163" s="71"/>
      <c r="P163" s="198"/>
      <c r="Q163" s="189"/>
      <c r="R163" s="180"/>
      <c r="S163" s="180"/>
      <c r="T163" s="180"/>
      <c r="U163" s="180"/>
      <c r="V163" s="180"/>
    </row>
    <row r="164" spans="1:22">
      <c r="A164" s="180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1"/>
      <c r="M164" s="71"/>
      <c r="N164" s="71"/>
      <c r="O164" s="71"/>
      <c r="P164" s="198"/>
      <c r="Q164" s="189"/>
      <c r="R164" s="180"/>
      <c r="S164" s="180"/>
      <c r="T164" s="180"/>
      <c r="U164" s="180"/>
      <c r="V164" s="180"/>
    </row>
    <row r="165" spans="1:22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1"/>
      <c r="M165" s="71"/>
      <c r="N165" s="71"/>
      <c r="O165" s="71"/>
      <c r="P165" s="198"/>
      <c r="Q165" s="189"/>
      <c r="R165" s="180"/>
      <c r="S165" s="180"/>
      <c r="T165" s="180"/>
      <c r="U165" s="180"/>
      <c r="V165" s="180"/>
    </row>
    <row r="166" spans="1:22">
      <c r="A166" s="180"/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1"/>
      <c r="M166" s="71"/>
      <c r="N166" s="71"/>
      <c r="O166" s="71"/>
      <c r="P166" s="198"/>
      <c r="Q166" s="189"/>
      <c r="R166" s="180"/>
      <c r="S166" s="180"/>
      <c r="T166" s="180"/>
      <c r="U166" s="180"/>
      <c r="V166" s="180"/>
    </row>
    <row r="167" spans="1:22">
      <c r="A167" s="180"/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1"/>
      <c r="M167" s="71"/>
      <c r="N167" s="71"/>
      <c r="O167" s="71"/>
      <c r="P167" s="198"/>
      <c r="Q167" s="189"/>
      <c r="R167" s="180"/>
      <c r="S167" s="180"/>
      <c r="T167" s="180"/>
      <c r="U167" s="180"/>
      <c r="V167" s="180"/>
    </row>
    <row r="168" spans="1:22">
      <c r="A168" s="180"/>
      <c r="B168" s="180"/>
      <c r="C168" s="180"/>
      <c r="D168" s="180"/>
      <c r="E168" s="180"/>
      <c r="F168" s="180"/>
      <c r="G168" s="180"/>
      <c r="H168" s="180"/>
      <c r="I168" s="180"/>
      <c r="J168" s="180"/>
      <c r="K168" s="180"/>
      <c r="L168" s="181"/>
      <c r="M168" s="71"/>
      <c r="N168" s="71"/>
      <c r="O168" s="71"/>
      <c r="P168" s="198"/>
      <c r="Q168" s="189"/>
      <c r="R168" s="180"/>
      <c r="S168" s="180"/>
      <c r="T168" s="180"/>
      <c r="U168" s="180"/>
      <c r="V168" s="180"/>
    </row>
    <row r="169" spans="1:22">
      <c r="A169" s="180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1"/>
      <c r="M169" s="71"/>
      <c r="N169" s="71"/>
      <c r="O169" s="71"/>
      <c r="P169" s="198"/>
      <c r="Q169" s="189"/>
      <c r="R169" s="180"/>
      <c r="S169" s="180"/>
      <c r="T169" s="180"/>
      <c r="U169" s="180"/>
      <c r="V169" s="180"/>
    </row>
    <row r="170" spans="1:22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1"/>
      <c r="M170" s="71"/>
      <c r="N170" s="71"/>
      <c r="O170" s="71"/>
      <c r="P170" s="198"/>
      <c r="Q170" s="189"/>
      <c r="R170" s="180"/>
      <c r="S170" s="180"/>
      <c r="T170" s="180"/>
      <c r="U170" s="180"/>
      <c r="V170" s="180"/>
    </row>
    <row r="171" spans="1:22">
      <c r="A171" s="180"/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1"/>
      <c r="M171" s="71"/>
      <c r="N171" s="71"/>
      <c r="O171" s="71"/>
      <c r="P171" s="198"/>
      <c r="Q171" s="189"/>
      <c r="R171" s="180"/>
      <c r="S171" s="180"/>
      <c r="T171" s="180"/>
      <c r="U171" s="180"/>
      <c r="V171" s="180"/>
    </row>
    <row r="172" spans="1:22">
      <c r="A172" s="180"/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1"/>
      <c r="M172" s="71"/>
      <c r="N172" s="71"/>
      <c r="O172" s="71"/>
      <c r="P172" s="198"/>
      <c r="Q172" s="189"/>
      <c r="R172" s="180"/>
      <c r="S172" s="180"/>
      <c r="T172" s="180"/>
      <c r="U172" s="180"/>
      <c r="V172" s="180"/>
    </row>
    <row r="173" spans="1:22">
      <c r="A173" s="180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1"/>
      <c r="M173" s="71"/>
      <c r="N173" s="71"/>
      <c r="O173" s="71"/>
      <c r="P173" s="198"/>
      <c r="Q173" s="189"/>
      <c r="R173" s="180"/>
      <c r="S173" s="180"/>
      <c r="T173" s="180"/>
      <c r="U173" s="180"/>
      <c r="V173" s="180"/>
    </row>
    <row r="174" spans="1:22">
      <c r="A174" s="180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1"/>
      <c r="M174" s="71"/>
      <c r="N174" s="71"/>
      <c r="O174" s="71"/>
      <c r="P174" s="198"/>
      <c r="Q174" s="189"/>
      <c r="R174" s="180"/>
      <c r="S174" s="180"/>
      <c r="T174" s="180"/>
      <c r="U174" s="180"/>
      <c r="V174" s="180"/>
    </row>
    <row r="175" spans="1:22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1"/>
      <c r="M175" s="71"/>
      <c r="N175" s="71"/>
      <c r="O175" s="71"/>
      <c r="P175" s="198"/>
      <c r="Q175" s="189"/>
      <c r="R175" s="180"/>
      <c r="S175" s="180"/>
      <c r="T175" s="180"/>
      <c r="U175" s="180"/>
      <c r="V175" s="180"/>
    </row>
    <row r="176" spans="1:22">
      <c r="A176" s="180"/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1"/>
      <c r="M176" s="71"/>
      <c r="N176" s="71"/>
      <c r="O176" s="71"/>
      <c r="P176" s="198"/>
      <c r="Q176" s="189"/>
      <c r="R176" s="180"/>
      <c r="S176" s="180"/>
      <c r="T176" s="180"/>
      <c r="U176" s="180"/>
      <c r="V176" s="180"/>
    </row>
    <row r="177" spans="1:22">
      <c r="A177" s="180"/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1"/>
      <c r="M177" s="71"/>
      <c r="N177" s="71"/>
      <c r="O177" s="71"/>
      <c r="P177" s="198"/>
      <c r="Q177" s="189"/>
      <c r="R177" s="180"/>
      <c r="S177" s="180"/>
      <c r="T177" s="180"/>
      <c r="U177" s="180"/>
      <c r="V177" s="180"/>
    </row>
    <row r="178" spans="1:22">
      <c r="A178" s="180"/>
      <c r="B178" s="180"/>
      <c r="C178" s="180"/>
      <c r="D178" s="180"/>
      <c r="E178" s="180"/>
      <c r="F178" s="180"/>
      <c r="G178" s="180"/>
      <c r="H178" s="180"/>
      <c r="I178" s="180"/>
      <c r="J178" s="180"/>
      <c r="K178" s="180"/>
      <c r="L178" s="181"/>
      <c r="M178" s="71"/>
      <c r="N178" s="71"/>
      <c r="O178" s="71"/>
      <c r="P178" s="198"/>
      <c r="Q178" s="189"/>
      <c r="R178" s="180"/>
      <c r="S178" s="180"/>
      <c r="T178" s="180"/>
      <c r="U178" s="180"/>
      <c r="V178" s="180"/>
    </row>
    <row r="179" spans="1:22">
      <c r="A179" s="180"/>
      <c r="B179" s="180"/>
      <c r="C179" s="180"/>
      <c r="D179" s="180"/>
      <c r="E179" s="180"/>
      <c r="F179" s="180"/>
      <c r="G179" s="180"/>
      <c r="H179" s="180"/>
      <c r="I179" s="180"/>
      <c r="J179" s="180"/>
      <c r="K179" s="180"/>
      <c r="L179" s="181"/>
      <c r="M179" s="71"/>
      <c r="N179" s="71"/>
      <c r="O179" s="71"/>
      <c r="P179" s="198"/>
      <c r="Q179" s="189"/>
      <c r="R179" s="180"/>
      <c r="S179" s="180"/>
      <c r="T179" s="180"/>
      <c r="U179" s="180"/>
      <c r="V179" s="180"/>
    </row>
    <row r="180" spans="1:22">
      <c r="A180" s="180"/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1"/>
      <c r="M180" s="71"/>
      <c r="N180" s="71"/>
      <c r="O180" s="71"/>
      <c r="P180" s="198"/>
      <c r="Q180" s="189"/>
      <c r="R180" s="180"/>
      <c r="S180" s="180"/>
      <c r="T180" s="180"/>
      <c r="U180" s="180"/>
      <c r="V180" s="180"/>
    </row>
    <row r="181" spans="1:22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1"/>
      <c r="M181" s="71"/>
      <c r="N181" s="71"/>
      <c r="O181" s="71"/>
      <c r="P181" s="198"/>
      <c r="Q181" s="189"/>
      <c r="R181" s="180"/>
      <c r="S181" s="180"/>
      <c r="T181" s="180"/>
      <c r="U181" s="180"/>
      <c r="V181" s="180"/>
    </row>
    <row r="182" spans="1:22">
      <c r="A182" s="180"/>
      <c r="B182" s="180"/>
      <c r="C182" s="180"/>
      <c r="D182" s="180"/>
      <c r="E182" s="180"/>
      <c r="F182" s="180"/>
      <c r="G182" s="180"/>
      <c r="H182" s="180"/>
      <c r="I182" s="180"/>
      <c r="J182" s="180"/>
      <c r="K182" s="180"/>
      <c r="L182" s="181"/>
      <c r="M182" s="71"/>
      <c r="N182" s="71"/>
      <c r="O182" s="71"/>
      <c r="P182" s="198"/>
      <c r="Q182" s="189"/>
      <c r="R182" s="180"/>
      <c r="S182" s="180"/>
      <c r="T182" s="180"/>
      <c r="U182" s="180"/>
      <c r="V182" s="180"/>
    </row>
    <row r="183" spans="1:22">
      <c r="A183" s="180"/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1"/>
      <c r="M183" s="71"/>
      <c r="N183" s="71"/>
      <c r="O183" s="71"/>
      <c r="P183" s="198"/>
      <c r="Q183" s="189"/>
      <c r="R183" s="180"/>
      <c r="S183" s="180"/>
      <c r="T183" s="180"/>
      <c r="U183" s="180"/>
      <c r="V183" s="180"/>
    </row>
    <row r="184" spans="1:22">
      <c r="A184" s="180"/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  <c r="L184" s="181"/>
      <c r="M184" s="71"/>
      <c r="N184" s="71"/>
      <c r="O184" s="71"/>
      <c r="P184" s="198"/>
      <c r="Q184" s="189"/>
      <c r="R184" s="180"/>
      <c r="S184" s="180"/>
      <c r="T184" s="180"/>
      <c r="U184" s="180"/>
      <c r="V184" s="180"/>
    </row>
    <row r="185" spans="1:22">
      <c r="A185" s="180"/>
      <c r="B185" s="180"/>
      <c r="C185" s="180"/>
      <c r="D185" s="180"/>
      <c r="E185" s="180"/>
      <c r="F185" s="180"/>
      <c r="G185" s="180"/>
      <c r="H185" s="180"/>
      <c r="I185" s="180"/>
      <c r="J185" s="180"/>
      <c r="K185" s="180"/>
      <c r="L185" s="181"/>
      <c r="M185" s="196"/>
      <c r="N185" s="196"/>
      <c r="O185" s="196"/>
      <c r="P185" s="197"/>
      <c r="Q185" s="196"/>
      <c r="R185" s="180"/>
      <c r="S185" s="180"/>
      <c r="T185" s="180"/>
      <c r="U185" s="180"/>
      <c r="V185" s="180"/>
    </row>
    <row r="186" spans="1:22">
      <c r="A186" s="180"/>
      <c r="B186" s="180"/>
      <c r="C186" s="180"/>
      <c r="D186" s="180"/>
      <c r="E186" s="180"/>
      <c r="F186" s="180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</row>
    <row r="187" spans="1:22">
      <c r="A187" s="180"/>
      <c r="B187" s="180"/>
      <c r="C187" s="180"/>
      <c r="D187" s="180"/>
      <c r="E187" s="180"/>
      <c r="F187" s="180"/>
      <c r="G187" s="180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</row>
    <row r="188" spans="1:22">
      <c r="A188" s="180"/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</row>
    <row r="189" spans="1:22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</row>
    <row r="190" spans="1:22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</row>
    <row r="191" spans="1:22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</row>
    <row r="192" spans="1:22">
      <c r="A192" s="180"/>
      <c r="B192" s="180"/>
      <c r="C192" s="180"/>
      <c r="D192" s="180"/>
      <c r="E192" s="180"/>
      <c r="F192" s="180"/>
      <c r="G192" s="180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</row>
    <row r="193" spans="1:22">
      <c r="A193" s="180"/>
      <c r="B193" s="180"/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</row>
    <row r="194" spans="1:22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</row>
    <row r="195" spans="1:22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</row>
    <row r="196" spans="1:22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</row>
    <row r="197" spans="1:22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</row>
    <row r="198" spans="1:22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</row>
    <row r="199" spans="1:22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</row>
    <row r="200" spans="1:22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</row>
    <row r="201" spans="1:22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</row>
    <row r="202" spans="1:22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</row>
    <row r="203" spans="1:22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</row>
    <row r="204" spans="1:22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</row>
    <row r="205" spans="1:22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</row>
    <row r="206" spans="1:22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</row>
    <row r="207" spans="1:22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</row>
    <row r="208" spans="1:22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</row>
    <row r="209" spans="1:22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</row>
    <row r="210" spans="1:22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</row>
    <row r="211" spans="1:22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</row>
    <row r="212" spans="1:22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</row>
    <row r="213" spans="1:22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</row>
    <row r="214" spans="1:22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</row>
    <row r="215" spans="1:22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</row>
    <row r="216" spans="1:22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</row>
    <row r="217" spans="1:22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</row>
    <row r="218" spans="1:22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</row>
    <row r="219" spans="1:22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</row>
    <row r="220" spans="1:22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</row>
    <row r="221" spans="1:22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</row>
    <row r="222" spans="1:22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</row>
  </sheetData>
  <mergeCells count="8">
    <mergeCell ref="L126:Q130"/>
    <mergeCell ref="B1:E1"/>
    <mergeCell ref="F1:I1"/>
    <mergeCell ref="L1:Q1"/>
    <mergeCell ref="L59:Q63"/>
    <mergeCell ref="B68:E68"/>
    <mergeCell ref="F68:I68"/>
    <mergeCell ref="L68:Q6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showGridLines="0" zoomScaleNormal="100" workbookViewId="0">
      <selection activeCell="D4" sqref="D4"/>
    </sheetView>
  </sheetViews>
  <sheetFormatPr baseColWidth="10" defaultRowHeight="12.75"/>
  <cols>
    <col min="1" max="1" width="48.140625" style="67" customWidth="1"/>
    <col min="2" max="2" width="20" style="68" customWidth="1"/>
    <col min="3" max="3" width="15.42578125" style="67" customWidth="1"/>
    <col min="4" max="4" width="29.28515625" style="67" customWidth="1"/>
    <col min="5" max="16384" width="11.42578125" style="67"/>
  </cols>
  <sheetData>
    <row r="1" spans="1:4" ht="15.75">
      <c r="A1" s="434" t="s">
        <v>247</v>
      </c>
      <c r="B1" s="435"/>
      <c r="C1" s="435"/>
      <c r="D1" s="435"/>
    </row>
    <row r="2" spans="1:4" ht="15.75">
      <c r="A2" s="433" t="s">
        <v>356</v>
      </c>
      <c r="B2" s="433"/>
      <c r="C2" s="433"/>
      <c r="D2" s="433"/>
    </row>
    <row r="3" spans="1:4" ht="15.75">
      <c r="A3" s="269" t="s">
        <v>185</v>
      </c>
      <c r="B3" s="270" t="s">
        <v>324</v>
      </c>
      <c r="C3" s="271" t="s">
        <v>186</v>
      </c>
      <c r="D3" s="271" t="s">
        <v>357</v>
      </c>
    </row>
    <row r="4" spans="1:4" ht="15.75">
      <c r="A4" s="272" t="s">
        <v>187</v>
      </c>
      <c r="B4" s="273">
        <v>313860.92</v>
      </c>
      <c r="C4" s="274">
        <f>+B4/$B$55</f>
        <v>1.4049789148285209E-4</v>
      </c>
      <c r="D4" s="275">
        <f t="shared" ref="D4:D54" si="0">+B$58*C4</f>
        <v>3419.7751026458395</v>
      </c>
    </row>
    <row r="5" spans="1:4" ht="15.75">
      <c r="A5" s="276" t="s">
        <v>188</v>
      </c>
      <c r="B5" s="277">
        <v>106688</v>
      </c>
      <c r="C5" s="278">
        <f t="shared" ref="C5:C54" si="1">+B5/$B$55</f>
        <v>4.775822057273816E-5</v>
      </c>
      <c r="D5" s="279">
        <f t="shared" si="0"/>
        <v>1162.4542684418288</v>
      </c>
    </row>
    <row r="6" spans="1:4" ht="15.75">
      <c r="A6" s="276" t="s">
        <v>189</v>
      </c>
      <c r="B6" s="277">
        <v>41150.239999999998</v>
      </c>
      <c r="C6" s="278">
        <f t="shared" si="1"/>
        <v>1.8420649356451642E-5</v>
      </c>
      <c r="D6" s="279">
        <f t="shared" si="0"/>
        <v>448.36600306881456</v>
      </c>
    </row>
    <row r="7" spans="1:4" ht="15.75">
      <c r="A7" s="276" t="s">
        <v>190</v>
      </c>
      <c r="B7" s="277">
        <v>29551356.170000002</v>
      </c>
      <c r="C7" s="278">
        <f t="shared" si="1"/>
        <v>1.3228481049325199E-2</v>
      </c>
      <c r="D7" s="279">
        <f t="shared" si="0"/>
        <v>321986.54129856476</v>
      </c>
    </row>
    <row r="8" spans="1:4" ht="15.75">
      <c r="A8" s="276" t="s">
        <v>191</v>
      </c>
      <c r="B8" s="277">
        <v>1061010.42</v>
      </c>
      <c r="C8" s="278">
        <f t="shared" si="1"/>
        <v>4.7495472469568793E-4</v>
      </c>
      <c r="D8" s="279">
        <f t="shared" si="0"/>
        <v>11560.588740910483</v>
      </c>
    </row>
    <row r="9" spans="1:4" ht="15.75">
      <c r="A9" s="280" t="s">
        <v>192</v>
      </c>
      <c r="B9" s="277">
        <v>246663047.44</v>
      </c>
      <c r="C9" s="278">
        <f t="shared" si="1"/>
        <v>0.11041718118985544</v>
      </c>
      <c r="D9" s="279">
        <f t="shared" si="0"/>
        <v>2687598.5337010473</v>
      </c>
    </row>
    <row r="10" spans="1:4" ht="15.75">
      <c r="A10" s="276" t="s">
        <v>193</v>
      </c>
      <c r="B10" s="277">
        <v>47519.5</v>
      </c>
      <c r="C10" s="278">
        <f t="shared" si="1"/>
        <v>2.1271809036688578E-5</v>
      </c>
      <c r="D10" s="279">
        <f t="shared" si="0"/>
        <v>517.76437471150916</v>
      </c>
    </row>
    <row r="11" spans="1:4" ht="15.75">
      <c r="A11" s="276" t="s">
        <v>194</v>
      </c>
      <c r="B11" s="277">
        <v>954046.18</v>
      </c>
      <c r="C11" s="278">
        <f t="shared" si="1"/>
        <v>4.2707284700264561E-4</v>
      </c>
      <c r="D11" s="279">
        <f t="shared" si="0"/>
        <v>10395.124608499751</v>
      </c>
    </row>
    <row r="12" spans="1:4" ht="15.75">
      <c r="A12" s="276" t="s">
        <v>195</v>
      </c>
      <c r="B12" s="277">
        <v>21931008.399999999</v>
      </c>
      <c r="C12" s="278">
        <f t="shared" si="1"/>
        <v>9.8172796992142819E-3</v>
      </c>
      <c r="D12" s="279">
        <f t="shared" si="0"/>
        <v>238956.53049840283</v>
      </c>
    </row>
    <row r="13" spans="1:4" ht="15.75">
      <c r="A13" s="276" t="s">
        <v>196</v>
      </c>
      <c r="B13" s="277">
        <v>12384776.130000001</v>
      </c>
      <c r="C13" s="278">
        <f t="shared" si="1"/>
        <v>5.5439681141320725E-3</v>
      </c>
      <c r="D13" s="279">
        <f t="shared" si="0"/>
        <v>134942.4103555693</v>
      </c>
    </row>
    <row r="14" spans="1:4" ht="15.75">
      <c r="A14" s="276" t="s">
        <v>197</v>
      </c>
      <c r="B14" s="277">
        <v>752387.65</v>
      </c>
      <c r="C14" s="278">
        <f t="shared" si="1"/>
        <v>3.3680165852677078E-4</v>
      </c>
      <c r="D14" s="279">
        <f t="shared" si="0"/>
        <v>8197.8876280876666</v>
      </c>
    </row>
    <row r="15" spans="1:4" ht="15.75">
      <c r="A15" s="276" t="s">
        <v>198</v>
      </c>
      <c r="B15" s="281">
        <v>997925.55</v>
      </c>
      <c r="C15" s="278">
        <f t="shared" si="1"/>
        <v>4.4671517445327537E-4</v>
      </c>
      <c r="D15" s="279">
        <f t="shared" si="0"/>
        <v>10873.226747006784</v>
      </c>
    </row>
    <row r="16" spans="1:4" ht="15.75">
      <c r="A16" s="276" t="s">
        <v>199</v>
      </c>
      <c r="B16" s="277">
        <v>29760786.390000001</v>
      </c>
      <c r="C16" s="278">
        <f t="shared" si="1"/>
        <v>1.3322231186560474E-2</v>
      </c>
      <c r="D16" s="279">
        <f t="shared" si="0"/>
        <v>324268.45728892647</v>
      </c>
    </row>
    <row r="17" spans="1:7" ht="15.75">
      <c r="A17" s="276" t="s">
        <v>200</v>
      </c>
      <c r="B17" s="277">
        <v>175577.60000000001</v>
      </c>
      <c r="C17" s="278">
        <f t="shared" si="1"/>
        <v>7.85962221471205E-5</v>
      </c>
      <c r="D17" s="279">
        <f t="shared" si="0"/>
        <v>1913.0636113037274</v>
      </c>
    </row>
    <row r="18" spans="1:7" ht="15.75">
      <c r="A18" s="276" t="s">
        <v>201</v>
      </c>
      <c r="B18" s="277">
        <v>81812.600000000006</v>
      </c>
      <c r="C18" s="278">
        <f t="shared" si="1"/>
        <v>3.6622902261071523E-5</v>
      </c>
      <c r="D18" s="279">
        <f t="shared" si="0"/>
        <v>891.41614879202893</v>
      </c>
    </row>
    <row r="19" spans="1:7" ht="15.75">
      <c r="A19" s="276" t="s">
        <v>202</v>
      </c>
      <c r="B19" s="282">
        <v>2487457.71</v>
      </c>
      <c r="C19" s="278">
        <f t="shared" si="1"/>
        <v>1.1134949945592583E-3</v>
      </c>
      <c r="D19" s="279">
        <f t="shared" si="0"/>
        <v>27102.915347162165</v>
      </c>
    </row>
    <row r="20" spans="1:7" ht="15.75">
      <c r="A20" s="276" t="s">
        <v>203</v>
      </c>
      <c r="B20" s="277">
        <v>919750.84</v>
      </c>
      <c r="C20" s="278">
        <f t="shared" si="1"/>
        <v>4.1172075105617507E-4</v>
      </c>
      <c r="D20" s="279">
        <f t="shared" si="0"/>
        <v>10021.448427760926</v>
      </c>
      <c r="G20" s="67" t="s">
        <v>184</v>
      </c>
    </row>
    <row r="21" spans="1:7" ht="15.75">
      <c r="A21" s="276" t="s">
        <v>204</v>
      </c>
      <c r="B21" s="277">
        <v>203099368.24000001</v>
      </c>
      <c r="C21" s="278">
        <f t="shared" si="1"/>
        <v>9.0916170765125329E-2</v>
      </c>
      <c r="D21" s="279">
        <f t="shared" si="0"/>
        <v>2212936.1083573299</v>
      </c>
    </row>
    <row r="22" spans="1:7" ht="15.75">
      <c r="A22" s="276" t="s">
        <v>205</v>
      </c>
      <c r="B22" s="277">
        <v>1004219.28</v>
      </c>
      <c r="C22" s="278">
        <f t="shared" si="1"/>
        <v>4.4953252359812074E-4</v>
      </c>
      <c r="D22" s="279">
        <f t="shared" si="0"/>
        <v>10941.802156639736</v>
      </c>
    </row>
    <row r="23" spans="1:7" ht="15.75">
      <c r="A23" s="276" t="s">
        <v>206</v>
      </c>
      <c r="B23" s="277">
        <v>76035351.519999996</v>
      </c>
      <c r="C23" s="278">
        <f t="shared" si="1"/>
        <v>3.4036752860845093E-2</v>
      </c>
      <c r="D23" s="279">
        <f t="shared" si="0"/>
        <v>828468.2337929185</v>
      </c>
    </row>
    <row r="24" spans="1:7" ht="15.75">
      <c r="A24" s="276" t="s">
        <v>207</v>
      </c>
      <c r="B24" s="277">
        <v>1863889.19</v>
      </c>
      <c r="C24" s="278">
        <f t="shared" si="1"/>
        <v>8.3435841949574705E-4</v>
      </c>
      <c r="D24" s="279">
        <f t="shared" si="0"/>
        <v>20308.619008867754</v>
      </c>
    </row>
    <row r="25" spans="1:7" ht="15.75">
      <c r="A25" s="276" t="s">
        <v>208</v>
      </c>
      <c r="B25" s="277">
        <v>93733</v>
      </c>
      <c r="C25" s="278">
        <f t="shared" si="1"/>
        <v>4.1958995284797409E-5</v>
      </c>
      <c r="D25" s="279">
        <f t="shared" si="0"/>
        <v>1021.2987959644754</v>
      </c>
    </row>
    <row r="26" spans="1:7" ht="15.75">
      <c r="A26" s="276" t="s">
        <v>209</v>
      </c>
      <c r="B26" s="277">
        <v>16195</v>
      </c>
      <c r="C26" s="278">
        <f t="shared" si="1"/>
        <v>7.2495911646623287E-6</v>
      </c>
      <c r="D26" s="279">
        <f t="shared" si="0"/>
        <v>176.45796038369281</v>
      </c>
    </row>
    <row r="27" spans="1:7" ht="15.75">
      <c r="A27" s="276" t="s">
        <v>210</v>
      </c>
      <c r="B27" s="277">
        <v>4870035</v>
      </c>
      <c r="C27" s="278">
        <f t="shared" si="1"/>
        <v>2.1800409205061009E-3</v>
      </c>
      <c r="D27" s="279">
        <f t="shared" si="0"/>
        <v>53063.071509552174</v>
      </c>
    </row>
    <row r="28" spans="1:7" ht="15.75">
      <c r="A28" s="276" t="s">
        <v>211</v>
      </c>
      <c r="B28" s="277">
        <v>151141873</v>
      </c>
      <c r="C28" s="278">
        <f t="shared" si="1"/>
        <v>6.7657720723143924E-2</v>
      </c>
      <c r="D28" s="279">
        <f t="shared" si="0"/>
        <v>1646816.0937419657</v>
      </c>
    </row>
    <row r="29" spans="1:7" ht="15.75">
      <c r="A29" s="276" t="s">
        <v>212</v>
      </c>
      <c r="B29" s="277">
        <v>6640.64</v>
      </c>
      <c r="C29" s="278">
        <f t="shared" si="1"/>
        <v>2.9726412517260419E-6</v>
      </c>
      <c r="D29" s="279">
        <f t="shared" si="0"/>
        <v>72.355281879738556</v>
      </c>
    </row>
    <row r="30" spans="1:7" ht="15.75">
      <c r="A30" s="276" t="s">
        <v>213</v>
      </c>
      <c r="B30" s="277">
        <v>2000</v>
      </c>
      <c r="C30" s="278">
        <f t="shared" si="1"/>
        <v>8.952875782231959E-7</v>
      </c>
      <c r="D30" s="279">
        <f t="shared" si="0"/>
        <v>21.791659201444006</v>
      </c>
    </row>
    <row r="31" spans="1:7" ht="15.75">
      <c r="A31" s="276" t="s">
        <v>214</v>
      </c>
      <c r="B31" s="277">
        <v>298239.14</v>
      </c>
      <c r="C31" s="278">
        <f t="shared" si="1"/>
        <v>1.3350489869098434E-4</v>
      </c>
      <c r="D31" s="279">
        <f t="shared" si="0"/>
        <v>3249.5628497058733</v>
      </c>
    </row>
    <row r="32" spans="1:7" ht="15.75">
      <c r="A32" s="283" t="s">
        <v>215</v>
      </c>
      <c r="B32" s="277">
        <v>564018.93000000005</v>
      </c>
      <c r="C32" s="278">
        <f t="shared" si="1"/>
        <v>2.5247957095586912E-4</v>
      </c>
      <c r="D32" s="279">
        <f t="shared" si="0"/>
        <v>6145.4541528615509</v>
      </c>
    </row>
    <row r="33" spans="1:4" ht="15.75">
      <c r="A33" s="276" t="s">
        <v>216</v>
      </c>
      <c r="B33" s="277">
        <v>42540.160000000003</v>
      </c>
      <c r="C33" s="278">
        <f t="shared" si="1"/>
        <v>1.9042838411813637E-5</v>
      </c>
      <c r="D33" s="279">
        <f t="shared" si="0"/>
        <v>463.51033454745016</v>
      </c>
    </row>
    <row r="34" spans="1:4" ht="15.75">
      <c r="A34" s="276" t="s">
        <v>217</v>
      </c>
      <c r="B34" s="284">
        <v>60505115.740000002</v>
      </c>
      <c r="C34" s="278">
        <f t="shared" si="1"/>
        <v>2.7084739270489384E-2</v>
      </c>
      <c r="D34" s="279">
        <f t="shared" si="0"/>
        <v>659253.43107500265</v>
      </c>
    </row>
    <row r="35" spans="1:4" ht="15.75">
      <c r="A35" s="276" t="s">
        <v>218</v>
      </c>
      <c r="B35" s="282">
        <v>223324.41</v>
      </c>
      <c r="C35" s="278">
        <f t="shared" si="1"/>
        <v>9.9969785093512029E-5</v>
      </c>
      <c r="D35" s="279">
        <f t="shared" si="0"/>
        <v>2433.3047170417767</v>
      </c>
    </row>
    <row r="36" spans="1:4" ht="15.75">
      <c r="A36" s="283" t="s">
        <v>219</v>
      </c>
      <c r="B36" s="277">
        <v>7151515.1500000004</v>
      </c>
      <c r="C36" s="278">
        <f t="shared" si="1"/>
        <v>3.201331339634998E-3</v>
      </c>
      <c r="D36" s="279">
        <f t="shared" si="0"/>
        <v>77921.690461381848</v>
      </c>
    </row>
    <row r="37" spans="1:4" ht="15.75">
      <c r="A37" s="276" t="s">
        <v>220</v>
      </c>
      <c r="B37" s="277">
        <v>444314.67</v>
      </c>
      <c r="C37" s="278">
        <f t="shared" si="1"/>
        <v>1.9889470243666921E-4</v>
      </c>
      <c r="D37" s="279">
        <f t="shared" si="0"/>
        <v>4841.1769334210276</v>
      </c>
    </row>
    <row r="38" spans="1:4" ht="15.75">
      <c r="A38" s="276" t="s">
        <v>221</v>
      </c>
      <c r="B38" s="277">
        <v>56630.22</v>
      </c>
      <c r="C38" s="278">
        <f t="shared" si="1"/>
        <v>2.5350166259023397E-5</v>
      </c>
      <c r="D38" s="279">
        <f t="shared" si="0"/>
        <v>617.03322737139911</v>
      </c>
    </row>
    <row r="39" spans="1:4" ht="15.75">
      <c r="A39" s="276" t="s">
        <v>222</v>
      </c>
      <c r="B39" s="277">
        <v>5104.24</v>
      </c>
      <c r="C39" s="278">
        <f t="shared" si="1"/>
        <v>2.2848813341349825E-6</v>
      </c>
      <c r="D39" s="279">
        <f t="shared" si="0"/>
        <v>55.614929281189269</v>
      </c>
    </row>
    <row r="40" spans="1:4" ht="15.75">
      <c r="A40" s="276" t="s">
        <v>223</v>
      </c>
      <c r="B40" s="277">
        <v>2761345.65</v>
      </c>
      <c r="C40" s="278">
        <f t="shared" si="1"/>
        <v>1.2360992298128283E-3</v>
      </c>
      <c r="D40" s="279">
        <f t="shared" si="0"/>
        <v>30087.151671094936</v>
      </c>
    </row>
    <row r="41" spans="1:4" ht="15.75">
      <c r="A41" s="276" t="s">
        <v>224</v>
      </c>
      <c r="B41" s="277">
        <v>27477571</v>
      </c>
      <c r="C41" s="278">
        <f t="shared" si="1"/>
        <v>1.2300163998022959E-2</v>
      </c>
      <c r="D41" s="279">
        <f t="shared" si="0"/>
        <v>299390.93145774043</v>
      </c>
    </row>
    <row r="42" spans="1:4" ht="15.75">
      <c r="A42" s="283" t="s">
        <v>225</v>
      </c>
      <c r="B42" s="277">
        <v>605068977</v>
      </c>
      <c r="C42" s="278">
        <f t="shared" si="1"/>
        <v>0.27085536953815831</v>
      </c>
      <c r="D42" s="279">
        <f t="shared" si="0"/>
        <v>6592728.4700751798</v>
      </c>
    </row>
    <row r="43" spans="1:4" ht="15.75">
      <c r="A43" s="276" t="s">
        <v>226</v>
      </c>
      <c r="B43" s="277">
        <v>185136.1</v>
      </c>
      <c r="C43" s="278">
        <f t="shared" si="1"/>
        <v>8.2875025305343712E-5</v>
      </c>
      <c r="D43" s="279">
        <f t="shared" si="0"/>
        <v>2017.2113985422286</v>
      </c>
    </row>
    <row r="44" spans="1:4" ht="15.75">
      <c r="A44" s="276" t="s">
        <v>227</v>
      </c>
      <c r="B44" s="277">
        <v>17582234.02</v>
      </c>
      <c r="C44" s="278">
        <f t="shared" si="1"/>
        <v>7.870577857759643E-3</v>
      </c>
      <c r="D44" s="279">
        <f t="shared" si="0"/>
        <v>191573.02588193738</v>
      </c>
    </row>
    <row r="45" spans="1:4" ht="15.75">
      <c r="A45" s="276" t="s">
        <v>228</v>
      </c>
      <c r="B45" s="277">
        <v>1588024.75</v>
      </c>
      <c r="C45" s="278">
        <f t="shared" si="1"/>
        <v>7.1086941629299805E-4</v>
      </c>
      <c r="D45" s="279">
        <f t="shared" si="0"/>
        <v>17302.847077729159</v>
      </c>
    </row>
    <row r="46" spans="1:4" ht="15.75">
      <c r="A46" s="276" t="s">
        <v>229</v>
      </c>
      <c r="B46" s="277">
        <v>18494.64</v>
      </c>
      <c r="C46" s="278">
        <f t="shared" si="1"/>
        <v>8.2790107278549225E-6</v>
      </c>
      <c r="D46" s="279">
        <f t="shared" si="0"/>
        <v>201.51444596669714</v>
      </c>
    </row>
    <row r="47" spans="1:4" ht="15.75">
      <c r="A47" s="276" t="s">
        <v>230</v>
      </c>
      <c r="B47" s="277">
        <v>3660506.57</v>
      </c>
      <c r="C47" s="278">
        <f t="shared" si="1"/>
        <v>1.6386030310626986E-3</v>
      </c>
      <c r="D47" s="279">
        <f t="shared" si="0"/>
        <v>39884.255839043362</v>
      </c>
    </row>
    <row r="48" spans="1:4" ht="15.75">
      <c r="A48" s="276" t="s">
        <v>231</v>
      </c>
      <c r="B48" s="277">
        <v>13420467.189999999</v>
      </c>
      <c r="C48" s="278">
        <f t="shared" si="1"/>
        <v>6.007588784579479E-3</v>
      </c>
      <c r="D48" s="279">
        <f t="shared" si="0"/>
        <v>146227.12366432042</v>
      </c>
    </row>
    <row r="49" spans="1:4" ht="15.75">
      <c r="A49" s="276" t="s">
        <v>232</v>
      </c>
      <c r="B49" s="285">
        <v>104566741.54000001</v>
      </c>
      <c r="C49" s="278">
        <f t="shared" si="1"/>
        <v>4.6808652398018728E-2</v>
      </c>
      <c r="D49" s="279">
        <f t="shared" si="0"/>
        <v>1139341.3977225791</v>
      </c>
    </row>
    <row r="50" spans="1:4" ht="15.75">
      <c r="A50" s="286" t="s">
        <v>233</v>
      </c>
      <c r="B50" s="277">
        <v>363933004.24000001</v>
      </c>
      <c r="C50" s="278">
        <f t="shared" si="1"/>
        <v>0.16291234900076085</v>
      </c>
      <c r="D50" s="279">
        <f t="shared" si="0"/>
        <v>3965352.0002778778</v>
      </c>
    </row>
    <row r="51" spans="1:4" ht="15.75">
      <c r="A51" s="276" t="s">
        <v>234</v>
      </c>
      <c r="B51" s="277">
        <v>128143824.97</v>
      </c>
      <c r="C51" s="278">
        <f t="shared" si="1"/>
        <v>5.7362787360824195E-2</v>
      </c>
      <c r="D51" s="279">
        <f t="shared" si="0"/>
        <v>1396233.281257865</v>
      </c>
    </row>
    <row r="52" spans="1:4" ht="15.75">
      <c r="A52" s="276" t="s">
        <v>235</v>
      </c>
      <c r="B52" s="277">
        <v>108719184.31999999</v>
      </c>
      <c r="C52" s="278">
        <f t="shared" si="1"/>
        <v>4.8667467618127021E-2</v>
      </c>
      <c r="D52" s="279">
        <f t="shared" si="0"/>
        <v>1184585.7066802073</v>
      </c>
    </row>
    <row r="53" spans="1:4" ht="15.75">
      <c r="A53" s="276" t="s">
        <v>236</v>
      </c>
      <c r="B53" s="277">
        <v>648469.44999999995</v>
      </c>
      <c r="C53" s="278">
        <f t="shared" si="1"/>
        <v>2.902833217211139E-4</v>
      </c>
      <c r="D53" s="279">
        <f t="shared" si="0"/>
        <v>7065.6126284739157</v>
      </c>
    </row>
    <row r="54" spans="1:4" ht="15.75">
      <c r="A54" s="287" t="s">
        <v>237</v>
      </c>
      <c r="B54" s="288">
        <v>490825.85</v>
      </c>
      <c r="C54" s="278">
        <f t="shared" si="1"/>
        <v>2.197151432879208E-4</v>
      </c>
      <c r="D54" s="289">
        <f t="shared" si="0"/>
        <v>5347.9548252295372</v>
      </c>
    </row>
    <row r="55" spans="1:4" ht="16.5" thickBot="1">
      <c r="A55" s="290" t="s">
        <v>238</v>
      </c>
      <c r="B55" s="291">
        <f>+SUM(B4:B54)</f>
        <v>2233919076.5599995</v>
      </c>
      <c r="C55" s="292">
        <f>SUM(C4:C54)</f>
        <v>1.0000000000000004</v>
      </c>
      <c r="D55" s="293">
        <f>SUM(D4:D54)</f>
        <v>24340401.600000009</v>
      </c>
    </row>
    <row r="56" spans="1:4" ht="16.5" thickBot="1">
      <c r="A56" s="294"/>
      <c r="B56" s="295"/>
      <c r="C56" s="294"/>
      <c r="D56" s="294"/>
    </row>
    <row r="57" spans="1:4" ht="15.75">
      <c r="A57" s="296" t="s">
        <v>239</v>
      </c>
      <c r="B57" s="297">
        <f>+'PART MES'!B12</f>
        <v>121702008</v>
      </c>
      <c r="C57" s="294"/>
      <c r="D57" s="294"/>
    </row>
    <row r="58" spans="1:4" ht="16.5" thickBot="1">
      <c r="A58" s="298" t="s">
        <v>240</v>
      </c>
      <c r="B58" s="299">
        <f>+B57*0.2</f>
        <v>24340401.600000001</v>
      </c>
      <c r="C58" s="294"/>
      <c r="D58" s="294"/>
    </row>
  </sheetData>
  <mergeCells count="2">
    <mergeCell ref="A2:D2"/>
    <mergeCell ref="A1:D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3"/>
  <sheetViews>
    <sheetView zoomScale="124" zoomScaleNormal="124" workbookViewId="0">
      <selection activeCell="C7" sqref="C7:C57"/>
    </sheetView>
  </sheetViews>
  <sheetFormatPr baseColWidth="10" defaultColWidth="13" defaultRowHeight="12.75"/>
  <cols>
    <col min="1" max="1" width="31.7109375" style="223" customWidth="1"/>
    <col min="2" max="2" width="16" style="223" customWidth="1"/>
    <col min="3" max="3" width="16.5703125" style="223" customWidth="1"/>
    <col min="4" max="4" width="21" style="223" customWidth="1"/>
    <col min="5" max="16384" width="13" style="223"/>
  </cols>
  <sheetData>
    <row r="1" spans="1:41">
      <c r="A1" s="436" t="s">
        <v>125</v>
      </c>
      <c r="B1" s="436"/>
      <c r="C1" s="436"/>
      <c r="D1" s="436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</row>
    <row r="2" spans="1:41">
      <c r="A2" s="436" t="s">
        <v>310</v>
      </c>
      <c r="B2" s="436"/>
      <c r="C2" s="436"/>
      <c r="D2" s="436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</row>
    <row r="3" spans="1:41">
      <c r="A3" s="436" t="s">
        <v>354</v>
      </c>
      <c r="B3" s="436"/>
      <c r="C3" s="436"/>
      <c r="D3" s="436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</row>
    <row r="4" spans="1:41">
      <c r="A4" s="436" t="s">
        <v>311</v>
      </c>
      <c r="B4" s="436"/>
      <c r="C4" s="436"/>
      <c r="D4" s="436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</row>
    <row r="5" spans="1:41" ht="13.5" customHeight="1" thickBot="1">
      <c r="A5" s="224"/>
      <c r="B5" s="224"/>
      <c r="C5" s="224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</row>
    <row r="6" spans="1:41" ht="17.25" thickTop="1" thickBot="1">
      <c r="A6" s="225" t="s">
        <v>0</v>
      </c>
      <c r="B6" s="334" t="s">
        <v>348</v>
      </c>
      <c r="C6" s="226" t="s">
        <v>358</v>
      </c>
      <c r="D6" s="226" t="s">
        <v>53</v>
      </c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222"/>
      <c r="AM6" s="222"/>
      <c r="AN6" s="222"/>
      <c r="AO6" s="222"/>
    </row>
    <row r="7" spans="1:41" ht="16.5" thickTop="1">
      <c r="A7" s="227" t="s">
        <v>1</v>
      </c>
      <c r="B7" s="228"/>
      <c r="C7" s="228"/>
      <c r="D7" s="229">
        <v>0</v>
      </c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</row>
    <row r="8" spans="1:41" ht="15.75">
      <c r="A8" s="230" t="s">
        <v>2</v>
      </c>
      <c r="B8" s="301">
        <v>228635</v>
      </c>
      <c r="C8" s="301"/>
      <c r="D8" s="229">
        <v>228635</v>
      </c>
      <c r="E8" s="222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22"/>
      <c r="AL8" s="222"/>
      <c r="AM8" s="222"/>
      <c r="AN8" s="222"/>
      <c r="AO8" s="222"/>
    </row>
    <row r="9" spans="1:41" ht="15.75">
      <c r="A9" s="230" t="s">
        <v>3</v>
      </c>
      <c r="B9" s="301"/>
      <c r="C9" s="301"/>
      <c r="D9" s="229">
        <v>0</v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</row>
    <row r="10" spans="1:41" ht="15.75">
      <c r="A10" s="230" t="s">
        <v>4</v>
      </c>
      <c r="B10" s="301"/>
      <c r="C10" s="301"/>
      <c r="D10" s="229">
        <v>0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2"/>
      <c r="AH10" s="222"/>
      <c r="AI10" s="222"/>
      <c r="AJ10" s="222"/>
      <c r="AK10" s="222"/>
      <c r="AL10" s="222"/>
      <c r="AM10" s="222"/>
      <c r="AN10" s="222"/>
      <c r="AO10" s="222"/>
    </row>
    <row r="11" spans="1:41" ht="15.75">
      <c r="A11" s="230" t="s">
        <v>5</v>
      </c>
      <c r="B11" s="301">
        <v>197385</v>
      </c>
      <c r="C11" s="301"/>
      <c r="D11" s="229">
        <v>197385</v>
      </c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  <c r="AJ11" s="222"/>
      <c r="AK11" s="222"/>
      <c r="AL11" s="222"/>
      <c r="AM11" s="222"/>
      <c r="AN11" s="222"/>
      <c r="AO11" s="222"/>
    </row>
    <row r="12" spans="1:41" ht="15.75">
      <c r="A12" s="230" t="s">
        <v>6</v>
      </c>
      <c r="B12" s="301">
        <v>4483761</v>
      </c>
      <c r="C12" s="301"/>
      <c r="D12" s="229">
        <v>4483761</v>
      </c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</row>
    <row r="13" spans="1:41" ht="15.75">
      <c r="A13" s="230" t="s">
        <v>7</v>
      </c>
      <c r="B13" s="301"/>
      <c r="C13" s="301"/>
      <c r="D13" s="229">
        <v>0</v>
      </c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</row>
    <row r="14" spans="1:41" ht="15.75">
      <c r="A14" s="230" t="s">
        <v>8</v>
      </c>
      <c r="B14" s="301"/>
      <c r="C14" s="301"/>
      <c r="D14" s="229">
        <v>0</v>
      </c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</row>
    <row r="15" spans="1:41" ht="15.75">
      <c r="A15" s="230" t="s">
        <v>9</v>
      </c>
      <c r="B15" s="301"/>
      <c r="C15" s="301"/>
      <c r="D15" s="229">
        <v>0</v>
      </c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</row>
    <row r="16" spans="1:41" ht="15.75">
      <c r="A16" s="230" t="s">
        <v>10</v>
      </c>
      <c r="B16" s="301"/>
      <c r="C16" s="301"/>
      <c r="D16" s="229">
        <v>0</v>
      </c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</row>
    <row r="17" spans="1:41" ht="15.75">
      <c r="A17" s="230" t="s">
        <v>11</v>
      </c>
      <c r="B17" s="301"/>
      <c r="C17" s="301"/>
      <c r="D17" s="229">
        <v>0</v>
      </c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</row>
    <row r="18" spans="1:41" ht="15.75">
      <c r="A18" s="230" t="s">
        <v>12</v>
      </c>
      <c r="B18" s="301"/>
      <c r="C18" s="301"/>
      <c r="D18" s="229">
        <v>0</v>
      </c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</row>
    <row r="19" spans="1:41" ht="15.75">
      <c r="A19" s="230" t="s">
        <v>13</v>
      </c>
      <c r="B19" s="301"/>
      <c r="C19" s="301"/>
      <c r="D19" s="229">
        <v>0</v>
      </c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</row>
    <row r="20" spans="1:41" ht="15.75">
      <c r="A20" s="230" t="s">
        <v>14</v>
      </c>
      <c r="B20" s="301"/>
      <c r="C20" s="301"/>
      <c r="D20" s="229">
        <v>0</v>
      </c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</row>
    <row r="21" spans="1:41" ht="15.75">
      <c r="A21" s="230" t="s">
        <v>15</v>
      </c>
      <c r="B21" s="301"/>
      <c r="C21" s="301"/>
      <c r="D21" s="229">
        <v>0</v>
      </c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</row>
    <row r="22" spans="1:41" ht="15.75">
      <c r="A22" s="230" t="s">
        <v>16</v>
      </c>
      <c r="B22" s="301">
        <v>298643</v>
      </c>
      <c r="C22" s="301"/>
      <c r="D22" s="229">
        <v>298643</v>
      </c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</row>
    <row r="23" spans="1:41" ht="15.75">
      <c r="A23" s="230" t="s">
        <v>17</v>
      </c>
      <c r="B23" s="301">
        <v>1892690</v>
      </c>
      <c r="C23" s="301"/>
      <c r="D23" s="229">
        <v>1892690</v>
      </c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</row>
    <row r="24" spans="1:41" ht="15.75">
      <c r="A24" s="230" t="s">
        <v>18</v>
      </c>
      <c r="B24" s="301"/>
      <c r="C24" s="301"/>
      <c r="D24" s="229">
        <v>0</v>
      </c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</row>
    <row r="25" spans="1:41" ht="15.75">
      <c r="A25" s="230" t="s">
        <v>19</v>
      </c>
      <c r="B25" s="301"/>
      <c r="C25" s="301"/>
      <c r="D25" s="229">
        <v>0</v>
      </c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</row>
    <row r="26" spans="1:41" ht="15.75">
      <c r="A26" s="230" t="s">
        <v>20</v>
      </c>
      <c r="B26" s="301">
        <v>3160997</v>
      </c>
      <c r="C26" s="301"/>
      <c r="D26" s="229">
        <v>3160997</v>
      </c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</row>
    <row r="27" spans="1:41" ht="15.75">
      <c r="A27" s="230" t="s">
        <v>21</v>
      </c>
      <c r="B27" s="301"/>
      <c r="C27" s="301"/>
      <c r="D27" s="229">
        <v>0</v>
      </c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</row>
    <row r="28" spans="1:41" ht="15.75">
      <c r="A28" s="230" t="s">
        <v>22</v>
      </c>
      <c r="B28" s="301"/>
      <c r="C28" s="301"/>
      <c r="D28" s="229">
        <v>0</v>
      </c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</row>
    <row r="29" spans="1:41" ht="15.75">
      <c r="A29" s="230" t="s">
        <v>23</v>
      </c>
      <c r="B29" s="301"/>
      <c r="C29" s="301"/>
      <c r="D29" s="229">
        <v>0</v>
      </c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</row>
    <row r="30" spans="1:41" ht="15.75">
      <c r="A30" s="230" t="s">
        <v>24</v>
      </c>
      <c r="B30" s="301"/>
      <c r="C30" s="301"/>
      <c r="D30" s="229">
        <v>0</v>
      </c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</row>
    <row r="31" spans="1:41" ht="15.75">
      <c r="A31" s="230" t="s">
        <v>25</v>
      </c>
      <c r="B31" s="301">
        <v>5134630</v>
      </c>
      <c r="C31" s="301">
        <v>37009</v>
      </c>
      <c r="D31" s="229">
        <v>5171639</v>
      </c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</row>
    <row r="32" spans="1:41" ht="15.75">
      <c r="A32" s="230" t="s">
        <v>26</v>
      </c>
      <c r="B32" s="301"/>
      <c r="C32" s="301"/>
      <c r="D32" s="229">
        <v>0</v>
      </c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</row>
    <row r="33" spans="1:41" ht="15.75">
      <c r="A33" s="230" t="s">
        <v>27</v>
      </c>
      <c r="B33" s="301"/>
      <c r="C33" s="301"/>
      <c r="D33" s="229">
        <v>0</v>
      </c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222"/>
      <c r="AJ33" s="222"/>
      <c r="AK33" s="222"/>
      <c r="AL33" s="222"/>
      <c r="AM33" s="222"/>
      <c r="AN33" s="222"/>
      <c r="AO33" s="222"/>
    </row>
    <row r="34" spans="1:41" ht="15.75">
      <c r="A34" s="230" t="s">
        <v>28</v>
      </c>
      <c r="B34" s="301">
        <v>214969</v>
      </c>
      <c r="C34" s="301"/>
      <c r="D34" s="229">
        <v>214969</v>
      </c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</row>
    <row r="35" spans="1:41" ht="15.75">
      <c r="A35" s="230" t="s">
        <v>29</v>
      </c>
      <c r="B35" s="301">
        <v>37952</v>
      </c>
      <c r="C35" s="301"/>
      <c r="D35" s="229">
        <v>37952</v>
      </c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2"/>
      <c r="AM35" s="222"/>
      <c r="AN35" s="222"/>
      <c r="AO35" s="222"/>
    </row>
    <row r="36" spans="1:41" ht="15.75">
      <c r="A36" s="230" t="s">
        <v>30</v>
      </c>
      <c r="B36" s="301">
        <v>102015</v>
      </c>
      <c r="C36" s="301"/>
      <c r="D36" s="229">
        <v>102015</v>
      </c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</row>
    <row r="37" spans="1:41" ht="15.75">
      <c r="A37" s="230" t="s">
        <v>31</v>
      </c>
      <c r="B37" s="301"/>
      <c r="C37" s="301"/>
      <c r="D37" s="229">
        <v>0</v>
      </c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</row>
    <row r="38" spans="1:41" ht="15.75">
      <c r="A38" s="230" t="s">
        <v>32</v>
      </c>
      <c r="B38" s="301"/>
      <c r="C38" s="301"/>
      <c r="D38" s="229">
        <v>0</v>
      </c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  <c r="AF38" s="222"/>
      <c r="AG38" s="222"/>
      <c r="AH38" s="222"/>
      <c r="AI38" s="222"/>
      <c r="AJ38" s="222"/>
      <c r="AK38" s="222"/>
      <c r="AL38" s="222"/>
      <c r="AM38" s="222"/>
      <c r="AN38" s="222"/>
      <c r="AO38" s="222"/>
    </row>
    <row r="39" spans="1:41" ht="15.75">
      <c r="A39" s="230" t="s">
        <v>33</v>
      </c>
      <c r="B39" s="301">
        <v>251681</v>
      </c>
      <c r="C39" s="301"/>
      <c r="D39" s="229">
        <v>251681</v>
      </c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</row>
    <row r="40" spans="1:41" ht="15.75">
      <c r="A40" s="230" t="s">
        <v>34</v>
      </c>
      <c r="B40" s="301">
        <v>267649</v>
      </c>
      <c r="C40" s="301"/>
      <c r="D40" s="229">
        <v>267649</v>
      </c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</row>
    <row r="41" spans="1:41" ht="15.75">
      <c r="A41" s="230" t="s">
        <v>35</v>
      </c>
      <c r="B41" s="301">
        <v>106950</v>
      </c>
      <c r="C41" s="301"/>
      <c r="D41" s="229">
        <v>106950</v>
      </c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</row>
    <row r="42" spans="1:41" ht="15.75">
      <c r="A42" s="230" t="s">
        <v>36</v>
      </c>
      <c r="B42" s="301">
        <v>329504</v>
      </c>
      <c r="C42" s="301"/>
      <c r="D42" s="229">
        <v>329504</v>
      </c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</row>
    <row r="43" spans="1:41" ht="15.75">
      <c r="A43" s="230" t="s">
        <v>37</v>
      </c>
      <c r="B43" s="301"/>
      <c r="C43" s="301"/>
      <c r="D43" s="229">
        <v>0</v>
      </c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</row>
    <row r="44" spans="1:41" ht="15.75">
      <c r="A44" s="230" t="s">
        <v>38</v>
      </c>
      <c r="B44" s="301"/>
      <c r="C44" s="301"/>
      <c r="D44" s="229">
        <v>0</v>
      </c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</row>
    <row r="45" spans="1:41" ht="15.75">
      <c r="A45" s="230" t="s">
        <v>39</v>
      </c>
      <c r="B45" s="301">
        <v>10114172</v>
      </c>
      <c r="C45" s="301">
        <v>360462</v>
      </c>
      <c r="D45" s="229">
        <v>10474634</v>
      </c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</row>
    <row r="46" spans="1:41" ht="15.75">
      <c r="A46" s="230" t="s">
        <v>40</v>
      </c>
      <c r="B46" s="301">
        <v>25012</v>
      </c>
      <c r="C46" s="301"/>
      <c r="D46" s="229">
        <v>25012</v>
      </c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</row>
    <row r="47" spans="1:41" ht="15.75">
      <c r="A47" s="230" t="s">
        <v>41</v>
      </c>
      <c r="B47" s="301">
        <v>583212</v>
      </c>
      <c r="C47" s="301"/>
      <c r="D47" s="229">
        <v>583212</v>
      </c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</row>
    <row r="48" spans="1:41" ht="15.75">
      <c r="A48" s="230" t="s">
        <v>42</v>
      </c>
      <c r="B48" s="301">
        <v>166726</v>
      </c>
      <c r="C48" s="301"/>
      <c r="D48" s="229">
        <v>166726</v>
      </c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</row>
    <row r="49" spans="1:41" ht="15.75">
      <c r="A49" s="230" t="s">
        <v>43</v>
      </c>
      <c r="B49" s="301"/>
      <c r="C49" s="301"/>
      <c r="D49" s="229">
        <v>0</v>
      </c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</row>
    <row r="50" spans="1:41" ht="15.75">
      <c r="A50" s="230" t="s">
        <v>44</v>
      </c>
      <c r="B50" s="301"/>
      <c r="C50" s="301"/>
      <c r="D50" s="229">
        <v>0</v>
      </c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</row>
    <row r="51" spans="1:41" ht="15.75">
      <c r="A51" s="230" t="s">
        <v>45</v>
      </c>
      <c r="B51" s="301">
        <v>483575</v>
      </c>
      <c r="C51" s="301"/>
      <c r="D51" s="229">
        <v>483575</v>
      </c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</row>
    <row r="52" spans="1:41" ht="15.75">
      <c r="A52" s="230" t="s">
        <v>46</v>
      </c>
      <c r="B52" s="301">
        <v>5642459</v>
      </c>
      <c r="C52" s="301">
        <v>221121</v>
      </c>
      <c r="D52" s="229">
        <v>5863580</v>
      </c>
      <c r="E52" s="222" t="s">
        <v>184</v>
      </c>
      <c r="F52" s="222" t="s">
        <v>184</v>
      </c>
      <c r="G52" s="222" t="s">
        <v>184</v>
      </c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2"/>
      <c r="AM52" s="222"/>
      <c r="AN52" s="222"/>
      <c r="AO52" s="222"/>
    </row>
    <row r="53" spans="1:41" ht="15.75">
      <c r="A53" s="230" t="s">
        <v>47</v>
      </c>
      <c r="B53" s="301">
        <v>8300507</v>
      </c>
      <c r="C53" s="301">
        <v>67250</v>
      </c>
      <c r="D53" s="229">
        <v>8367757</v>
      </c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</row>
    <row r="54" spans="1:41" ht="15.75">
      <c r="A54" s="230" t="s">
        <v>48</v>
      </c>
      <c r="B54" s="301">
        <v>3345855</v>
      </c>
      <c r="C54" s="301"/>
      <c r="D54" s="229">
        <v>3345855</v>
      </c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</row>
    <row r="55" spans="1:41" ht="15.75">
      <c r="A55" s="230" t="s">
        <v>49</v>
      </c>
      <c r="B55" s="301"/>
      <c r="C55" s="301"/>
      <c r="D55" s="229">
        <v>0</v>
      </c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22"/>
      <c r="AL55" s="222"/>
      <c r="AM55" s="222"/>
      <c r="AN55" s="222"/>
      <c r="AO55" s="222"/>
    </row>
    <row r="56" spans="1:41" ht="15.75">
      <c r="A56" s="230" t="s">
        <v>50</v>
      </c>
      <c r="B56" s="301"/>
      <c r="C56" s="301"/>
      <c r="D56" s="229">
        <v>0</v>
      </c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</row>
    <row r="57" spans="1:41" ht="16.5" thickBot="1">
      <c r="A57" s="231" t="s">
        <v>51</v>
      </c>
      <c r="B57" s="301"/>
      <c r="C57" s="335"/>
      <c r="D57" s="229">
        <v>0</v>
      </c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</row>
    <row r="58" spans="1:41" ht="17.25" thickTop="1" thickBot="1">
      <c r="A58" s="232" t="s">
        <v>52</v>
      </c>
      <c r="B58" s="233">
        <f t="shared" ref="B58:D58" si="0">SUM(B7:B57)</f>
        <v>45368979</v>
      </c>
      <c r="C58" s="233">
        <f t="shared" si="0"/>
        <v>685842</v>
      </c>
      <c r="D58" s="234">
        <f t="shared" si="0"/>
        <v>46054821</v>
      </c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</row>
    <row r="59" spans="1:41" ht="16.5" thickTop="1">
      <c r="A59" s="235"/>
      <c r="B59" s="235"/>
      <c r="C59" s="235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</row>
    <row r="60" spans="1:41" ht="15.75">
      <c r="A60" s="236"/>
      <c r="B60" s="236"/>
      <c r="C60" s="300" t="s">
        <v>184</v>
      </c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</row>
    <row r="61" spans="1:41" ht="15.75">
      <c r="A61" s="237"/>
      <c r="B61" s="237"/>
      <c r="C61" s="237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</row>
    <row r="62" spans="1:41" ht="15.75">
      <c r="A62" s="237"/>
      <c r="B62" s="237"/>
      <c r="C62" s="237"/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</row>
    <row r="63" spans="1:41" ht="15.75">
      <c r="A63" s="237"/>
      <c r="B63" s="237"/>
      <c r="C63" s="237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</row>
    <row r="64" spans="1:41" ht="15.75">
      <c r="A64" s="237"/>
      <c r="B64" s="237"/>
      <c r="C64" s="237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  <c r="AJ64" s="222"/>
      <c r="AK64" s="222"/>
      <c r="AL64" s="222"/>
      <c r="AM64" s="222"/>
      <c r="AN64" s="222"/>
      <c r="AO64" s="222"/>
    </row>
    <row r="65" spans="1:41" ht="15.75">
      <c r="A65" s="237"/>
      <c r="B65" s="237"/>
      <c r="C65" s="237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</row>
    <row r="66" spans="1:41" ht="15.75">
      <c r="A66" s="237"/>
      <c r="B66" s="237"/>
      <c r="C66" s="237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  <c r="AF66" s="222"/>
      <c r="AG66" s="222"/>
      <c r="AH66" s="222"/>
      <c r="AI66" s="222"/>
      <c r="AJ66" s="222"/>
      <c r="AK66" s="222"/>
      <c r="AL66" s="222"/>
      <c r="AM66" s="222"/>
      <c r="AN66" s="222"/>
      <c r="AO66" s="222"/>
    </row>
    <row r="67" spans="1:41" ht="15.75">
      <c r="A67" s="237"/>
      <c r="B67" s="237"/>
      <c r="C67" s="237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  <c r="AF67" s="222"/>
      <c r="AG67" s="222"/>
      <c r="AH67" s="222"/>
      <c r="AI67" s="222"/>
      <c r="AJ67" s="222"/>
      <c r="AK67" s="222"/>
      <c r="AL67" s="222"/>
      <c r="AM67" s="222"/>
      <c r="AN67" s="222"/>
      <c r="AO67" s="222"/>
    </row>
    <row r="68" spans="1:41" ht="15.75">
      <c r="A68" s="237"/>
      <c r="B68" s="237"/>
      <c r="C68" s="237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222"/>
      <c r="AJ68" s="222"/>
      <c r="AK68" s="222"/>
      <c r="AL68" s="222"/>
      <c r="AM68" s="222"/>
      <c r="AN68" s="222"/>
      <c r="AO68" s="222"/>
    </row>
    <row r="69" spans="1:41" ht="15.75">
      <c r="A69" s="237"/>
      <c r="B69" s="237"/>
      <c r="C69" s="237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  <c r="AJ69" s="222"/>
      <c r="AK69" s="222"/>
      <c r="AL69" s="222"/>
      <c r="AM69" s="222"/>
      <c r="AN69" s="222"/>
      <c r="AO69" s="222"/>
    </row>
    <row r="70" spans="1:41" ht="15.75">
      <c r="A70" s="237"/>
      <c r="B70" s="237"/>
      <c r="C70" s="237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222"/>
      <c r="AJ70" s="222"/>
      <c r="AK70" s="222"/>
      <c r="AL70" s="222"/>
      <c r="AM70" s="222"/>
      <c r="AN70" s="222"/>
      <c r="AO70" s="222"/>
    </row>
    <row r="71" spans="1:41" ht="15.75">
      <c r="A71" s="237"/>
      <c r="B71" s="237"/>
      <c r="C71" s="237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222"/>
      <c r="AO71" s="222"/>
    </row>
    <row r="72" spans="1:41" ht="15.75">
      <c r="A72" s="237"/>
      <c r="B72" s="237"/>
      <c r="C72" s="237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222"/>
      <c r="AJ72" s="222"/>
      <c r="AK72" s="222"/>
      <c r="AL72" s="222"/>
      <c r="AM72" s="222"/>
      <c r="AN72" s="222"/>
      <c r="AO72" s="222"/>
    </row>
    <row r="73" spans="1:41" ht="15.75">
      <c r="A73" s="237"/>
      <c r="B73" s="237"/>
      <c r="C73" s="237"/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</row>
    <row r="74" spans="1:41" ht="15.75">
      <c r="A74" s="237"/>
      <c r="B74" s="237"/>
      <c r="C74" s="237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</row>
    <row r="75" spans="1:41" ht="15.75">
      <c r="A75" s="237"/>
      <c r="B75" s="237"/>
      <c r="C75" s="237"/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2"/>
      <c r="AM75" s="222"/>
      <c r="AN75" s="222"/>
      <c r="AO75" s="222"/>
    </row>
    <row r="76" spans="1:41" ht="15.75">
      <c r="A76" s="237"/>
      <c r="B76" s="237"/>
      <c r="C76" s="237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  <c r="AJ76" s="222"/>
      <c r="AK76" s="222"/>
      <c r="AL76" s="222"/>
      <c r="AM76" s="222"/>
      <c r="AN76" s="222"/>
      <c r="AO76" s="222"/>
    </row>
    <row r="77" spans="1:41" ht="15.75">
      <c r="A77" s="237"/>
      <c r="B77" s="237"/>
      <c r="C77" s="237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  <c r="AJ77" s="222"/>
      <c r="AK77" s="222"/>
      <c r="AL77" s="222"/>
      <c r="AM77" s="222"/>
      <c r="AN77" s="222"/>
      <c r="AO77" s="222"/>
    </row>
    <row r="78" spans="1:41" ht="15.75">
      <c r="A78" s="237"/>
      <c r="B78" s="237"/>
      <c r="C78" s="237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  <c r="AJ78" s="222"/>
      <c r="AK78" s="222"/>
      <c r="AL78" s="222"/>
      <c r="AM78" s="222"/>
      <c r="AN78" s="222"/>
      <c r="AO78" s="222"/>
    </row>
    <row r="79" spans="1:41" ht="15.75">
      <c r="A79" s="237"/>
      <c r="B79" s="237"/>
      <c r="C79" s="237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</row>
    <row r="80" spans="1:41" ht="15.75">
      <c r="A80" s="237"/>
      <c r="B80" s="237"/>
      <c r="C80" s="237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2"/>
      <c r="AM80" s="222"/>
      <c r="AN80" s="222"/>
      <c r="AO80" s="222"/>
    </row>
    <row r="81" spans="1:41" ht="15.75">
      <c r="A81" s="237"/>
      <c r="B81" s="237"/>
      <c r="C81" s="237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</row>
    <row r="82" spans="1:41" ht="15.75">
      <c r="A82" s="237"/>
      <c r="B82" s="237"/>
      <c r="C82" s="237"/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2"/>
      <c r="AM82" s="222"/>
      <c r="AN82" s="222"/>
      <c r="AO82" s="222"/>
    </row>
    <row r="83" spans="1:41" ht="15.75">
      <c r="A83" s="237"/>
      <c r="B83" s="237"/>
      <c r="C83" s="237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  <c r="AJ83" s="222"/>
      <c r="AK83" s="222"/>
      <c r="AL83" s="222"/>
      <c r="AM83" s="222"/>
      <c r="AN83" s="222"/>
      <c r="AO83" s="222"/>
    </row>
    <row r="84" spans="1:41" ht="15.75">
      <c r="A84" s="237"/>
      <c r="B84" s="237"/>
      <c r="C84" s="237"/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22"/>
      <c r="AL84" s="222"/>
      <c r="AM84" s="222"/>
      <c r="AN84" s="222"/>
      <c r="AO84" s="222"/>
    </row>
    <row r="85" spans="1:41" ht="15.75">
      <c r="A85" s="237"/>
      <c r="B85" s="237"/>
      <c r="C85" s="237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2"/>
      <c r="AN85" s="222"/>
      <c r="AO85" s="222"/>
    </row>
    <row r="86" spans="1:41" ht="15.75">
      <c r="A86" s="237"/>
      <c r="B86" s="237"/>
      <c r="C86" s="237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</row>
    <row r="87" spans="1:41" ht="15.75">
      <c r="A87" s="237"/>
      <c r="B87" s="237"/>
      <c r="C87" s="237"/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2"/>
      <c r="AN87" s="222"/>
      <c r="AO87" s="222"/>
    </row>
    <row r="88" spans="1:41" ht="15.75">
      <c r="A88" s="237"/>
      <c r="B88" s="237"/>
      <c r="C88" s="237"/>
      <c r="D88" s="222"/>
      <c r="E88" s="222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222"/>
      <c r="AC88" s="222"/>
      <c r="AD88" s="222"/>
      <c r="AE88" s="222"/>
      <c r="AF88" s="222"/>
      <c r="AG88" s="222"/>
      <c r="AH88" s="222"/>
      <c r="AI88" s="222"/>
      <c r="AJ88" s="222"/>
      <c r="AK88" s="222"/>
      <c r="AL88" s="222"/>
      <c r="AM88" s="222"/>
      <c r="AN88" s="222"/>
      <c r="AO88" s="222"/>
    </row>
    <row r="89" spans="1:41" ht="15.75">
      <c r="A89" s="237"/>
      <c r="B89" s="237"/>
      <c r="C89" s="237"/>
      <c r="D89" s="222"/>
      <c r="E89" s="222"/>
      <c r="F89" s="222"/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222"/>
      <c r="AC89" s="222"/>
      <c r="AD89" s="222"/>
      <c r="AE89" s="222"/>
      <c r="AF89" s="222"/>
      <c r="AG89" s="222"/>
      <c r="AH89" s="222"/>
      <c r="AI89" s="222"/>
      <c r="AJ89" s="222"/>
      <c r="AK89" s="222"/>
      <c r="AL89" s="222"/>
      <c r="AM89" s="222"/>
      <c r="AN89" s="222"/>
      <c r="AO89" s="222"/>
    </row>
    <row r="90" spans="1:41" ht="15.75">
      <c r="A90" s="237"/>
      <c r="B90" s="237"/>
      <c r="C90" s="237"/>
      <c r="D90" s="222"/>
      <c r="E90" s="222"/>
      <c r="F90" s="222"/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222"/>
      <c r="AC90" s="222"/>
      <c r="AD90" s="222"/>
      <c r="AE90" s="222"/>
      <c r="AF90" s="222"/>
      <c r="AG90" s="222"/>
      <c r="AH90" s="222"/>
      <c r="AI90" s="222"/>
      <c r="AJ90" s="222"/>
      <c r="AK90" s="222"/>
      <c r="AL90" s="222"/>
      <c r="AM90" s="222"/>
      <c r="AN90" s="222"/>
      <c r="AO90" s="222"/>
    </row>
    <row r="91" spans="1:41" ht="15.75">
      <c r="A91" s="237"/>
      <c r="B91" s="237"/>
      <c r="C91" s="237"/>
      <c r="D91" s="222"/>
      <c r="E91" s="222"/>
      <c r="F91" s="222"/>
      <c r="G91" s="222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222"/>
      <c r="AH91" s="222"/>
      <c r="AI91" s="222"/>
      <c r="AJ91" s="222"/>
      <c r="AK91" s="222"/>
      <c r="AL91" s="222"/>
      <c r="AM91" s="222"/>
      <c r="AN91" s="222"/>
      <c r="AO91" s="222"/>
    </row>
    <row r="92" spans="1:41" ht="15.75">
      <c r="A92" s="237"/>
      <c r="B92" s="237"/>
      <c r="C92" s="237"/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222"/>
      <c r="AC92" s="222"/>
      <c r="AD92" s="222"/>
      <c r="AE92" s="222"/>
      <c r="AF92" s="222"/>
      <c r="AG92" s="222"/>
      <c r="AH92" s="222"/>
      <c r="AI92" s="222"/>
      <c r="AJ92" s="222"/>
      <c r="AK92" s="222"/>
      <c r="AL92" s="222"/>
      <c r="AM92" s="222"/>
      <c r="AN92" s="222"/>
      <c r="AO92" s="222"/>
    </row>
    <row r="93" spans="1:41" ht="15.75">
      <c r="A93" s="237"/>
      <c r="B93" s="237"/>
      <c r="C93" s="237"/>
      <c r="D93" s="222"/>
      <c r="E93" s="222"/>
      <c r="F93" s="222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  <c r="AJ93" s="222"/>
      <c r="AK93" s="222"/>
      <c r="AL93" s="222"/>
      <c r="AM93" s="222"/>
      <c r="AN93" s="222"/>
      <c r="AO93" s="222"/>
    </row>
    <row r="94" spans="1:41" ht="15.75">
      <c r="A94" s="237"/>
      <c r="B94" s="237"/>
      <c r="C94" s="237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2"/>
      <c r="Q94" s="22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2"/>
      <c r="AJ94" s="222"/>
      <c r="AK94" s="222"/>
      <c r="AL94" s="222"/>
      <c r="AM94" s="222"/>
      <c r="AN94" s="222"/>
      <c r="AO94" s="222"/>
    </row>
    <row r="95" spans="1:41" ht="15.75">
      <c r="A95" s="237"/>
      <c r="B95" s="237"/>
      <c r="C95" s="237"/>
      <c r="D95" s="222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  <c r="AJ95" s="222"/>
      <c r="AK95" s="222"/>
      <c r="AL95" s="222"/>
      <c r="AM95" s="222"/>
      <c r="AN95" s="222"/>
      <c r="AO95" s="222"/>
    </row>
    <row r="96" spans="1:41" ht="15.75">
      <c r="A96" s="237"/>
      <c r="B96" s="237"/>
      <c r="C96" s="237"/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  <c r="AF96" s="222"/>
      <c r="AG96" s="222"/>
      <c r="AH96" s="222"/>
      <c r="AI96" s="222"/>
      <c r="AJ96" s="222"/>
      <c r="AK96" s="222"/>
      <c r="AL96" s="222"/>
      <c r="AM96" s="222"/>
      <c r="AN96" s="222"/>
      <c r="AO96" s="222"/>
    </row>
    <row r="97" spans="1:41" ht="15.75">
      <c r="A97" s="237"/>
      <c r="B97" s="237"/>
      <c r="C97" s="237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  <c r="AJ97" s="222"/>
      <c r="AK97" s="222"/>
      <c r="AL97" s="222"/>
      <c r="AM97" s="222"/>
      <c r="AN97" s="222"/>
      <c r="AO97" s="222"/>
    </row>
    <row r="98" spans="1:41" ht="15.75">
      <c r="A98" s="237"/>
      <c r="B98" s="237"/>
      <c r="C98" s="237"/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  <c r="AF98" s="222"/>
      <c r="AG98" s="222"/>
      <c r="AH98" s="222"/>
      <c r="AI98" s="222"/>
      <c r="AJ98" s="222"/>
      <c r="AK98" s="222"/>
      <c r="AL98" s="222"/>
      <c r="AM98" s="222"/>
      <c r="AN98" s="222"/>
      <c r="AO98" s="222"/>
    </row>
    <row r="99" spans="1:41" ht="15.75">
      <c r="A99" s="237"/>
      <c r="B99" s="237"/>
      <c r="C99" s="237"/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  <c r="AF99" s="222"/>
      <c r="AG99" s="222"/>
      <c r="AH99" s="222"/>
      <c r="AI99" s="222"/>
      <c r="AJ99" s="222"/>
      <c r="AK99" s="222"/>
      <c r="AL99" s="222"/>
      <c r="AM99" s="222"/>
      <c r="AN99" s="222"/>
      <c r="AO99" s="222"/>
    </row>
    <row r="100" spans="1:41" ht="15.75">
      <c r="A100" s="237"/>
      <c r="B100" s="237"/>
      <c r="C100" s="237"/>
      <c r="D100" s="222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2"/>
      <c r="AN100" s="222"/>
      <c r="AO100" s="222"/>
    </row>
    <row r="101" spans="1:41" ht="15.75">
      <c r="A101" s="237"/>
      <c r="B101" s="237"/>
      <c r="C101" s="237"/>
      <c r="D101" s="222"/>
      <c r="E101" s="222"/>
      <c r="F101" s="222"/>
      <c r="G101" s="222"/>
      <c r="H101" s="222"/>
      <c r="I101" s="222"/>
      <c r="J101" s="222"/>
      <c r="K101" s="222"/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  <c r="AJ101" s="222"/>
      <c r="AK101" s="222"/>
      <c r="AL101" s="222"/>
      <c r="AM101" s="222"/>
      <c r="AN101" s="222"/>
      <c r="AO101" s="222"/>
    </row>
    <row r="102" spans="1:41" ht="15.75">
      <c r="A102" s="237"/>
      <c r="B102" s="237"/>
      <c r="C102" s="237"/>
      <c r="D102" s="222"/>
      <c r="E102" s="222"/>
      <c r="F102" s="222"/>
      <c r="G102" s="222"/>
      <c r="H102" s="222"/>
      <c r="I102" s="222"/>
      <c r="J102" s="222"/>
      <c r="K102" s="222"/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2"/>
      <c r="AN102" s="222"/>
      <c r="AO102" s="222"/>
    </row>
    <row r="103" spans="1:41" ht="15.75">
      <c r="A103" s="237"/>
      <c r="B103" s="237"/>
      <c r="C103" s="237"/>
      <c r="D103" s="222"/>
      <c r="E103" s="222"/>
      <c r="F103" s="222"/>
      <c r="G103" s="222"/>
      <c r="H103" s="222"/>
      <c r="I103" s="222"/>
      <c r="J103" s="222"/>
      <c r="K103" s="222"/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2"/>
      <c r="AN103" s="222"/>
      <c r="AO103" s="222"/>
    </row>
    <row r="104" spans="1:41" ht="15.75">
      <c r="A104" s="237"/>
      <c r="B104" s="237"/>
      <c r="C104" s="237"/>
      <c r="D104" s="222"/>
      <c r="E104" s="222"/>
      <c r="F104" s="222"/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</row>
    <row r="105" spans="1:41" ht="15.75">
      <c r="A105" s="237"/>
      <c r="B105" s="237"/>
      <c r="C105" s="237"/>
      <c r="D105" s="222"/>
      <c r="E105" s="222"/>
      <c r="F105" s="222"/>
      <c r="G105" s="222"/>
      <c r="H105" s="222"/>
      <c r="I105" s="222"/>
      <c r="J105" s="222"/>
      <c r="K105" s="222"/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2"/>
      <c r="AN105" s="222"/>
      <c r="AO105" s="222"/>
    </row>
    <row r="106" spans="1:41" ht="15.75">
      <c r="A106" s="237"/>
      <c r="B106" s="237"/>
      <c r="C106" s="237"/>
      <c r="D106" s="222"/>
      <c r="E106" s="222"/>
      <c r="F106" s="222"/>
      <c r="G106" s="222"/>
      <c r="H106" s="222"/>
      <c r="I106" s="222"/>
      <c r="J106" s="222"/>
      <c r="K106" s="222"/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2"/>
      <c r="AN106" s="222"/>
      <c r="AO106" s="222"/>
    </row>
    <row r="107" spans="1:41" ht="15.75">
      <c r="A107" s="237"/>
      <c r="B107" s="237"/>
      <c r="C107" s="237"/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2"/>
      <c r="AN107" s="222"/>
      <c r="AO107" s="222"/>
    </row>
    <row r="108" spans="1:41" ht="15.75">
      <c r="A108" s="237"/>
      <c r="B108" s="237"/>
      <c r="C108" s="237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  <c r="AL108" s="222"/>
      <c r="AM108" s="222"/>
      <c r="AN108" s="222"/>
      <c r="AO108" s="222"/>
    </row>
    <row r="109" spans="1:41" ht="15.75">
      <c r="A109" s="237"/>
      <c r="B109" s="237"/>
      <c r="C109" s="237"/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2"/>
      <c r="AN109" s="222"/>
      <c r="AO109" s="222"/>
    </row>
    <row r="110" spans="1:41" ht="15.75">
      <c r="A110" s="237"/>
      <c r="B110" s="237"/>
      <c r="C110" s="237"/>
      <c r="D110" s="222"/>
      <c r="E110" s="222"/>
      <c r="F110" s="222"/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2"/>
      <c r="AN110" s="222"/>
      <c r="AO110" s="222"/>
    </row>
    <row r="111" spans="1:41" ht="15.75">
      <c r="A111" s="237"/>
      <c r="B111" s="237"/>
      <c r="C111" s="237"/>
      <c r="D111" s="222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2"/>
      <c r="AM111" s="222"/>
      <c r="AN111" s="222"/>
      <c r="AO111" s="222"/>
    </row>
    <row r="112" spans="1:41" ht="15.75">
      <c r="A112" s="237"/>
      <c r="B112" s="237"/>
      <c r="C112" s="237"/>
      <c r="D112" s="222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  <c r="AF112" s="222"/>
      <c r="AG112" s="222"/>
      <c r="AH112" s="222"/>
      <c r="AI112" s="222"/>
      <c r="AJ112" s="222"/>
      <c r="AK112" s="222"/>
      <c r="AL112" s="222"/>
      <c r="AM112" s="222"/>
      <c r="AN112" s="222"/>
      <c r="AO112" s="222"/>
    </row>
    <row r="113" spans="1:41" ht="15.75">
      <c r="A113" s="237"/>
      <c r="B113" s="237"/>
      <c r="C113" s="237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  <c r="AJ113" s="222"/>
      <c r="AK113" s="222"/>
      <c r="AL113" s="222"/>
      <c r="AM113" s="222"/>
      <c r="AN113" s="222"/>
      <c r="AO113" s="222"/>
    </row>
    <row r="114" spans="1:41" ht="15.75">
      <c r="A114" s="237"/>
      <c r="B114" s="237"/>
      <c r="C114" s="237"/>
      <c r="D114" s="222"/>
      <c r="E114" s="222"/>
      <c r="F114" s="222"/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  <c r="AF114" s="222"/>
      <c r="AG114" s="222"/>
      <c r="AH114" s="222"/>
      <c r="AI114" s="222"/>
      <c r="AJ114" s="222"/>
      <c r="AK114" s="222"/>
      <c r="AL114" s="222"/>
      <c r="AM114" s="222"/>
      <c r="AN114" s="222"/>
      <c r="AO114" s="222"/>
    </row>
    <row r="115" spans="1:41" ht="15.75">
      <c r="A115" s="237"/>
      <c r="B115" s="237"/>
      <c r="C115" s="237"/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2"/>
      <c r="AN115" s="222"/>
      <c r="AO115" s="222"/>
    </row>
    <row r="116" spans="1:41" ht="15.75">
      <c r="A116" s="237"/>
      <c r="B116" s="237"/>
      <c r="C116" s="237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  <c r="AF116" s="222"/>
      <c r="AG116" s="222"/>
      <c r="AH116" s="222"/>
      <c r="AI116" s="222"/>
      <c r="AJ116" s="222"/>
      <c r="AK116" s="222"/>
      <c r="AL116" s="222"/>
      <c r="AM116" s="222"/>
      <c r="AN116" s="222"/>
      <c r="AO116" s="222"/>
    </row>
    <row r="117" spans="1:41" ht="15.75">
      <c r="A117" s="237"/>
      <c r="B117" s="237"/>
      <c r="C117" s="237"/>
      <c r="D117" s="222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2"/>
      <c r="AM117" s="222"/>
      <c r="AN117" s="222"/>
      <c r="AO117" s="222"/>
    </row>
    <row r="118" spans="1:41" ht="15.75">
      <c r="A118" s="237"/>
      <c r="B118" s="237"/>
      <c r="C118" s="237"/>
      <c r="D118" s="222"/>
      <c r="E118" s="222"/>
      <c r="F118" s="222"/>
      <c r="G118" s="222"/>
      <c r="H118" s="222"/>
      <c r="I118" s="222"/>
      <c r="J118" s="222"/>
      <c r="K118" s="222"/>
      <c r="L118" s="222"/>
      <c r="M118" s="222"/>
      <c r="N118" s="222"/>
      <c r="O118" s="222"/>
      <c r="P118" s="222"/>
      <c r="Q118" s="222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222"/>
      <c r="AC118" s="222"/>
      <c r="AD118" s="222"/>
      <c r="AE118" s="222"/>
      <c r="AF118" s="222"/>
      <c r="AG118" s="222"/>
      <c r="AH118" s="222"/>
      <c r="AI118" s="222"/>
      <c r="AJ118" s="222"/>
      <c r="AK118" s="222"/>
      <c r="AL118" s="222"/>
      <c r="AM118" s="222"/>
      <c r="AN118" s="222"/>
      <c r="AO118" s="222"/>
    </row>
    <row r="119" spans="1:41" ht="15.75">
      <c r="A119" s="237"/>
      <c r="B119" s="237"/>
      <c r="C119" s="237"/>
      <c r="D119" s="222"/>
      <c r="E119" s="222"/>
      <c r="F119" s="222"/>
      <c r="G119" s="222"/>
      <c r="H119" s="222"/>
      <c r="I119" s="222"/>
      <c r="J119" s="222"/>
      <c r="K119" s="222"/>
      <c r="L119" s="222"/>
      <c r="M119" s="222"/>
      <c r="N119" s="222"/>
      <c r="O119" s="222"/>
      <c r="P119" s="222"/>
      <c r="Q119" s="222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222"/>
      <c r="AC119" s="222"/>
      <c r="AD119" s="222"/>
      <c r="AE119" s="222"/>
      <c r="AF119" s="222"/>
      <c r="AG119" s="222"/>
      <c r="AH119" s="222"/>
      <c r="AI119" s="222"/>
      <c r="AJ119" s="222"/>
      <c r="AK119" s="222"/>
      <c r="AL119" s="222"/>
      <c r="AM119" s="222"/>
      <c r="AN119" s="222"/>
      <c r="AO119" s="222"/>
    </row>
    <row r="120" spans="1:41" ht="15.75">
      <c r="A120" s="237"/>
      <c r="B120" s="237"/>
      <c r="C120" s="237"/>
      <c r="D120" s="222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222"/>
      <c r="AD120" s="222"/>
      <c r="AE120" s="222"/>
      <c r="AF120" s="222"/>
      <c r="AG120" s="222"/>
      <c r="AH120" s="222"/>
      <c r="AI120" s="222"/>
      <c r="AJ120" s="222"/>
      <c r="AK120" s="222"/>
      <c r="AL120" s="222"/>
      <c r="AM120" s="222"/>
      <c r="AN120" s="222"/>
      <c r="AO120" s="222"/>
    </row>
    <row r="121" spans="1:41" ht="15.75">
      <c r="A121" s="237"/>
      <c r="B121" s="237"/>
      <c r="C121" s="237"/>
      <c r="D121" s="222"/>
      <c r="E121" s="222"/>
      <c r="F121" s="222"/>
      <c r="G121" s="222"/>
      <c r="H121" s="222"/>
      <c r="I121" s="222"/>
      <c r="J121" s="222"/>
      <c r="K121" s="222"/>
      <c r="L121" s="222"/>
      <c r="M121" s="222"/>
      <c r="N121" s="222"/>
      <c r="O121" s="222"/>
      <c r="P121" s="222"/>
      <c r="Q121" s="222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222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2"/>
      <c r="AM121" s="222"/>
      <c r="AN121" s="222"/>
      <c r="AO121" s="222"/>
    </row>
    <row r="122" spans="1:41" ht="15.75">
      <c r="A122" s="237"/>
      <c r="B122" s="237"/>
      <c r="C122" s="237"/>
      <c r="D122" s="222"/>
      <c r="E122" s="222"/>
      <c r="F122" s="222"/>
      <c r="G122" s="222"/>
      <c r="H122" s="222"/>
      <c r="I122" s="222"/>
      <c r="J122" s="222"/>
      <c r="K122" s="222"/>
      <c r="L122" s="222"/>
      <c r="M122" s="222"/>
      <c r="N122" s="222"/>
      <c r="O122" s="222"/>
      <c r="P122" s="222"/>
      <c r="Q122" s="222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222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2"/>
      <c r="AM122" s="222"/>
      <c r="AN122" s="222"/>
      <c r="AO122" s="222"/>
    </row>
    <row r="123" spans="1:41" ht="15.75">
      <c r="A123" s="237"/>
      <c r="B123" s="237"/>
      <c r="C123" s="237"/>
      <c r="D123" s="222"/>
      <c r="E123" s="222"/>
      <c r="F123" s="222"/>
      <c r="G123" s="222"/>
      <c r="H123" s="222"/>
      <c r="I123" s="222"/>
      <c r="J123" s="222"/>
      <c r="K123" s="222"/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22"/>
      <c r="AC123" s="222"/>
      <c r="AD123" s="222"/>
      <c r="AE123" s="222"/>
      <c r="AF123" s="222"/>
      <c r="AG123" s="222"/>
      <c r="AH123" s="222"/>
      <c r="AI123" s="222"/>
      <c r="AJ123" s="222"/>
      <c r="AK123" s="222"/>
      <c r="AL123" s="222"/>
      <c r="AM123" s="222"/>
      <c r="AN123" s="222"/>
      <c r="AO123" s="222"/>
    </row>
    <row r="124" spans="1:41" ht="15.75">
      <c r="A124" s="237"/>
      <c r="B124" s="237"/>
      <c r="C124" s="237"/>
      <c r="D124" s="222"/>
      <c r="E124" s="222"/>
      <c r="F124" s="222"/>
      <c r="G124" s="222"/>
      <c r="H124" s="222"/>
      <c r="I124" s="222"/>
      <c r="J124" s="222"/>
      <c r="K124" s="222"/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222"/>
      <c r="AC124" s="222"/>
      <c r="AD124" s="222"/>
      <c r="AE124" s="222"/>
      <c r="AF124" s="222"/>
      <c r="AG124" s="222"/>
      <c r="AH124" s="222"/>
      <c r="AI124" s="222"/>
      <c r="AJ124" s="222"/>
      <c r="AK124" s="222"/>
      <c r="AL124" s="222"/>
      <c r="AM124" s="222"/>
      <c r="AN124" s="222"/>
      <c r="AO124" s="222"/>
    </row>
    <row r="125" spans="1:41" ht="15.75">
      <c r="A125" s="237"/>
      <c r="B125" s="237"/>
      <c r="C125" s="237"/>
      <c r="D125" s="222"/>
      <c r="E125" s="222"/>
      <c r="F125" s="222"/>
      <c r="G125" s="222"/>
      <c r="H125" s="222"/>
      <c r="I125" s="222"/>
      <c r="J125" s="222"/>
      <c r="K125" s="222"/>
      <c r="L125" s="222"/>
      <c r="M125" s="222"/>
      <c r="N125" s="222"/>
      <c r="O125" s="222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22"/>
      <c r="AF125" s="222"/>
      <c r="AG125" s="222"/>
      <c r="AH125" s="222"/>
      <c r="AI125" s="222"/>
      <c r="AJ125" s="222"/>
      <c r="AK125" s="222"/>
      <c r="AL125" s="222"/>
      <c r="AM125" s="222"/>
      <c r="AN125" s="222"/>
      <c r="AO125" s="222"/>
    </row>
    <row r="126" spans="1:41" ht="15.75">
      <c r="A126" s="237"/>
      <c r="B126" s="237"/>
      <c r="C126" s="237"/>
      <c r="D126" s="222"/>
      <c r="E126" s="222"/>
      <c r="F126" s="222"/>
      <c r="G126" s="222"/>
      <c r="H126" s="222"/>
      <c r="I126" s="222"/>
      <c r="J126" s="222"/>
      <c r="K126" s="222"/>
      <c r="L126" s="222"/>
      <c r="M126" s="222"/>
      <c r="N126" s="222"/>
      <c r="O126" s="222"/>
      <c r="P126" s="222"/>
      <c r="Q126" s="222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22"/>
      <c r="AC126" s="222"/>
      <c r="AD126" s="222"/>
      <c r="AE126" s="222"/>
      <c r="AF126" s="222"/>
      <c r="AG126" s="222"/>
      <c r="AH126" s="222"/>
      <c r="AI126" s="222"/>
      <c r="AJ126" s="222"/>
      <c r="AK126" s="222"/>
      <c r="AL126" s="222"/>
      <c r="AM126" s="222"/>
      <c r="AN126" s="222"/>
      <c r="AO126" s="222"/>
    </row>
    <row r="127" spans="1:41" ht="15.75">
      <c r="A127" s="237"/>
      <c r="B127" s="237"/>
      <c r="C127" s="237"/>
      <c r="D127" s="222"/>
      <c r="E127" s="222"/>
      <c r="F127" s="222"/>
      <c r="G127" s="222"/>
      <c r="H127" s="222"/>
      <c r="I127" s="222"/>
      <c r="J127" s="222"/>
      <c r="K127" s="222"/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22"/>
      <c r="AC127" s="222"/>
      <c r="AD127" s="222"/>
      <c r="AE127" s="222"/>
      <c r="AF127" s="222"/>
      <c r="AG127" s="222"/>
      <c r="AH127" s="222"/>
      <c r="AI127" s="222"/>
      <c r="AJ127" s="222"/>
      <c r="AK127" s="222"/>
      <c r="AL127" s="222"/>
      <c r="AM127" s="222"/>
      <c r="AN127" s="222"/>
      <c r="AO127" s="222"/>
    </row>
    <row r="128" spans="1:41" ht="15.75">
      <c r="A128" s="237"/>
      <c r="B128" s="237"/>
      <c r="C128" s="237"/>
      <c r="D128" s="222"/>
      <c r="E128" s="222"/>
      <c r="F128" s="222"/>
      <c r="G128" s="222"/>
      <c r="H128" s="222"/>
      <c r="I128" s="222"/>
      <c r="J128" s="222"/>
      <c r="K128" s="222"/>
      <c r="L128" s="222"/>
      <c r="M128" s="222"/>
      <c r="N128" s="222"/>
      <c r="O128" s="222"/>
      <c r="P128" s="222"/>
      <c r="Q128" s="222"/>
      <c r="R128" s="222"/>
      <c r="S128" s="222"/>
      <c r="T128" s="222"/>
      <c r="U128" s="222"/>
      <c r="V128" s="222"/>
      <c r="W128" s="222"/>
      <c r="X128" s="222"/>
      <c r="Y128" s="222"/>
      <c r="Z128" s="222"/>
      <c r="AA128" s="222"/>
      <c r="AB128" s="222"/>
      <c r="AC128" s="222"/>
      <c r="AD128" s="222"/>
      <c r="AE128" s="222"/>
      <c r="AF128" s="222"/>
      <c r="AG128" s="222"/>
      <c r="AH128" s="222"/>
      <c r="AI128" s="222"/>
      <c r="AJ128" s="222"/>
      <c r="AK128" s="222"/>
      <c r="AL128" s="222"/>
      <c r="AM128" s="222"/>
      <c r="AN128" s="222"/>
      <c r="AO128" s="222"/>
    </row>
    <row r="129" spans="1:41" ht="15.75">
      <c r="A129" s="237"/>
      <c r="B129" s="237"/>
      <c r="C129" s="237"/>
      <c r="D129" s="222"/>
      <c r="E129" s="222"/>
      <c r="F129" s="222"/>
      <c r="G129" s="222"/>
      <c r="H129" s="222"/>
      <c r="I129" s="222"/>
      <c r="J129" s="222"/>
      <c r="K129" s="222"/>
      <c r="L129" s="222"/>
      <c r="M129" s="222"/>
      <c r="N129" s="222"/>
      <c r="O129" s="222"/>
      <c r="P129" s="222"/>
      <c r="Q129" s="222"/>
      <c r="R129" s="222"/>
      <c r="S129" s="22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222"/>
      <c r="AE129" s="222"/>
      <c r="AF129" s="222"/>
      <c r="AG129" s="222"/>
      <c r="AH129" s="222"/>
      <c r="AI129" s="222"/>
      <c r="AJ129" s="222"/>
      <c r="AK129" s="222"/>
      <c r="AL129" s="222"/>
      <c r="AM129" s="222"/>
      <c r="AN129" s="222"/>
      <c r="AO129" s="222"/>
    </row>
    <row r="130" spans="1:41" ht="15.75">
      <c r="A130" s="237"/>
      <c r="B130" s="237"/>
      <c r="C130" s="237"/>
      <c r="D130" s="222"/>
      <c r="E130" s="222"/>
      <c r="F130" s="222"/>
      <c r="G130" s="222"/>
      <c r="H130" s="222"/>
      <c r="I130" s="222"/>
      <c r="J130" s="222"/>
      <c r="K130" s="222"/>
      <c r="L130" s="222"/>
      <c r="M130" s="222"/>
      <c r="N130" s="222"/>
      <c r="O130" s="222"/>
      <c r="P130" s="222"/>
      <c r="Q130" s="222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222"/>
      <c r="AE130" s="222"/>
      <c r="AF130" s="222"/>
      <c r="AG130" s="222"/>
      <c r="AH130" s="222"/>
      <c r="AI130" s="222"/>
      <c r="AJ130" s="222"/>
      <c r="AK130" s="222"/>
      <c r="AL130" s="222"/>
      <c r="AM130" s="222"/>
      <c r="AN130" s="222"/>
      <c r="AO130" s="222"/>
    </row>
    <row r="131" spans="1:41" ht="15.75">
      <c r="A131" s="237"/>
      <c r="B131" s="237"/>
      <c r="C131" s="237"/>
      <c r="D131" s="222"/>
      <c r="E131" s="222"/>
      <c r="F131" s="222"/>
      <c r="G131" s="222"/>
      <c r="H131" s="222"/>
      <c r="I131" s="222"/>
      <c r="J131" s="222"/>
      <c r="K131" s="222"/>
      <c r="L131" s="222"/>
      <c r="M131" s="222"/>
      <c r="N131" s="222"/>
      <c r="O131" s="222"/>
      <c r="P131" s="222"/>
      <c r="Q131" s="222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222"/>
      <c r="AE131" s="222"/>
      <c r="AF131" s="222"/>
      <c r="AG131" s="222"/>
      <c r="AH131" s="222"/>
      <c r="AI131" s="222"/>
      <c r="AJ131" s="222"/>
      <c r="AK131" s="222"/>
      <c r="AL131" s="222"/>
      <c r="AM131" s="222"/>
      <c r="AN131" s="222"/>
      <c r="AO131" s="222"/>
    </row>
    <row r="132" spans="1:41" ht="15.75">
      <c r="A132" s="237"/>
      <c r="B132" s="237"/>
      <c r="C132" s="237"/>
      <c r="D132" s="222"/>
      <c r="E132" s="222"/>
      <c r="F132" s="222"/>
      <c r="G132" s="222"/>
      <c r="H132" s="222"/>
      <c r="I132" s="222"/>
      <c r="J132" s="222"/>
      <c r="K132" s="222"/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  <c r="AF132" s="222"/>
      <c r="AG132" s="222"/>
      <c r="AH132" s="222"/>
      <c r="AI132" s="222"/>
      <c r="AJ132" s="222"/>
      <c r="AK132" s="222"/>
      <c r="AL132" s="222"/>
      <c r="AM132" s="222"/>
      <c r="AN132" s="222"/>
      <c r="AO132" s="222"/>
    </row>
    <row r="133" spans="1:41" ht="15.75">
      <c r="A133" s="237"/>
      <c r="B133" s="237"/>
      <c r="C133" s="237"/>
      <c r="D133" s="222"/>
      <c r="E133" s="222"/>
      <c r="F133" s="222"/>
      <c r="G133" s="222"/>
      <c r="H133" s="222"/>
      <c r="I133" s="222"/>
      <c r="J133" s="222"/>
      <c r="K133" s="222"/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222"/>
      <c r="AE133" s="222"/>
      <c r="AF133" s="222"/>
      <c r="AG133" s="222"/>
      <c r="AH133" s="222"/>
      <c r="AI133" s="222"/>
      <c r="AJ133" s="222"/>
      <c r="AK133" s="222"/>
      <c r="AL133" s="222"/>
      <c r="AM133" s="222"/>
      <c r="AN133" s="222"/>
      <c r="AO133" s="222"/>
    </row>
    <row r="134" spans="1:41" ht="15.75">
      <c r="A134" s="237"/>
      <c r="B134" s="237"/>
      <c r="C134" s="237"/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  <c r="AF134" s="222"/>
      <c r="AG134" s="222"/>
      <c r="AH134" s="222"/>
      <c r="AI134" s="222"/>
      <c r="AJ134" s="222"/>
      <c r="AK134" s="222"/>
      <c r="AL134" s="222"/>
      <c r="AM134" s="222"/>
      <c r="AN134" s="222"/>
      <c r="AO134" s="222"/>
    </row>
    <row r="135" spans="1:41" ht="15.75">
      <c r="A135" s="237"/>
      <c r="B135" s="237"/>
      <c r="C135" s="237"/>
      <c r="D135" s="222"/>
      <c r="E135" s="222"/>
      <c r="F135" s="222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  <c r="AF135" s="222"/>
      <c r="AG135" s="222"/>
      <c r="AH135" s="222"/>
      <c r="AI135" s="222"/>
      <c r="AJ135" s="222"/>
      <c r="AK135" s="222"/>
      <c r="AL135" s="222"/>
      <c r="AM135" s="222"/>
      <c r="AN135" s="222"/>
      <c r="AO135" s="222"/>
    </row>
    <row r="136" spans="1:41" ht="15.75">
      <c r="A136" s="237"/>
      <c r="B136" s="237"/>
      <c r="C136" s="237"/>
      <c r="D136" s="222"/>
      <c r="E136" s="222"/>
      <c r="F136" s="222"/>
      <c r="G136" s="222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222"/>
      <c r="AE136" s="222"/>
      <c r="AF136" s="222"/>
      <c r="AG136" s="222"/>
      <c r="AH136" s="222"/>
      <c r="AI136" s="222"/>
      <c r="AJ136" s="222"/>
      <c r="AK136" s="222"/>
      <c r="AL136" s="222"/>
      <c r="AM136" s="222"/>
      <c r="AN136" s="222"/>
      <c r="AO136" s="222"/>
    </row>
    <row r="137" spans="1:41" ht="15.75">
      <c r="A137" s="237"/>
      <c r="B137" s="237"/>
      <c r="C137" s="237"/>
      <c r="D137" s="222"/>
      <c r="E137" s="222"/>
      <c r="F137" s="222"/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22"/>
      <c r="AC137" s="222"/>
      <c r="AD137" s="222"/>
      <c r="AE137" s="222"/>
      <c r="AF137" s="222"/>
      <c r="AG137" s="222"/>
      <c r="AH137" s="222"/>
      <c r="AI137" s="222"/>
      <c r="AJ137" s="222"/>
      <c r="AK137" s="222"/>
      <c r="AL137" s="222"/>
      <c r="AM137" s="222"/>
      <c r="AN137" s="222"/>
      <c r="AO137" s="222"/>
    </row>
    <row r="138" spans="1:41" ht="15.75">
      <c r="A138" s="237"/>
      <c r="B138" s="237"/>
      <c r="C138" s="237"/>
      <c r="D138" s="222"/>
      <c r="E138" s="222"/>
      <c r="F138" s="222"/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22"/>
      <c r="AC138" s="222"/>
      <c r="AD138" s="222"/>
      <c r="AE138" s="222"/>
      <c r="AF138" s="222"/>
      <c r="AG138" s="222"/>
      <c r="AH138" s="222"/>
      <c r="AI138" s="222"/>
      <c r="AJ138" s="222"/>
      <c r="AK138" s="222"/>
      <c r="AL138" s="222"/>
      <c r="AM138" s="222"/>
      <c r="AN138" s="222"/>
      <c r="AO138" s="222"/>
    </row>
    <row r="139" spans="1:41" ht="15.75">
      <c r="A139" s="237"/>
      <c r="B139" s="237"/>
      <c r="C139" s="237"/>
      <c r="D139" s="222"/>
      <c r="E139" s="222"/>
      <c r="F139" s="222"/>
      <c r="G139" s="222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222"/>
      <c r="AE139" s="222"/>
      <c r="AF139" s="222"/>
      <c r="AG139" s="222"/>
      <c r="AH139" s="222"/>
      <c r="AI139" s="222"/>
      <c r="AJ139" s="222"/>
      <c r="AK139" s="222"/>
      <c r="AL139" s="222"/>
      <c r="AM139" s="222"/>
      <c r="AN139" s="222"/>
      <c r="AO139" s="222"/>
    </row>
    <row r="140" spans="1:41" ht="15.75">
      <c r="A140" s="237"/>
      <c r="B140" s="237"/>
      <c r="C140" s="237"/>
      <c r="D140" s="222"/>
      <c r="E140" s="222"/>
      <c r="F140" s="222"/>
      <c r="G140" s="222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2"/>
      <c r="S140" s="22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222"/>
      <c r="AE140" s="222"/>
      <c r="AF140" s="222"/>
      <c r="AG140" s="222"/>
      <c r="AH140" s="222"/>
      <c r="AI140" s="222"/>
      <c r="AJ140" s="222"/>
      <c r="AK140" s="222"/>
      <c r="AL140" s="222"/>
      <c r="AM140" s="222"/>
      <c r="AN140" s="222"/>
      <c r="AO140" s="222"/>
    </row>
    <row r="141" spans="1:41" ht="15.75">
      <c r="A141" s="237"/>
      <c r="B141" s="237"/>
      <c r="C141" s="237"/>
      <c r="D141" s="222"/>
      <c r="E141" s="222"/>
      <c r="F141" s="222"/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22"/>
      <c r="AE141" s="222"/>
      <c r="AF141" s="222"/>
      <c r="AG141" s="222"/>
      <c r="AH141" s="222"/>
      <c r="AI141" s="222"/>
      <c r="AJ141" s="222"/>
      <c r="AK141" s="222"/>
      <c r="AL141" s="222"/>
      <c r="AM141" s="222"/>
      <c r="AN141" s="222"/>
      <c r="AO141" s="222"/>
    </row>
    <row r="142" spans="1:41" ht="15.75">
      <c r="A142" s="237"/>
      <c r="B142" s="237"/>
      <c r="C142" s="237"/>
      <c r="D142" s="222"/>
      <c r="E142" s="222"/>
      <c r="F142" s="222"/>
      <c r="G142" s="222"/>
      <c r="H142" s="222"/>
      <c r="I142" s="222"/>
      <c r="J142" s="222"/>
      <c r="K142" s="222"/>
      <c r="L142" s="222"/>
      <c r="M142" s="222"/>
      <c r="N142" s="222"/>
      <c r="O142" s="222"/>
      <c r="P142" s="222"/>
      <c r="Q142" s="222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22"/>
      <c r="AE142" s="222"/>
      <c r="AF142" s="222"/>
      <c r="AG142" s="222"/>
      <c r="AH142" s="222"/>
      <c r="AI142" s="222"/>
      <c r="AJ142" s="222"/>
      <c r="AK142" s="222"/>
      <c r="AL142" s="222"/>
      <c r="AM142" s="222"/>
      <c r="AN142" s="222"/>
      <c r="AO142" s="222"/>
    </row>
    <row r="143" spans="1:41" ht="15.75">
      <c r="A143" s="237"/>
      <c r="B143" s="237"/>
      <c r="C143" s="237"/>
      <c r="D143" s="222"/>
      <c r="E143" s="222"/>
      <c r="F143" s="222"/>
      <c r="G143" s="222"/>
      <c r="H143" s="222"/>
      <c r="I143" s="222"/>
      <c r="J143" s="222"/>
      <c r="K143" s="222"/>
      <c r="L143" s="222"/>
      <c r="M143" s="222"/>
      <c r="N143" s="222"/>
      <c r="O143" s="222"/>
      <c r="P143" s="222"/>
      <c r="Q143" s="222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22"/>
      <c r="AE143" s="222"/>
      <c r="AF143" s="222"/>
      <c r="AG143" s="222"/>
      <c r="AH143" s="222"/>
      <c r="AI143" s="222"/>
      <c r="AJ143" s="222"/>
      <c r="AK143" s="222"/>
      <c r="AL143" s="222"/>
      <c r="AM143" s="222"/>
      <c r="AN143" s="222"/>
      <c r="AO143" s="222"/>
    </row>
    <row r="144" spans="1:41" ht="15.75">
      <c r="A144" s="237"/>
      <c r="B144" s="237"/>
      <c r="C144" s="237"/>
      <c r="D144" s="222"/>
      <c r="E144" s="222"/>
      <c r="F144" s="222"/>
      <c r="G144" s="222"/>
      <c r="H144" s="222"/>
      <c r="I144" s="222"/>
      <c r="J144" s="222"/>
      <c r="K144" s="222"/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22"/>
      <c r="AF144" s="222"/>
      <c r="AG144" s="222"/>
      <c r="AH144" s="222"/>
      <c r="AI144" s="222"/>
      <c r="AJ144" s="222"/>
      <c r="AK144" s="222"/>
      <c r="AL144" s="222"/>
      <c r="AM144" s="222"/>
      <c r="AN144" s="222"/>
      <c r="AO144" s="222"/>
    </row>
    <row r="145" spans="1:41" ht="15.75">
      <c r="A145" s="237"/>
      <c r="B145" s="237"/>
      <c r="C145" s="237"/>
      <c r="D145" s="222"/>
      <c r="E145" s="222"/>
      <c r="F145" s="222"/>
      <c r="G145" s="222"/>
      <c r="H145" s="222"/>
      <c r="I145" s="222"/>
      <c r="J145" s="222"/>
      <c r="K145" s="222"/>
      <c r="L145" s="222"/>
      <c r="M145" s="222"/>
      <c r="N145" s="222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22"/>
      <c r="AC145" s="222"/>
      <c r="AD145" s="222"/>
      <c r="AE145" s="222"/>
      <c r="AF145" s="222"/>
      <c r="AG145" s="222"/>
      <c r="AH145" s="222"/>
      <c r="AI145" s="222"/>
      <c r="AJ145" s="222"/>
      <c r="AK145" s="222"/>
      <c r="AL145" s="222"/>
      <c r="AM145" s="222"/>
      <c r="AN145" s="222"/>
      <c r="AO145" s="222"/>
    </row>
    <row r="146" spans="1:41" ht="15.75">
      <c r="A146" s="237"/>
      <c r="B146" s="237"/>
      <c r="C146" s="237"/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22"/>
      <c r="AC146" s="222"/>
      <c r="AD146" s="222"/>
      <c r="AE146" s="222"/>
      <c r="AF146" s="222"/>
      <c r="AG146" s="222"/>
      <c r="AH146" s="222"/>
      <c r="AI146" s="222"/>
      <c r="AJ146" s="222"/>
      <c r="AK146" s="222"/>
      <c r="AL146" s="222"/>
      <c r="AM146" s="222"/>
      <c r="AN146" s="222"/>
      <c r="AO146" s="222"/>
    </row>
    <row r="147" spans="1:41" ht="15.75">
      <c r="A147" s="237"/>
      <c r="B147" s="237"/>
      <c r="C147" s="237"/>
      <c r="D147" s="222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22"/>
      <c r="AE147" s="222"/>
      <c r="AF147" s="222"/>
      <c r="AG147" s="222"/>
      <c r="AH147" s="222"/>
      <c r="AI147" s="222"/>
      <c r="AJ147" s="222"/>
      <c r="AK147" s="222"/>
      <c r="AL147" s="222"/>
      <c r="AM147" s="222"/>
      <c r="AN147" s="222"/>
      <c r="AO147" s="222"/>
    </row>
    <row r="148" spans="1:41" ht="15.75">
      <c r="A148" s="237"/>
      <c r="B148" s="237"/>
      <c r="C148" s="237"/>
      <c r="D148" s="222"/>
      <c r="E148" s="222"/>
      <c r="F148" s="222"/>
      <c r="G148" s="222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22"/>
      <c r="AE148" s="222"/>
      <c r="AF148" s="222"/>
      <c r="AG148" s="222"/>
      <c r="AH148" s="222"/>
      <c r="AI148" s="222"/>
      <c r="AJ148" s="222"/>
      <c r="AK148" s="222"/>
      <c r="AL148" s="222"/>
      <c r="AM148" s="222"/>
      <c r="AN148" s="222"/>
      <c r="AO148" s="222"/>
    </row>
    <row r="149" spans="1:41" ht="15.75">
      <c r="A149" s="237"/>
      <c r="B149" s="237"/>
      <c r="C149" s="237"/>
      <c r="D149" s="222"/>
      <c r="E149" s="222"/>
      <c r="F149" s="222"/>
      <c r="G149" s="222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222"/>
      <c r="Y149" s="222"/>
      <c r="Z149" s="222"/>
      <c r="AA149" s="222"/>
      <c r="AB149" s="222"/>
      <c r="AC149" s="222"/>
      <c r="AD149" s="222"/>
      <c r="AE149" s="222"/>
      <c r="AF149" s="222"/>
      <c r="AG149" s="222"/>
      <c r="AH149" s="222"/>
      <c r="AI149" s="222"/>
      <c r="AJ149" s="222"/>
      <c r="AK149" s="222"/>
      <c r="AL149" s="222"/>
      <c r="AM149" s="222"/>
      <c r="AN149" s="222"/>
      <c r="AO149" s="222"/>
    </row>
    <row r="150" spans="1:41" ht="15.75">
      <c r="A150" s="237"/>
      <c r="B150" s="237"/>
      <c r="C150" s="237"/>
      <c r="D150" s="222"/>
      <c r="E150" s="222"/>
      <c r="F150" s="222"/>
      <c r="G150" s="222"/>
      <c r="H150" s="222"/>
      <c r="I150" s="222"/>
      <c r="J150" s="222"/>
      <c r="K150" s="222"/>
      <c r="L150" s="222"/>
      <c r="M150" s="222"/>
      <c r="N150" s="222"/>
      <c r="O150" s="222"/>
      <c r="P150" s="222"/>
      <c r="Q150" s="222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222"/>
      <c r="AJ150" s="222"/>
      <c r="AK150" s="222"/>
      <c r="AL150" s="222"/>
      <c r="AM150" s="222"/>
      <c r="AN150" s="222"/>
      <c r="AO150" s="222"/>
    </row>
    <row r="151" spans="1:41" ht="15.75">
      <c r="A151" s="237"/>
      <c r="B151" s="237"/>
      <c r="C151" s="237"/>
      <c r="D151" s="222"/>
      <c r="E151" s="222"/>
      <c r="F151" s="222"/>
      <c r="G151" s="222"/>
      <c r="H151" s="222"/>
      <c r="I151" s="222"/>
      <c r="J151" s="222"/>
      <c r="K151" s="222"/>
      <c r="L151" s="222"/>
      <c r="M151" s="222"/>
      <c r="N151" s="222"/>
      <c r="O151" s="222"/>
      <c r="P151" s="222"/>
      <c r="Q151" s="222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22"/>
      <c r="AC151" s="222"/>
      <c r="AD151" s="222"/>
      <c r="AE151" s="222"/>
      <c r="AF151" s="222"/>
      <c r="AG151" s="222"/>
      <c r="AH151" s="222"/>
      <c r="AI151" s="222"/>
      <c r="AJ151" s="222"/>
      <c r="AK151" s="222"/>
      <c r="AL151" s="222"/>
      <c r="AM151" s="222"/>
      <c r="AN151" s="222"/>
      <c r="AO151" s="222"/>
    </row>
    <row r="152" spans="1:41" ht="15.75">
      <c r="A152" s="237"/>
      <c r="B152" s="237"/>
      <c r="C152" s="237"/>
      <c r="D152" s="222"/>
      <c r="E152" s="222"/>
      <c r="F152" s="222"/>
      <c r="G152" s="222"/>
      <c r="H152" s="222"/>
      <c r="I152" s="222"/>
      <c r="J152" s="222"/>
      <c r="K152" s="222"/>
      <c r="L152" s="222"/>
      <c r="M152" s="222"/>
      <c r="N152" s="222"/>
      <c r="O152" s="222"/>
      <c r="P152" s="222"/>
      <c r="Q152" s="222"/>
      <c r="R152" s="222"/>
      <c r="S152" s="222"/>
      <c r="T152" s="222"/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  <c r="AF152" s="222"/>
      <c r="AG152" s="222"/>
      <c r="AH152" s="222"/>
      <c r="AI152" s="222"/>
      <c r="AJ152" s="222"/>
      <c r="AK152" s="222"/>
      <c r="AL152" s="222"/>
      <c r="AM152" s="222"/>
      <c r="AN152" s="222"/>
      <c r="AO152" s="222"/>
    </row>
    <row r="153" spans="1:41" ht="15.75">
      <c r="A153" s="237"/>
      <c r="B153" s="237"/>
      <c r="C153" s="237"/>
      <c r="D153" s="222"/>
      <c r="E153" s="222"/>
      <c r="F153" s="222"/>
      <c r="G153" s="222"/>
      <c r="H153" s="222"/>
      <c r="I153" s="222"/>
      <c r="J153" s="222"/>
      <c r="K153" s="222"/>
      <c r="L153" s="222"/>
      <c r="M153" s="222"/>
      <c r="N153" s="222"/>
      <c r="O153" s="222"/>
      <c r="P153" s="222"/>
      <c r="Q153" s="222"/>
      <c r="R153" s="222"/>
      <c r="S153" s="222"/>
      <c r="T153" s="222"/>
      <c r="U153" s="222"/>
      <c r="V153" s="222"/>
      <c r="W153" s="222"/>
      <c r="X153" s="222"/>
      <c r="Y153" s="222"/>
      <c r="Z153" s="222"/>
      <c r="AA153" s="222"/>
      <c r="AB153" s="222"/>
      <c r="AC153" s="222"/>
      <c r="AD153" s="222"/>
      <c r="AE153" s="222"/>
      <c r="AF153" s="222"/>
      <c r="AG153" s="222"/>
      <c r="AH153" s="222"/>
      <c r="AI153" s="222"/>
      <c r="AJ153" s="222"/>
      <c r="AK153" s="222"/>
      <c r="AL153" s="222"/>
      <c r="AM153" s="222"/>
      <c r="AN153" s="222"/>
      <c r="AO153" s="222"/>
    </row>
    <row r="154" spans="1:41" ht="15.75">
      <c r="A154" s="237"/>
      <c r="B154" s="237"/>
      <c r="C154" s="237"/>
      <c r="D154" s="222"/>
      <c r="E154" s="222"/>
      <c r="F154" s="222"/>
      <c r="G154" s="222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222"/>
      <c r="Z154" s="222"/>
      <c r="AA154" s="222"/>
      <c r="AB154" s="222"/>
      <c r="AC154" s="222"/>
      <c r="AD154" s="222"/>
      <c r="AE154" s="222"/>
      <c r="AF154" s="222"/>
      <c r="AG154" s="222"/>
      <c r="AH154" s="222"/>
      <c r="AI154" s="222"/>
      <c r="AJ154" s="222"/>
      <c r="AK154" s="222"/>
      <c r="AL154" s="222"/>
      <c r="AM154" s="222"/>
      <c r="AN154" s="222"/>
      <c r="AO154" s="222"/>
    </row>
    <row r="155" spans="1:41" ht="15.75">
      <c r="A155" s="237"/>
      <c r="B155" s="237"/>
      <c r="C155" s="237"/>
      <c r="D155" s="222"/>
      <c r="E155" s="222"/>
      <c r="F155" s="222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  <c r="AF155" s="222"/>
      <c r="AG155" s="222"/>
      <c r="AH155" s="222"/>
      <c r="AI155" s="222"/>
      <c r="AJ155" s="222"/>
      <c r="AK155" s="222"/>
      <c r="AL155" s="222"/>
      <c r="AM155" s="222"/>
      <c r="AN155" s="222"/>
      <c r="AO155" s="222"/>
    </row>
    <row r="156" spans="1:41" ht="15.75">
      <c r="A156" s="237"/>
      <c r="B156" s="237"/>
      <c r="C156" s="237"/>
      <c r="D156" s="222"/>
      <c r="E156" s="222"/>
      <c r="F156" s="222"/>
      <c r="G156" s="222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  <c r="AF156" s="222"/>
      <c r="AG156" s="222"/>
      <c r="AH156" s="222"/>
      <c r="AI156" s="222"/>
      <c r="AJ156" s="222"/>
      <c r="AK156" s="222"/>
      <c r="AL156" s="222"/>
      <c r="AM156" s="222"/>
      <c r="AN156" s="222"/>
      <c r="AO156" s="222"/>
    </row>
    <row r="157" spans="1:41" ht="15.75">
      <c r="A157" s="237"/>
      <c r="B157" s="237"/>
      <c r="C157" s="237"/>
      <c r="D157" s="222"/>
      <c r="E157" s="222"/>
      <c r="F157" s="222"/>
      <c r="G157" s="222"/>
      <c r="H157" s="222"/>
      <c r="I157" s="222"/>
      <c r="J157" s="222"/>
      <c r="K157" s="222"/>
      <c r="L157" s="222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  <c r="AF157" s="222"/>
      <c r="AG157" s="222"/>
      <c r="AH157" s="222"/>
      <c r="AI157" s="222"/>
      <c r="AJ157" s="222"/>
      <c r="AK157" s="222"/>
      <c r="AL157" s="222"/>
      <c r="AM157" s="222"/>
      <c r="AN157" s="222"/>
      <c r="AO157" s="222"/>
    </row>
    <row r="158" spans="1:41" ht="15.75">
      <c r="A158" s="237"/>
      <c r="B158" s="237"/>
      <c r="C158" s="237"/>
      <c r="D158" s="222"/>
      <c r="E158" s="222"/>
      <c r="F158" s="222"/>
      <c r="G158" s="222"/>
      <c r="H158" s="222"/>
      <c r="I158" s="222"/>
      <c r="J158" s="222"/>
      <c r="K158" s="222"/>
      <c r="L158" s="222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  <c r="AF158" s="222"/>
      <c r="AG158" s="222"/>
      <c r="AH158" s="222"/>
      <c r="AI158" s="222"/>
      <c r="AJ158" s="222"/>
      <c r="AK158" s="222"/>
      <c r="AL158" s="222"/>
      <c r="AM158" s="222"/>
      <c r="AN158" s="222"/>
      <c r="AO158" s="222"/>
    </row>
    <row r="159" spans="1:41" ht="15.75">
      <c r="A159" s="237"/>
      <c r="B159" s="237"/>
      <c r="C159" s="237"/>
      <c r="D159" s="222"/>
      <c r="E159" s="222"/>
      <c r="F159" s="222"/>
      <c r="G159" s="222"/>
      <c r="H159" s="222"/>
      <c r="I159" s="222"/>
      <c r="J159" s="222"/>
      <c r="K159" s="222"/>
      <c r="L159" s="222"/>
      <c r="M159" s="222"/>
      <c r="N159" s="222"/>
      <c r="O159" s="222"/>
      <c r="P159" s="222"/>
      <c r="Q159" s="222"/>
      <c r="R159" s="222"/>
      <c r="S159" s="222"/>
      <c r="T159" s="222"/>
      <c r="U159" s="222"/>
      <c r="V159" s="222"/>
      <c r="W159" s="222"/>
      <c r="X159" s="222"/>
      <c r="Y159" s="222"/>
      <c r="Z159" s="222"/>
      <c r="AA159" s="222"/>
      <c r="AB159" s="222"/>
      <c r="AC159" s="222"/>
      <c r="AD159" s="222"/>
      <c r="AE159" s="222"/>
      <c r="AF159" s="222"/>
      <c r="AG159" s="222"/>
      <c r="AH159" s="222"/>
      <c r="AI159" s="222"/>
      <c r="AJ159" s="222"/>
      <c r="AK159" s="222"/>
      <c r="AL159" s="222"/>
      <c r="AM159" s="222"/>
      <c r="AN159" s="222"/>
      <c r="AO159" s="222"/>
    </row>
    <row r="160" spans="1:41" ht="15.75">
      <c r="A160" s="237"/>
      <c r="B160" s="237"/>
      <c r="C160" s="237"/>
      <c r="D160" s="222"/>
      <c r="E160" s="222"/>
      <c r="F160" s="222"/>
      <c r="G160" s="222"/>
      <c r="H160" s="222"/>
      <c r="I160" s="222"/>
      <c r="J160" s="222"/>
      <c r="K160" s="222"/>
      <c r="L160" s="222"/>
      <c r="M160" s="222"/>
      <c r="N160" s="222"/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/>
      <c r="Z160" s="222"/>
      <c r="AA160" s="222"/>
      <c r="AB160" s="222"/>
      <c r="AC160" s="222"/>
      <c r="AD160" s="222"/>
      <c r="AE160" s="222"/>
      <c r="AF160" s="222"/>
      <c r="AG160" s="222"/>
      <c r="AH160" s="222"/>
      <c r="AI160" s="222"/>
      <c r="AJ160" s="222"/>
      <c r="AK160" s="222"/>
      <c r="AL160" s="222"/>
      <c r="AM160" s="222"/>
      <c r="AN160" s="222"/>
      <c r="AO160" s="222"/>
    </row>
    <row r="161" spans="1:41" ht="15.75">
      <c r="A161" s="237"/>
      <c r="B161" s="237"/>
      <c r="C161" s="237"/>
      <c r="D161" s="222"/>
      <c r="E161" s="222"/>
      <c r="F161" s="222"/>
      <c r="G161" s="222"/>
      <c r="H161" s="222"/>
      <c r="I161" s="222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2"/>
      <c r="AF161" s="222"/>
      <c r="AG161" s="222"/>
      <c r="AH161" s="222"/>
      <c r="AI161" s="222"/>
      <c r="AJ161" s="222"/>
      <c r="AK161" s="222"/>
      <c r="AL161" s="222"/>
      <c r="AM161" s="222"/>
      <c r="AN161" s="222"/>
      <c r="AO161" s="222"/>
    </row>
    <row r="162" spans="1:41" ht="15.75">
      <c r="A162" s="237"/>
      <c r="B162" s="237"/>
      <c r="C162" s="237"/>
      <c r="D162" s="222"/>
      <c r="E162" s="222"/>
      <c r="F162" s="222"/>
      <c r="G162" s="222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22"/>
      <c r="T162" s="222"/>
      <c r="U162" s="222"/>
      <c r="V162" s="222"/>
      <c r="W162" s="222"/>
      <c r="X162" s="222"/>
      <c r="Y162" s="222"/>
      <c r="Z162" s="222"/>
      <c r="AA162" s="222"/>
      <c r="AB162" s="222"/>
      <c r="AC162" s="222"/>
      <c r="AD162" s="222"/>
      <c r="AE162" s="222"/>
      <c r="AF162" s="222"/>
      <c r="AG162" s="222"/>
      <c r="AH162" s="222"/>
      <c r="AI162" s="222"/>
      <c r="AJ162" s="222"/>
      <c r="AK162" s="222"/>
      <c r="AL162" s="222"/>
      <c r="AM162" s="222"/>
      <c r="AN162" s="222"/>
      <c r="AO162" s="222"/>
    </row>
    <row r="163" spans="1:41" ht="15.75">
      <c r="A163" s="237"/>
      <c r="B163" s="237"/>
      <c r="C163" s="237"/>
      <c r="D163" s="222"/>
      <c r="E163" s="222"/>
      <c r="F163" s="222"/>
      <c r="G163" s="222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22"/>
      <c r="T163" s="222"/>
      <c r="U163" s="222"/>
      <c r="V163" s="222"/>
      <c r="W163" s="222"/>
      <c r="X163" s="222"/>
      <c r="Y163" s="222"/>
      <c r="Z163" s="222"/>
      <c r="AA163" s="222"/>
      <c r="AB163" s="222"/>
      <c r="AC163" s="222"/>
      <c r="AD163" s="222"/>
      <c r="AE163" s="222"/>
      <c r="AF163" s="222"/>
      <c r="AG163" s="222"/>
      <c r="AH163" s="222"/>
      <c r="AI163" s="222"/>
      <c r="AJ163" s="222"/>
      <c r="AK163" s="222"/>
      <c r="AL163" s="222"/>
      <c r="AM163" s="222"/>
      <c r="AN163" s="222"/>
      <c r="AO163" s="222"/>
    </row>
    <row r="164" spans="1:41" ht="15.75">
      <c r="A164" s="237"/>
      <c r="B164" s="237"/>
      <c r="C164" s="237"/>
      <c r="D164" s="222"/>
      <c r="E164" s="222"/>
      <c r="F164" s="222"/>
      <c r="G164" s="222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  <c r="AF164" s="222"/>
      <c r="AG164" s="222"/>
      <c r="AH164" s="222"/>
      <c r="AI164" s="222"/>
      <c r="AJ164" s="222"/>
      <c r="AK164" s="222"/>
      <c r="AL164" s="222"/>
      <c r="AM164" s="222"/>
      <c r="AN164" s="222"/>
      <c r="AO164" s="222"/>
    </row>
    <row r="165" spans="1:41" ht="15.75">
      <c r="A165" s="237"/>
      <c r="B165" s="237"/>
      <c r="C165" s="237"/>
      <c r="D165" s="222"/>
      <c r="E165" s="222"/>
      <c r="F165" s="222"/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22"/>
      <c r="AF165" s="222"/>
      <c r="AG165" s="222"/>
      <c r="AH165" s="222"/>
      <c r="AI165" s="222"/>
      <c r="AJ165" s="222"/>
      <c r="AK165" s="222"/>
      <c r="AL165" s="222"/>
      <c r="AM165" s="222"/>
      <c r="AN165" s="222"/>
      <c r="AO165" s="222"/>
    </row>
    <row r="166" spans="1:41" ht="15.75">
      <c r="A166" s="237"/>
      <c r="B166" s="237"/>
      <c r="C166" s="237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22"/>
      <c r="AF166" s="222"/>
      <c r="AG166" s="222"/>
      <c r="AH166" s="222"/>
      <c r="AI166" s="222"/>
      <c r="AJ166" s="222"/>
      <c r="AK166" s="222"/>
      <c r="AL166" s="222"/>
      <c r="AM166" s="222"/>
      <c r="AN166" s="222"/>
      <c r="AO166" s="222"/>
    </row>
    <row r="167" spans="1:41" ht="15.75">
      <c r="A167" s="237"/>
      <c r="B167" s="237"/>
      <c r="C167" s="237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22"/>
      <c r="AF167" s="222"/>
      <c r="AG167" s="222"/>
      <c r="AH167" s="222"/>
      <c r="AI167" s="222"/>
      <c r="AJ167" s="222"/>
      <c r="AK167" s="222"/>
      <c r="AL167" s="222"/>
      <c r="AM167" s="222"/>
      <c r="AN167" s="222"/>
      <c r="AO167" s="222"/>
    </row>
    <row r="168" spans="1:41" ht="15.75">
      <c r="A168" s="237"/>
      <c r="B168" s="237"/>
      <c r="C168" s="237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22"/>
      <c r="T168" s="222"/>
      <c r="U168" s="222"/>
      <c r="V168" s="222"/>
      <c r="W168" s="222"/>
      <c r="X168" s="222"/>
      <c r="Y168" s="222"/>
      <c r="Z168" s="222"/>
      <c r="AA168" s="222"/>
      <c r="AB168" s="222"/>
      <c r="AC168" s="222"/>
      <c r="AD168" s="222"/>
      <c r="AE168" s="222"/>
      <c r="AF168" s="222"/>
      <c r="AG168" s="222"/>
      <c r="AH168" s="222"/>
      <c r="AI168" s="222"/>
      <c r="AJ168" s="222"/>
      <c r="AK168" s="222"/>
      <c r="AL168" s="222"/>
      <c r="AM168" s="222"/>
      <c r="AN168" s="222"/>
      <c r="AO168" s="222"/>
    </row>
    <row r="169" spans="1:41" ht="15.75">
      <c r="A169" s="237"/>
      <c r="B169" s="237"/>
      <c r="C169" s="237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222"/>
      <c r="Y169" s="222"/>
      <c r="Z169" s="222"/>
      <c r="AA169" s="222"/>
      <c r="AB169" s="222"/>
      <c r="AC169" s="222"/>
      <c r="AD169" s="222"/>
      <c r="AE169" s="222"/>
      <c r="AF169" s="222"/>
      <c r="AG169" s="222"/>
      <c r="AH169" s="222"/>
      <c r="AI169" s="222"/>
      <c r="AJ169" s="222"/>
      <c r="AK169" s="222"/>
      <c r="AL169" s="222"/>
      <c r="AM169" s="222"/>
      <c r="AN169" s="222"/>
      <c r="AO169" s="222"/>
    </row>
    <row r="170" spans="1:41" ht="15.75">
      <c r="A170" s="237"/>
      <c r="B170" s="237"/>
      <c r="C170" s="237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22"/>
      <c r="T170" s="222"/>
      <c r="U170" s="222"/>
      <c r="V170" s="222"/>
      <c r="W170" s="222"/>
      <c r="X170" s="222"/>
      <c r="Y170" s="222"/>
      <c r="Z170" s="222"/>
      <c r="AA170" s="222"/>
      <c r="AB170" s="222"/>
      <c r="AC170" s="222"/>
      <c r="AD170" s="222"/>
      <c r="AE170" s="222"/>
      <c r="AF170" s="222"/>
      <c r="AG170" s="222"/>
      <c r="AH170" s="222"/>
      <c r="AI170" s="222"/>
      <c r="AJ170" s="222"/>
      <c r="AK170" s="222"/>
      <c r="AL170" s="222"/>
      <c r="AM170" s="222"/>
      <c r="AN170" s="222"/>
      <c r="AO170" s="222"/>
    </row>
    <row r="171" spans="1:41" ht="15.75">
      <c r="A171" s="237"/>
      <c r="B171" s="237"/>
      <c r="C171" s="237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22"/>
      <c r="AF171" s="222"/>
      <c r="AG171" s="222"/>
      <c r="AH171" s="222"/>
      <c r="AI171" s="222"/>
      <c r="AJ171" s="222"/>
      <c r="AK171" s="222"/>
      <c r="AL171" s="222"/>
      <c r="AM171" s="222"/>
      <c r="AN171" s="222"/>
      <c r="AO171" s="222"/>
    </row>
    <row r="172" spans="1:41" ht="15.75">
      <c r="A172" s="237"/>
      <c r="B172" s="237"/>
      <c r="C172" s="237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22"/>
      <c r="AF172" s="222"/>
      <c r="AG172" s="222"/>
      <c r="AH172" s="222"/>
      <c r="AI172" s="222"/>
      <c r="AJ172" s="222"/>
      <c r="AK172" s="222"/>
      <c r="AL172" s="222"/>
      <c r="AM172" s="222"/>
      <c r="AN172" s="222"/>
      <c r="AO172" s="222"/>
    </row>
    <row r="173" spans="1:41" ht="15.75">
      <c r="A173" s="237"/>
      <c r="B173" s="237"/>
      <c r="C173" s="237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22"/>
      <c r="T173" s="222"/>
      <c r="U173" s="222"/>
      <c r="V173" s="222"/>
      <c r="W173" s="222"/>
      <c r="X173" s="222"/>
      <c r="Y173" s="222"/>
      <c r="Z173" s="222"/>
      <c r="AA173" s="222"/>
      <c r="AB173" s="222"/>
      <c r="AC173" s="222"/>
      <c r="AD173" s="222"/>
      <c r="AE173" s="222"/>
      <c r="AF173" s="222"/>
      <c r="AG173" s="222"/>
      <c r="AH173" s="222"/>
      <c r="AI173" s="222"/>
      <c r="AJ173" s="222"/>
      <c r="AK173" s="222"/>
      <c r="AL173" s="222"/>
      <c r="AM173" s="222"/>
      <c r="AN173" s="222"/>
      <c r="AO173" s="222"/>
    </row>
    <row r="174" spans="1:41" ht="15.75">
      <c r="A174" s="237"/>
      <c r="B174" s="237"/>
      <c r="C174" s="237"/>
      <c r="D174" s="222"/>
      <c r="E174" s="222"/>
      <c r="F174" s="222"/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  <c r="AF174" s="222"/>
      <c r="AG174" s="222"/>
      <c r="AH174" s="222"/>
      <c r="AI174" s="222"/>
      <c r="AJ174" s="222"/>
      <c r="AK174" s="222"/>
      <c r="AL174" s="222"/>
      <c r="AM174" s="222"/>
      <c r="AN174" s="222"/>
      <c r="AO174" s="222"/>
    </row>
    <row r="175" spans="1:41" ht="15.75">
      <c r="A175" s="237"/>
      <c r="B175" s="237"/>
      <c r="C175" s="237"/>
      <c r="D175" s="222"/>
      <c r="E175" s="222"/>
      <c r="F175" s="222"/>
      <c r="G175" s="222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22"/>
      <c r="T175" s="222"/>
      <c r="U175" s="222"/>
      <c r="V175" s="222"/>
      <c r="W175" s="222"/>
      <c r="X175" s="222"/>
      <c r="Y175" s="222"/>
      <c r="Z175" s="222"/>
      <c r="AA175" s="222"/>
      <c r="AB175" s="222"/>
      <c r="AC175" s="222"/>
      <c r="AD175" s="222"/>
      <c r="AE175" s="222"/>
      <c r="AF175" s="222"/>
      <c r="AG175" s="222"/>
      <c r="AH175" s="222"/>
      <c r="AI175" s="222"/>
      <c r="AJ175" s="222"/>
      <c r="AK175" s="222"/>
      <c r="AL175" s="222"/>
      <c r="AM175" s="222"/>
      <c r="AN175" s="222"/>
      <c r="AO175" s="222"/>
    </row>
    <row r="176" spans="1:41" ht="15.75">
      <c r="A176" s="237"/>
      <c r="B176" s="237"/>
      <c r="C176" s="237"/>
      <c r="D176" s="222"/>
      <c r="E176" s="222"/>
      <c r="F176" s="222"/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222"/>
      <c r="Z176" s="222"/>
      <c r="AA176" s="222"/>
      <c r="AB176" s="222"/>
      <c r="AC176" s="222"/>
      <c r="AD176" s="222"/>
      <c r="AE176" s="222"/>
      <c r="AF176" s="222"/>
      <c r="AG176" s="222"/>
      <c r="AH176" s="222"/>
      <c r="AI176" s="222"/>
      <c r="AJ176" s="222"/>
      <c r="AK176" s="222"/>
      <c r="AL176" s="222"/>
      <c r="AM176" s="222"/>
      <c r="AN176" s="222"/>
      <c r="AO176" s="222"/>
    </row>
    <row r="177" spans="1:41" ht="15.75">
      <c r="A177" s="237"/>
      <c r="B177" s="237"/>
      <c r="C177" s="237"/>
      <c r="D177" s="222"/>
      <c r="E177" s="222"/>
      <c r="F177" s="222"/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22"/>
      <c r="T177" s="222"/>
      <c r="U177" s="222"/>
      <c r="V177" s="222"/>
      <c r="W177" s="222"/>
      <c r="X177" s="222"/>
      <c r="Y177" s="222"/>
      <c r="Z177" s="222"/>
      <c r="AA177" s="222"/>
      <c r="AB177" s="222"/>
      <c r="AC177" s="222"/>
      <c r="AD177" s="222"/>
      <c r="AE177" s="222"/>
      <c r="AF177" s="222"/>
      <c r="AG177" s="222"/>
      <c r="AH177" s="222"/>
      <c r="AI177" s="222"/>
      <c r="AJ177" s="222"/>
      <c r="AK177" s="222"/>
      <c r="AL177" s="222"/>
      <c r="AM177" s="222"/>
      <c r="AN177" s="222"/>
      <c r="AO177" s="222"/>
    </row>
    <row r="178" spans="1:41" ht="15.75">
      <c r="A178" s="237"/>
      <c r="B178" s="237"/>
      <c r="C178" s="237"/>
      <c r="D178" s="222"/>
      <c r="E178" s="222"/>
      <c r="F178" s="222"/>
      <c r="G178" s="222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22"/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2"/>
      <c r="AD178" s="222"/>
      <c r="AE178" s="222"/>
      <c r="AF178" s="222"/>
      <c r="AG178" s="222"/>
      <c r="AH178" s="222"/>
      <c r="AI178" s="222"/>
      <c r="AJ178" s="222"/>
      <c r="AK178" s="222"/>
      <c r="AL178" s="222"/>
      <c r="AM178" s="222"/>
      <c r="AN178" s="222"/>
      <c r="AO178" s="222"/>
    </row>
    <row r="179" spans="1:41" ht="15.75">
      <c r="A179" s="237"/>
      <c r="B179" s="237"/>
      <c r="C179" s="237"/>
      <c r="D179" s="222"/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  <c r="AF179" s="222"/>
      <c r="AG179" s="222"/>
      <c r="AH179" s="222"/>
      <c r="AI179" s="222"/>
      <c r="AJ179" s="222"/>
      <c r="AK179" s="222"/>
      <c r="AL179" s="222"/>
      <c r="AM179" s="222"/>
      <c r="AN179" s="222"/>
      <c r="AO179" s="222"/>
    </row>
    <row r="180" spans="1:41" ht="15.75">
      <c r="A180" s="237"/>
      <c r="B180" s="237"/>
      <c r="C180" s="237"/>
      <c r="D180" s="222"/>
      <c r="E180" s="222"/>
      <c r="F180" s="222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  <c r="AF180" s="222"/>
      <c r="AG180" s="222"/>
      <c r="AH180" s="222"/>
      <c r="AI180" s="222"/>
      <c r="AJ180" s="222"/>
      <c r="AK180" s="222"/>
      <c r="AL180" s="222"/>
      <c r="AM180" s="222"/>
      <c r="AN180" s="222"/>
      <c r="AO180" s="222"/>
    </row>
    <row r="181" spans="1:41" ht="15.75">
      <c r="A181" s="237"/>
      <c r="B181" s="237"/>
      <c r="C181" s="237"/>
      <c r="D181" s="222"/>
      <c r="E181" s="222"/>
      <c r="F181" s="222"/>
      <c r="G181" s="222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22"/>
      <c r="T181" s="222"/>
      <c r="U181" s="222"/>
      <c r="V181" s="222"/>
      <c r="W181" s="222"/>
      <c r="X181" s="222"/>
      <c r="Y181" s="222"/>
      <c r="Z181" s="222"/>
      <c r="AA181" s="222"/>
      <c r="AB181" s="222"/>
      <c r="AC181" s="222"/>
      <c r="AD181" s="222"/>
      <c r="AE181" s="222"/>
      <c r="AF181" s="222"/>
      <c r="AG181" s="222"/>
      <c r="AH181" s="222"/>
      <c r="AI181" s="222"/>
      <c r="AJ181" s="222"/>
      <c r="AK181" s="222"/>
      <c r="AL181" s="222"/>
      <c r="AM181" s="222"/>
      <c r="AN181" s="222"/>
      <c r="AO181" s="222"/>
    </row>
    <row r="182" spans="1:41" ht="15.75">
      <c r="A182" s="237"/>
      <c r="B182" s="237"/>
      <c r="C182" s="237"/>
      <c r="D182" s="222"/>
      <c r="E182" s="222"/>
      <c r="F182" s="222"/>
      <c r="G182" s="222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22"/>
      <c r="T182" s="222"/>
      <c r="U182" s="222"/>
      <c r="V182" s="222"/>
      <c r="W182" s="222"/>
      <c r="X182" s="222"/>
      <c r="Y182" s="222"/>
      <c r="Z182" s="222"/>
      <c r="AA182" s="222"/>
      <c r="AB182" s="222"/>
      <c r="AC182" s="222"/>
      <c r="AD182" s="222"/>
      <c r="AE182" s="222"/>
      <c r="AF182" s="222"/>
      <c r="AG182" s="222"/>
      <c r="AH182" s="222"/>
      <c r="AI182" s="222"/>
      <c r="AJ182" s="222"/>
      <c r="AK182" s="222"/>
      <c r="AL182" s="222"/>
      <c r="AM182" s="222"/>
      <c r="AN182" s="222"/>
      <c r="AO182" s="222"/>
    </row>
    <row r="183" spans="1:41" ht="15.75">
      <c r="A183" s="237"/>
      <c r="B183" s="237"/>
      <c r="C183" s="237"/>
      <c r="D183" s="222"/>
      <c r="E183" s="222"/>
      <c r="F183" s="222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222"/>
      <c r="Y183" s="222"/>
      <c r="Z183" s="222"/>
      <c r="AA183" s="222"/>
      <c r="AB183" s="222"/>
      <c r="AC183" s="222"/>
      <c r="AD183" s="222"/>
      <c r="AE183" s="222"/>
      <c r="AF183" s="222"/>
      <c r="AG183" s="222"/>
      <c r="AH183" s="222"/>
      <c r="AI183" s="222"/>
      <c r="AJ183" s="222"/>
      <c r="AK183" s="222"/>
      <c r="AL183" s="222"/>
      <c r="AM183" s="222"/>
      <c r="AN183" s="222"/>
      <c r="AO183" s="222"/>
    </row>
    <row r="184" spans="1:41" ht="15.75">
      <c r="A184" s="237"/>
      <c r="B184" s="237"/>
      <c r="C184" s="237"/>
      <c r="D184" s="222"/>
      <c r="E184" s="222"/>
      <c r="F184" s="222"/>
      <c r="G184" s="222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22"/>
      <c r="T184" s="222"/>
      <c r="U184" s="222"/>
      <c r="V184" s="222"/>
      <c r="W184" s="222"/>
      <c r="X184" s="222"/>
      <c r="Y184" s="222"/>
      <c r="Z184" s="222"/>
      <c r="AA184" s="222"/>
      <c r="AB184" s="222"/>
      <c r="AC184" s="222"/>
      <c r="AD184" s="222"/>
      <c r="AE184" s="222"/>
      <c r="AF184" s="222"/>
      <c r="AG184" s="222"/>
      <c r="AH184" s="222"/>
      <c r="AI184" s="222"/>
      <c r="AJ184" s="222"/>
      <c r="AK184" s="222"/>
      <c r="AL184" s="222"/>
      <c r="AM184" s="222"/>
      <c r="AN184" s="222"/>
      <c r="AO184" s="222"/>
    </row>
    <row r="185" spans="1:41" ht="15.75">
      <c r="A185" s="237"/>
      <c r="B185" s="237"/>
      <c r="C185" s="237"/>
      <c r="D185" s="222"/>
      <c r="E185" s="222"/>
      <c r="F185" s="222"/>
      <c r="G185" s="222"/>
      <c r="H185" s="222"/>
      <c r="I185" s="222"/>
      <c r="J185" s="222"/>
      <c r="K185" s="222"/>
      <c r="L185" s="222"/>
      <c r="M185" s="222"/>
      <c r="N185" s="222"/>
      <c r="O185" s="222"/>
      <c r="P185" s="222"/>
      <c r="Q185" s="222"/>
      <c r="R185" s="222"/>
      <c r="S185" s="222"/>
      <c r="T185" s="222"/>
      <c r="U185" s="222"/>
      <c r="V185" s="222"/>
      <c r="W185" s="222"/>
      <c r="X185" s="222"/>
      <c r="Y185" s="222"/>
      <c r="Z185" s="222"/>
      <c r="AA185" s="222"/>
      <c r="AB185" s="222"/>
      <c r="AC185" s="222"/>
      <c r="AD185" s="222"/>
      <c r="AE185" s="222"/>
      <c r="AF185" s="222"/>
      <c r="AG185" s="222"/>
      <c r="AH185" s="222"/>
      <c r="AI185" s="222"/>
      <c r="AJ185" s="222"/>
      <c r="AK185" s="222"/>
      <c r="AL185" s="222"/>
      <c r="AM185" s="222"/>
      <c r="AN185" s="222"/>
      <c r="AO185" s="222"/>
    </row>
    <row r="186" spans="1:41" ht="15.75">
      <c r="A186" s="237"/>
      <c r="B186" s="237"/>
      <c r="C186" s="237"/>
      <c r="D186" s="222"/>
      <c r="E186" s="222"/>
      <c r="F186" s="222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22"/>
      <c r="T186" s="222"/>
      <c r="U186" s="222"/>
      <c r="V186" s="222"/>
      <c r="W186" s="222"/>
      <c r="X186" s="222"/>
      <c r="Y186" s="222"/>
      <c r="Z186" s="222"/>
      <c r="AA186" s="222"/>
      <c r="AB186" s="222"/>
      <c r="AC186" s="222"/>
      <c r="AD186" s="222"/>
      <c r="AE186" s="222"/>
      <c r="AF186" s="222"/>
      <c r="AG186" s="222"/>
      <c r="AH186" s="222"/>
      <c r="AI186" s="222"/>
      <c r="AJ186" s="222"/>
      <c r="AK186" s="222"/>
      <c r="AL186" s="222"/>
      <c r="AM186" s="222"/>
      <c r="AN186" s="222"/>
      <c r="AO186" s="222"/>
    </row>
    <row r="187" spans="1:41" ht="15.75">
      <c r="A187" s="237"/>
      <c r="B187" s="237"/>
      <c r="C187" s="237"/>
      <c r="D187" s="222"/>
      <c r="E187" s="222"/>
      <c r="F187" s="222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22"/>
      <c r="T187" s="222"/>
      <c r="U187" s="222"/>
      <c r="V187" s="222"/>
      <c r="W187" s="222"/>
      <c r="X187" s="222"/>
      <c r="Y187" s="222"/>
      <c r="Z187" s="222"/>
      <c r="AA187" s="222"/>
      <c r="AB187" s="222"/>
      <c r="AC187" s="222"/>
      <c r="AD187" s="222"/>
      <c r="AE187" s="222"/>
      <c r="AF187" s="222"/>
      <c r="AG187" s="222"/>
      <c r="AH187" s="222"/>
      <c r="AI187" s="222"/>
      <c r="AJ187" s="222"/>
      <c r="AK187" s="222"/>
      <c r="AL187" s="222"/>
      <c r="AM187" s="222"/>
      <c r="AN187" s="222"/>
      <c r="AO187" s="222"/>
    </row>
    <row r="188" spans="1:41" ht="15.75">
      <c r="A188" s="237"/>
      <c r="B188" s="237"/>
      <c r="C188" s="237"/>
      <c r="D188" s="222"/>
      <c r="E188" s="222"/>
      <c r="F188" s="222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22"/>
      <c r="T188" s="222"/>
      <c r="U188" s="222"/>
      <c r="V188" s="222"/>
      <c r="W188" s="222"/>
      <c r="X188" s="222"/>
      <c r="Y188" s="222"/>
      <c r="Z188" s="222"/>
      <c r="AA188" s="222"/>
      <c r="AB188" s="222"/>
      <c r="AC188" s="222"/>
      <c r="AD188" s="222"/>
      <c r="AE188" s="222"/>
      <c r="AF188" s="222"/>
      <c r="AG188" s="222"/>
      <c r="AH188" s="222"/>
      <c r="AI188" s="222"/>
      <c r="AJ188" s="222"/>
      <c r="AK188" s="222"/>
      <c r="AL188" s="222"/>
      <c r="AM188" s="222"/>
      <c r="AN188" s="222"/>
      <c r="AO188" s="222"/>
    </row>
    <row r="189" spans="1:41" ht="15.75">
      <c r="A189" s="237"/>
      <c r="B189" s="237"/>
      <c r="C189" s="237"/>
      <c r="D189" s="222"/>
      <c r="E189" s="222"/>
      <c r="F189" s="222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2"/>
      <c r="S189" s="222"/>
      <c r="T189" s="222"/>
      <c r="U189" s="222"/>
      <c r="V189" s="222"/>
      <c r="W189" s="222"/>
      <c r="X189" s="222"/>
      <c r="Y189" s="222"/>
      <c r="Z189" s="222"/>
      <c r="AA189" s="222"/>
      <c r="AB189" s="222"/>
      <c r="AC189" s="222"/>
      <c r="AD189" s="222"/>
      <c r="AE189" s="222"/>
      <c r="AF189" s="222"/>
      <c r="AG189" s="222"/>
      <c r="AH189" s="222"/>
      <c r="AI189" s="222"/>
      <c r="AJ189" s="222"/>
      <c r="AK189" s="222"/>
      <c r="AL189" s="222"/>
      <c r="AM189" s="222"/>
      <c r="AN189" s="222"/>
      <c r="AO189" s="222"/>
    </row>
    <row r="190" spans="1:41" ht="15.75">
      <c r="A190" s="237"/>
      <c r="B190" s="237"/>
      <c r="C190" s="237"/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2"/>
      <c r="W190" s="222"/>
      <c r="X190" s="222"/>
      <c r="Y190" s="222"/>
      <c r="Z190" s="222"/>
      <c r="AA190" s="222"/>
      <c r="AB190" s="222"/>
      <c r="AC190" s="222"/>
      <c r="AD190" s="222"/>
      <c r="AE190" s="222"/>
      <c r="AF190" s="222"/>
      <c r="AG190" s="222"/>
      <c r="AH190" s="222"/>
      <c r="AI190" s="222"/>
      <c r="AJ190" s="222"/>
      <c r="AK190" s="222"/>
      <c r="AL190" s="222"/>
      <c r="AM190" s="222"/>
      <c r="AN190" s="222"/>
      <c r="AO190" s="222"/>
    </row>
    <row r="191" spans="1:41" ht="15.75">
      <c r="A191" s="237"/>
      <c r="B191" s="237"/>
      <c r="C191" s="237"/>
      <c r="D191" s="222"/>
      <c r="E191" s="222"/>
      <c r="F191" s="222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  <c r="AF191" s="222"/>
      <c r="AG191" s="222"/>
      <c r="AH191" s="222"/>
      <c r="AI191" s="222"/>
      <c r="AJ191" s="222"/>
      <c r="AK191" s="222"/>
      <c r="AL191" s="222"/>
      <c r="AM191" s="222"/>
      <c r="AN191" s="222"/>
      <c r="AO191" s="222"/>
    </row>
    <row r="192" spans="1:41" ht="15.75">
      <c r="A192" s="237"/>
      <c r="B192" s="237"/>
      <c r="C192" s="237"/>
      <c r="D192" s="222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  <c r="AF192" s="222"/>
      <c r="AG192" s="222"/>
      <c r="AH192" s="222"/>
      <c r="AI192" s="222"/>
      <c r="AJ192" s="222"/>
      <c r="AK192" s="222"/>
      <c r="AL192" s="222"/>
      <c r="AM192" s="222"/>
      <c r="AN192" s="222"/>
      <c r="AO192" s="222"/>
    </row>
    <row r="193" spans="1:41" ht="15.75">
      <c r="A193" s="237"/>
      <c r="B193" s="237"/>
      <c r="C193" s="237"/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2"/>
      <c r="W193" s="222"/>
      <c r="X193" s="222"/>
      <c r="Y193" s="222"/>
      <c r="Z193" s="222"/>
      <c r="AA193" s="222"/>
      <c r="AB193" s="222"/>
      <c r="AC193" s="222"/>
      <c r="AD193" s="222"/>
      <c r="AE193" s="222"/>
      <c r="AF193" s="222"/>
      <c r="AG193" s="222"/>
      <c r="AH193" s="222"/>
      <c r="AI193" s="222"/>
      <c r="AJ193" s="222"/>
      <c r="AK193" s="222"/>
      <c r="AL193" s="222"/>
      <c r="AM193" s="222"/>
      <c r="AN193" s="222"/>
      <c r="AO193" s="222"/>
    </row>
    <row r="194" spans="1:41" ht="15.75">
      <c r="A194" s="237"/>
      <c r="B194" s="237"/>
      <c r="C194" s="237"/>
      <c r="D194" s="222"/>
      <c r="E194" s="222"/>
      <c r="F194" s="222"/>
      <c r="G194" s="222"/>
      <c r="H194" s="222"/>
      <c r="I194" s="222"/>
      <c r="J194" s="222"/>
      <c r="K194" s="222"/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2"/>
      <c r="W194" s="222"/>
      <c r="X194" s="222"/>
      <c r="Y194" s="222"/>
      <c r="Z194" s="222"/>
      <c r="AA194" s="222"/>
      <c r="AB194" s="222"/>
      <c r="AC194" s="222"/>
      <c r="AD194" s="222"/>
      <c r="AE194" s="222"/>
      <c r="AF194" s="222"/>
      <c r="AG194" s="222"/>
      <c r="AH194" s="222"/>
      <c r="AI194" s="222"/>
      <c r="AJ194" s="222"/>
      <c r="AK194" s="222"/>
      <c r="AL194" s="222"/>
      <c r="AM194" s="222"/>
      <c r="AN194" s="222"/>
      <c r="AO194" s="222"/>
    </row>
    <row r="195" spans="1:41" ht="15.75">
      <c r="A195" s="237"/>
      <c r="B195" s="237"/>
      <c r="C195" s="237"/>
      <c r="D195" s="222"/>
      <c r="E195" s="222"/>
      <c r="F195" s="222"/>
      <c r="G195" s="222"/>
      <c r="H195" s="222"/>
      <c r="I195" s="222"/>
      <c r="J195" s="222"/>
      <c r="K195" s="222"/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2"/>
      <c r="W195" s="222"/>
      <c r="X195" s="222"/>
      <c r="Y195" s="222"/>
      <c r="Z195" s="222"/>
      <c r="AA195" s="222"/>
      <c r="AB195" s="222"/>
      <c r="AC195" s="222"/>
      <c r="AD195" s="222"/>
      <c r="AE195" s="222"/>
      <c r="AF195" s="222"/>
      <c r="AG195" s="222"/>
      <c r="AH195" s="222"/>
      <c r="AI195" s="222"/>
      <c r="AJ195" s="222"/>
      <c r="AK195" s="222"/>
      <c r="AL195" s="222"/>
      <c r="AM195" s="222"/>
      <c r="AN195" s="222"/>
      <c r="AO195" s="222"/>
    </row>
    <row r="196" spans="1:41" ht="15.75">
      <c r="A196" s="237"/>
      <c r="B196" s="237"/>
      <c r="C196" s="237"/>
      <c r="D196" s="222"/>
      <c r="E196" s="222"/>
      <c r="F196" s="222"/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2"/>
      <c r="W196" s="222"/>
      <c r="X196" s="222"/>
      <c r="Y196" s="222"/>
      <c r="Z196" s="222"/>
      <c r="AA196" s="222"/>
      <c r="AB196" s="222"/>
      <c r="AC196" s="222"/>
      <c r="AD196" s="222"/>
      <c r="AE196" s="222"/>
      <c r="AF196" s="222"/>
      <c r="AG196" s="222"/>
      <c r="AH196" s="222"/>
      <c r="AI196" s="222"/>
      <c r="AJ196" s="222"/>
      <c r="AK196" s="222"/>
      <c r="AL196" s="222"/>
      <c r="AM196" s="222"/>
      <c r="AN196" s="222"/>
      <c r="AO196" s="222"/>
    </row>
    <row r="197" spans="1:41" ht="15.75">
      <c r="A197" s="237"/>
      <c r="B197" s="237"/>
      <c r="C197" s="237"/>
      <c r="D197" s="222"/>
      <c r="E197" s="222"/>
      <c r="F197" s="222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222"/>
      <c r="Y197" s="222"/>
      <c r="Z197" s="222"/>
      <c r="AA197" s="222"/>
      <c r="AB197" s="222"/>
      <c r="AC197" s="222"/>
      <c r="AD197" s="222"/>
      <c r="AE197" s="222"/>
      <c r="AF197" s="222"/>
      <c r="AG197" s="222"/>
      <c r="AH197" s="222"/>
      <c r="AI197" s="222"/>
      <c r="AJ197" s="222"/>
      <c r="AK197" s="222"/>
      <c r="AL197" s="222"/>
      <c r="AM197" s="222"/>
      <c r="AN197" s="222"/>
      <c r="AO197" s="222"/>
    </row>
    <row r="198" spans="1:41" ht="15.75">
      <c r="A198" s="237"/>
      <c r="B198" s="237"/>
      <c r="C198" s="237"/>
      <c r="D198" s="222"/>
      <c r="E198" s="222"/>
      <c r="F198" s="222"/>
      <c r="G198" s="222"/>
      <c r="H198" s="222"/>
      <c r="I198" s="222"/>
      <c r="J198" s="222"/>
      <c r="K198" s="222"/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2"/>
      <c r="W198" s="222"/>
      <c r="X198" s="222"/>
      <c r="Y198" s="222"/>
      <c r="Z198" s="222"/>
      <c r="AA198" s="222"/>
      <c r="AB198" s="222"/>
      <c r="AC198" s="222"/>
      <c r="AD198" s="222"/>
      <c r="AE198" s="222"/>
      <c r="AF198" s="222"/>
      <c r="AG198" s="222"/>
      <c r="AH198" s="222"/>
      <c r="AI198" s="222"/>
      <c r="AJ198" s="222"/>
      <c r="AK198" s="222"/>
      <c r="AL198" s="222"/>
      <c r="AM198" s="222"/>
      <c r="AN198" s="222"/>
      <c r="AO198" s="222"/>
    </row>
    <row r="199" spans="1:41" ht="15.75">
      <c r="A199" s="237"/>
      <c r="B199" s="237"/>
      <c r="C199" s="237"/>
      <c r="D199" s="222"/>
      <c r="E199" s="222"/>
      <c r="F199" s="222"/>
      <c r="G199" s="222"/>
      <c r="H199" s="222"/>
      <c r="I199" s="222"/>
      <c r="J199" s="222"/>
      <c r="K199" s="222"/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2"/>
      <c r="W199" s="222"/>
      <c r="X199" s="222"/>
      <c r="Y199" s="222"/>
      <c r="Z199" s="222"/>
      <c r="AA199" s="222"/>
      <c r="AB199" s="222"/>
      <c r="AC199" s="222"/>
      <c r="AD199" s="222"/>
      <c r="AE199" s="222"/>
      <c r="AF199" s="222"/>
      <c r="AG199" s="222"/>
      <c r="AH199" s="222"/>
      <c r="AI199" s="222"/>
      <c r="AJ199" s="222"/>
      <c r="AK199" s="222"/>
      <c r="AL199" s="222"/>
      <c r="AM199" s="222"/>
      <c r="AN199" s="222"/>
      <c r="AO199" s="222"/>
    </row>
    <row r="200" spans="1:41" ht="15.75">
      <c r="A200" s="237"/>
      <c r="B200" s="237"/>
      <c r="C200" s="237"/>
      <c r="D200" s="222"/>
      <c r="E200" s="222"/>
      <c r="F200" s="222"/>
      <c r="G200" s="222"/>
      <c r="H200" s="222"/>
      <c r="I200" s="222"/>
      <c r="J200" s="222"/>
      <c r="K200" s="222"/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2"/>
      <c r="W200" s="222"/>
      <c r="X200" s="222"/>
      <c r="Y200" s="222"/>
      <c r="Z200" s="222"/>
      <c r="AA200" s="222"/>
      <c r="AB200" s="222"/>
      <c r="AC200" s="222"/>
      <c r="AD200" s="222"/>
      <c r="AE200" s="222"/>
      <c r="AF200" s="222"/>
      <c r="AG200" s="222"/>
      <c r="AH200" s="222"/>
      <c r="AI200" s="222"/>
      <c r="AJ200" s="222"/>
      <c r="AK200" s="222"/>
      <c r="AL200" s="222"/>
      <c r="AM200" s="222"/>
      <c r="AN200" s="222"/>
      <c r="AO200" s="222"/>
    </row>
    <row r="201" spans="1:41" ht="15.75">
      <c r="A201" s="237"/>
      <c r="B201" s="237"/>
      <c r="C201" s="237"/>
      <c r="D201" s="222"/>
      <c r="E201" s="222"/>
      <c r="F201" s="222"/>
      <c r="G201" s="222"/>
      <c r="H201" s="222"/>
      <c r="I201" s="222"/>
      <c r="J201" s="222"/>
      <c r="K201" s="222"/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2"/>
      <c r="W201" s="222"/>
      <c r="X201" s="222"/>
      <c r="Y201" s="222"/>
      <c r="Z201" s="222"/>
      <c r="AA201" s="222"/>
      <c r="AB201" s="222"/>
      <c r="AC201" s="222"/>
      <c r="AD201" s="222"/>
      <c r="AE201" s="222"/>
      <c r="AF201" s="222"/>
      <c r="AG201" s="222"/>
      <c r="AH201" s="222"/>
      <c r="AI201" s="222"/>
      <c r="AJ201" s="222"/>
      <c r="AK201" s="222"/>
      <c r="AL201" s="222"/>
      <c r="AM201" s="222"/>
      <c r="AN201" s="222"/>
      <c r="AO201" s="222"/>
    </row>
    <row r="202" spans="1:41" ht="15.75">
      <c r="A202" s="237"/>
      <c r="B202" s="237"/>
      <c r="C202" s="237"/>
      <c r="D202" s="222"/>
      <c r="E202" s="222"/>
      <c r="F202" s="222"/>
      <c r="G202" s="222"/>
      <c r="H202" s="222"/>
      <c r="I202" s="222"/>
      <c r="J202" s="222"/>
      <c r="K202" s="222"/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2"/>
      <c r="W202" s="222"/>
      <c r="X202" s="222"/>
      <c r="Y202" s="222"/>
      <c r="Z202" s="222"/>
      <c r="AA202" s="222"/>
      <c r="AB202" s="222"/>
      <c r="AC202" s="222"/>
      <c r="AD202" s="222"/>
      <c r="AE202" s="222"/>
      <c r="AF202" s="222"/>
      <c r="AG202" s="222"/>
      <c r="AH202" s="222"/>
      <c r="AI202" s="222"/>
      <c r="AJ202" s="222"/>
      <c r="AK202" s="222"/>
      <c r="AL202" s="222"/>
      <c r="AM202" s="222"/>
      <c r="AN202" s="222"/>
      <c r="AO202" s="222"/>
    </row>
    <row r="203" spans="1:41" ht="15.75">
      <c r="A203" s="237"/>
      <c r="B203" s="237"/>
      <c r="C203" s="237"/>
      <c r="D203" s="222"/>
      <c r="E203" s="222"/>
      <c r="F203" s="222"/>
      <c r="G203" s="222"/>
      <c r="H203" s="222"/>
      <c r="I203" s="222"/>
      <c r="J203" s="222"/>
      <c r="K203" s="222"/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2"/>
      <c r="W203" s="222"/>
      <c r="X203" s="222"/>
      <c r="Y203" s="222"/>
      <c r="Z203" s="222"/>
      <c r="AA203" s="222"/>
      <c r="AB203" s="222"/>
      <c r="AC203" s="222"/>
      <c r="AD203" s="222"/>
      <c r="AE203" s="222"/>
      <c r="AF203" s="222"/>
      <c r="AG203" s="222"/>
      <c r="AH203" s="222"/>
      <c r="AI203" s="222"/>
      <c r="AJ203" s="222"/>
      <c r="AK203" s="222"/>
      <c r="AL203" s="222"/>
      <c r="AM203" s="222"/>
      <c r="AN203" s="222"/>
      <c r="AO203" s="222"/>
    </row>
    <row r="204" spans="1:41" ht="15.75">
      <c r="A204" s="237"/>
      <c r="B204" s="237"/>
      <c r="C204" s="237"/>
      <c r="D204" s="222"/>
      <c r="E204" s="222"/>
      <c r="F204" s="222"/>
      <c r="G204" s="222"/>
      <c r="H204" s="222"/>
      <c r="I204" s="222"/>
      <c r="J204" s="222"/>
      <c r="K204" s="222"/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  <c r="AF204" s="222"/>
      <c r="AG204" s="222"/>
      <c r="AH204" s="222"/>
      <c r="AI204" s="222"/>
      <c r="AJ204" s="222"/>
      <c r="AK204" s="222"/>
      <c r="AL204" s="222"/>
      <c r="AM204" s="222"/>
      <c r="AN204" s="222"/>
      <c r="AO204" s="222"/>
    </row>
    <row r="205" spans="1:41" ht="15.75">
      <c r="A205" s="237"/>
      <c r="B205" s="237"/>
      <c r="C205" s="237"/>
      <c r="D205" s="222"/>
      <c r="E205" s="222"/>
      <c r="F205" s="222"/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2"/>
      <c r="W205" s="222"/>
      <c r="X205" s="222"/>
      <c r="Y205" s="222"/>
      <c r="Z205" s="222"/>
      <c r="AA205" s="222"/>
      <c r="AB205" s="222"/>
      <c r="AC205" s="222"/>
      <c r="AD205" s="222"/>
      <c r="AE205" s="222"/>
      <c r="AF205" s="222"/>
      <c r="AG205" s="222"/>
      <c r="AH205" s="222"/>
      <c r="AI205" s="222"/>
      <c r="AJ205" s="222"/>
      <c r="AK205" s="222"/>
      <c r="AL205" s="222"/>
      <c r="AM205" s="222"/>
      <c r="AN205" s="222"/>
      <c r="AO205" s="222"/>
    </row>
    <row r="206" spans="1:41" ht="15.75">
      <c r="A206" s="237"/>
      <c r="B206" s="237"/>
      <c r="C206" s="237"/>
      <c r="D206" s="222"/>
      <c r="E206" s="222"/>
      <c r="F206" s="222"/>
      <c r="G206" s="222"/>
      <c r="H206" s="222"/>
      <c r="I206" s="222"/>
      <c r="J206" s="222"/>
      <c r="K206" s="222"/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2"/>
      <c r="W206" s="222"/>
      <c r="X206" s="222"/>
      <c r="Y206" s="222"/>
      <c r="Z206" s="222"/>
      <c r="AA206" s="222"/>
      <c r="AB206" s="222"/>
      <c r="AC206" s="222"/>
      <c r="AD206" s="222"/>
      <c r="AE206" s="222"/>
      <c r="AF206" s="222"/>
      <c r="AG206" s="222"/>
      <c r="AH206" s="222"/>
      <c r="AI206" s="222"/>
      <c r="AJ206" s="222"/>
      <c r="AK206" s="222"/>
      <c r="AL206" s="222"/>
      <c r="AM206" s="222"/>
      <c r="AN206" s="222"/>
      <c r="AO206" s="222"/>
    </row>
    <row r="207" spans="1:41" ht="15.75">
      <c r="A207" s="237"/>
      <c r="B207" s="237"/>
      <c r="C207" s="237"/>
      <c r="D207" s="222"/>
      <c r="E207" s="222"/>
      <c r="F207" s="222"/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222"/>
      <c r="Z207" s="222"/>
      <c r="AA207" s="222"/>
      <c r="AB207" s="222"/>
      <c r="AC207" s="222"/>
      <c r="AD207" s="222"/>
      <c r="AE207" s="222"/>
      <c r="AF207" s="222"/>
      <c r="AG207" s="222"/>
      <c r="AH207" s="222"/>
      <c r="AI207" s="222"/>
      <c r="AJ207" s="222"/>
      <c r="AK207" s="222"/>
      <c r="AL207" s="222"/>
      <c r="AM207" s="222"/>
      <c r="AN207" s="222"/>
      <c r="AO207" s="222"/>
    </row>
    <row r="208" spans="1:41" ht="15.75">
      <c r="A208" s="237"/>
      <c r="B208" s="237"/>
      <c r="C208" s="237"/>
      <c r="D208" s="222"/>
      <c r="E208" s="222"/>
      <c r="F208" s="222"/>
      <c r="G208" s="222"/>
      <c r="H208" s="222"/>
      <c r="I208" s="222"/>
      <c r="J208" s="222"/>
      <c r="K208" s="222"/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2"/>
      <c r="W208" s="222"/>
      <c r="X208" s="222"/>
      <c r="Y208" s="222"/>
      <c r="Z208" s="222"/>
      <c r="AA208" s="222"/>
      <c r="AB208" s="222"/>
      <c r="AC208" s="222"/>
      <c r="AD208" s="222"/>
      <c r="AE208" s="222"/>
      <c r="AF208" s="222"/>
      <c r="AG208" s="222"/>
      <c r="AH208" s="222"/>
      <c r="AI208" s="222"/>
      <c r="AJ208" s="222"/>
      <c r="AK208" s="222"/>
      <c r="AL208" s="222"/>
      <c r="AM208" s="222"/>
      <c r="AN208" s="222"/>
      <c r="AO208" s="222"/>
    </row>
    <row r="209" spans="1:41" ht="15.75">
      <c r="A209" s="237"/>
      <c r="B209" s="237"/>
      <c r="C209" s="237"/>
      <c r="D209" s="222"/>
      <c r="E209" s="222"/>
      <c r="F209" s="222"/>
      <c r="G209" s="222"/>
      <c r="H209" s="222"/>
      <c r="I209" s="222"/>
      <c r="J209" s="222"/>
      <c r="K209" s="222"/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2"/>
      <c r="W209" s="222"/>
      <c r="X209" s="222"/>
      <c r="Y209" s="222"/>
      <c r="Z209" s="222"/>
      <c r="AA209" s="222"/>
      <c r="AB209" s="222"/>
      <c r="AC209" s="222"/>
      <c r="AD209" s="222"/>
      <c r="AE209" s="222"/>
      <c r="AF209" s="222"/>
      <c r="AG209" s="222"/>
      <c r="AH209" s="222"/>
      <c r="AI209" s="222"/>
      <c r="AJ209" s="222"/>
      <c r="AK209" s="222"/>
      <c r="AL209" s="222"/>
      <c r="AM209" s="222"/>
      <c r="AN209" s="222"/>
      <c r="AO209" s="222"/>
    </row>
    <row r="210" spans="1:41" ht="15.75">
      <c r="A210" s="237"/>
      <c r="B210" s="237"/>
      <c r="C210" s="237"/>
      <c r="D210" s="222"/>
      <c r="E210" s="222"/>
      <c r="F210" s="222"/>
      <c r="G210" s="222"/>
      <c r="H210" s="222"/>
      <c r="I210" s="222"/>
      <c r="J210" s="222"/>
      <c r="K210" s="222"/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2"/>
      <c r="W210" s="222"/>
      <c r="X210" s="222"/>
      <c r="Y210" s="222"/>
      <c r="Z210" s="222"/>
      <c r="AA210" s="222"/>
      <c r="AB210" s="222"/>
      <c r="AC210" s="222"/>
      <c r="AD210" s="222"/>
      <c r="AE210" s="222"/>
      <c r="AF210" s="222"/>
      <c r="AG210" s="222"/>
      <c r="AH210" s="222"/>
      <c r="AI210" s="222"/>
      <c r="AJ210" s="222"/>
      <c r="AK210" s="222"/>
      <c r="AL210" s="222"/>
      <c r="AM210" s="222"/>
      <c r="AN210" s="222"/>
      <c r="AO210" s="222"/>
    </row>
    <row r="211" spans="1:41" ht="15.75">
      <c r="A211" s="237"/>
      <c r="B211" s="237"/>
      <c r="C211" s="237"/>
      <c r="D211" s="222"/>
      <c r="E211" s="222"/>
      <c r="F211" s="222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222"/>
      <c r="Y211" s="222"/>
      <c r="Z211" s="222"/>
      <c r="AA211" s="222"/>
      <c r="AB211" s="222"/>
      <c r="AC211" s="222"/>
      <c r="AD211" s="222"/>
      <c r="AE211" s="222"/>
      <c r="AF211" s="222"/>
      <c r="AG211" s="222"/>
      <c r="AH211" s="222"/>
      <c r="AI211" s="222"/>
      <c r="AJ211" s="222"/>
      <c r="AK211" s="222"/>
      <c r="AL211" s="222"/>
      <c r="AM211" s="222"/>
      <c r="AN211" s="222"/>
      <c r="AO211" s="222"/>
    </row>
    <row r="212" spans="1:41" ht="15.75">
      <c r="A212" s="237"/>
      <c r="B212" s="237"/>
      <c r="C212" s="237"/>
      <c r="D212" s="222"/>
      <c r="E212" s="222"/>
      <c r="F212" s="222"/>
      <c r="G212" s="222"/>
      <c r="H212" s="222"/>
      <c r="I212" s="222"/>
      <c r="J212" s="222"/>
      <c r="K212" s="222"/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2"/>
      <c r="W212" s="222"/>
      <c r="X212" s="222"/>
      <c r="Y212" s="222"/>
      <c r="Z212" s="222"/>
      <c r="AA212" s="222"/>
      <c r="AB212" s="222"/>
      <c r="AC212" s="222"/>
      <c r="AD212" s="222"/>
      <c r="AE212" s="222"/>
      <c r="AF212" s="222"/>
      <c r="AG212" s="222"/>
      <c r="AH212" s="222"/>
      <c r="AI212" s="222"/>
      <c r="AJ212" s="222"/>
      <c r="AK212" s="222"/>
      <c r="AL212" s="222"/>
      <c r="AM212" s="222"/>
      <c r="AN212" s="222"/>
      <c r="AO212" s="222"/>
    </row>
    <row r="213" spans="1:41" ht="15.75">
      <c r="A213" s="237"/>
      <c r="B213" s="237"/>
      <c r="C213" s="237"/>
      <c r="D213" s="222"/>
      <c r="E213" s="222"/>
      <c r="F213" s="222"/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222"/>
      <c r="Z213" s="222"/>
      <c r="AA213" s="222"/>
      <c r="AB213" s="222"/>
      <c r="AC213" s="222"/>
      <c r="AD213" s="222"/>
      <c r="AE213" s="222"/>
      <c r="AF213" s="222"/>
      <c r="AG213" s="222"/>
      <c r="AH213" s="222"/>
      <c r="AI213" s="222"/>
      <c r="AJ213" s="222"/>
      <c r="AK213" s="222"/>
      <c r="AL213" s="222"/>
      <c r="AM213" s="222"/>
      <c r="AN213" s="222"/>
      <c r="AO213" s="222"/>
    </row>
    <row r="214" spans="1:41" ht="15.75">
      <c r="A214" s="237"/>
      <c r="B214" s="237"/>
      <c r="C214" s="237"/>
      <c r="D214" s="222"/>
      <c r="E214" s="222"/>
      <c r="F214" s="222"/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  <c r="AF214" s="222"/>
      <c r="AG214" s="222"/>
      <c r="AH214" s="222"/>
      <c r="AI214" s="222"/>
      <c r="AJ214" s="222"/>
      <c r="AK214" s="222"/>
      <c r="AL214" s="222"/>
      <c r="AM214" s="222"/>
      <c r="AN214" s="222"/>
      <c r="AO214" s="222"/>
    </row>
    <row r="215" spans="1:41" ht="15.75">
      <c r="A215" s="237"/>
      <c r="B215" s="237"/>
      <c r="C215" s="237"/>
      <c r="D215" s="222"/>
      <c r="E215" s="222"/>
      <c r="F215" s="222"/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  <c r="AF215" s="222"/>
      <c r="AG215" s="222"/>
      <c r="AH215" s="222"/>
      <c r="AI215" s="222"/>
      <c r="AJ215" s="222"/>
      <c r="AK215" s="222"/>
      <c r="AL215" s="222"/>
      <c r="AM215" s="222"/>
      <c r="AN215" s="222"/>
      <c r="AO215" s="222"/>
    </row>
    <row r="216" spans="1:41" ht="15.75">
      <c r="A216" s="237"/>
      <c r="B216" s="237"/>
      <c r="C216" s="237"/>
      <c r="D216" s="222"/>
      <c r="E216" s="222"/>
      <c r="F216" s="222"/>
      <c r="G216" s="222"/>
      <c r="H216" s="222"/>
      <c r="I216" s="222"/>
      <c r="J216" s="222"/>
      <c r="K216" s="222"/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2"/>
      <c r="W216" s="222"/>
      <c r="X216" s="222"/>
      <c r="Y216" s="222"/>
      <c r="Z216" s="222"/>
      <c r="AA216" s="222"/>
      <c r="AB216" s="222"/>
      <c r="AC216" s="222"/>
      <c r="AD216" s="222"/>
      <c r="AE216" s="222"/>
      <c r="AF216" s="222"/>
      <c r="AG216" s="222"/>
      <c r="AH216" s="222"/>
      <c r="AI216" s="222"/>
      <c r="AJ216" s="222"/>
      <c r="AK216" s="222"/>
      <c r="AL216" s="222"/>
      <c r="AM216" s="222"/>
      <c r="AN216" s="222"/>
      <c r="AO216" s="222"/>
    </row>
    <row r="217" spans="1:41" ht="15.75">
      <c r="A217" s="237"/>
      <c r="B217" s="237"/>
      <c r="C217" s="237"/>
      <c r="D217" s="222"/>
      <c r="E217" s="222"/>
      <c r="F217" s="222"/>
      <c r="G217" s="222"/>
      <c r="H217" s="222"/>
      <c r="I217" s="222"/>
      <c r="J217" s="222"/>
      <c r="K217" s="222"/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2"/>
      <c r="W217" s="222"/>
      <c r="X217" s="222"/>
      <c r="Y217" s="222"/>
      <c r="Z217" s="222"/>
      <c r="AA217" s="222"/>
      <c r="AB217" s="222"/>
      <c r="AC217" s="222"/>
      <c r="AD217" s="222"/>
      <c r="AE217" s="222"/>
      <c r="AF217" s="222"/>
      <c r="AG217" s="222"/>
      <c r="AH217" s="222"/>
      <c r="AI217" s="222"/>
      <c r="AJ217" s="222"/>
      <c r="AK217" s="222"/>
      <c r="AL217" s="222"/>
      <c r="AM217" s="222"/>
      <c r="AN217" s="222"/>
      <c r="AO217" s="222"/>
    </row>
    <row r="218" spans="1:41" ht="16.5">
      <c r="A218" s="238"/>
      <c r="B218" s="238"/>
      <c r="C218" s="238"/>
      <c r="D218" s="222"/>
      <c r="E218" s="222"/>
      <c r="F218" s="222"/>
      <c r="G218" s="222"/>
      <c r="H218" s="222"/>
      <c r="I218" s="222"/>
      <c r="J218" s="222"/>
      <c r="K218" s="222"/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2"/>
      <c r="W218" s="222"/>
      <c r="X218" s="222"/>
      <c r="Y218" s="222"/>
      <c r="Z218" s="222"/>
      <c r="AA218" s="222"/>
      <c r="AB218" s="222"/>
      <c r="AC218" s="222"/>
      <c r="AD218" s="222"/>
      <c r="AE218" s="222"/>
      <c r="AF218" s="222"/>
      <c r="AG218" s="222"/>
      <c r="AH218" s="222"/>
      <c r="AI218" s="222"/>
      <c r="AJ218" s="222"/>
      <c r="AK218" s="222"/>
      <c r="AL218" s="222"/>
      <c r="AM218" s="222"/>
      <c r="AN218" s="222"/>
      <c r="AO218" s="222"/>
    </row>
    <row r="219" spans="1:41" ht="16.5">
      <c r="A219" s="238"/>
      <c r="B219" s="238"/>
      <c r="C219" s="238"/>
      <c r="D219" s="222"/>
      <c r="E219" s="222"/>
      <c r="F219" s="222"/>
      <c r="G219" s="222"/>
      <c r="H219" s="222"/>
      <c r="I219" s="222"/>
      <c r="J219" s="222"/>
      <c r="K219" s="222"/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2"/>
      <c r="W219" s="222"/>
      <c r="X219" s="222"/>
      <c r="Y219" s="222"/>
      <c r="Z219" s="222"/>
      <c r="AA219" s="222"/>
      <c r="AB219" s="222"/>
      <c r="AC219" s="222"/>
      <c r="AD219" s="222"/>
      <c r="AE219" s="222"/>
      <c r="AF219" s="222"/>
      <c r="AG219" s="222"/>
      <c r="AH219" s="222"/>
      <c r="AI219" s="222"/>
      <c r="AJ219" s="222"/>
      <c r="AK219" s="222"/>
      <c r="AL219" s="222"/>
      <c r="AM219" s="222"/>
      <c r="AN219" s="222"/>
      <c r="AO219" s="222"/>
    </row>
    <row r="220" spans="1:41" ht="16.5">
      <c r="A220" s="238"/>
      <c r="B220" s="238"/>
      <c r="C220" s="238"/>
      <c r="D220" s="222"/>
      <c r="E220" s="222"/>
      <c r="F220" s="222"/>
      <c r="G220" s="222"/>
      <c r="H220" s="222"/>
      <c r="I220" s="222"/>
      <c r="J220" s="222"/>
      <c r="K220" s="222"/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  <c r="AF220" s="222"/>
      <c r="AG220" s="222"/>
      <c r="AH220" s="222"/>
      <c r="AI220" s="222"/>
      <c r="AJ220" s="222"/>
      <c r="AK220" s="222"/>
      <c r="AL220" s="222"/>
      <c r="AM220" s="222"/>
      <c r="AN220" s="222"/>
      <c r="AO220" s="222"/>
    </row>
    <row r="221" spans="1:41" ht="16.5">
      <c r="A221" s="238"/>
      <c r="B221" s="238"/>
      <c r="C221" s="238"/>
      <c r="D221" s="222"/>
      <c r="E221" s="222"/>
      <c r="F221" s="222"/>
      <c r="G221" s="222"/>
      <c r="H221" s="222"/>
      <c r="I221" s="222"/>
      <c r="J221" s="222"/>
      <c r="K221" s="222"/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2"/>
      <c r="W221" s="222"/>
      <c r="X221" s="222"/>
      <c r="Y221" s="222"/>
      <c r="Z221" s="222"/>
      <c r="AA221" s="222"/>
      <c r="AB221" s="222"/>
      <c r="AC221" s="222"/>
      <c r="AD221" s="222"/>
      <c r="AE221" s="222"/>
      <c r="AF221" s="222"/>
      <c r="AG221" s="222"/>
      <c r="AH221" s="222"/>
      <c r="AI221" s="222"/>
      <c r="AJ221" s="222"/>
      <c r="AK221" s="222"/>
      <c r="AL221" s="222"/>
      <c r="AM221" s="222"/>
      <c r="AN221" s="222"/>
      <c r="AO221" s="222"/>
    </row>
    <row r="222" spans="1:41" ht="16.5">
      <c r="A222" s="238"/>
      <c r="B222" s="238"/>
      <c r="C222" s="238"/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2"/>
      <c r="W222" s="222"/>
      <c r="X222" s="222"/>
      <c r="Y222" s="222"/>
      <c r="Z222" s="222"/>
      <c r="AA222" s="222"/>
      <c r="AB222" s="222"/>
      <c r="AC222" s="222"/>
      <c r="AD222" s="222"/>
      <c r="AE222" s="222"/>
      <c r="AF222" s="222"/>
      <c r="AG222" s="222"/>
      <c r="AH222" s="222"/>
      <c r="AI222" s="222"/>
      <c r="AJ222" s="222"/>
      <c r="AK222" s="222"/>
      <c r="AL222" s="222"/>
      <c r="AM222" s="222"/>
      <c r="AN222" s="222"/>
      <c r="AO222" s="222"/>
    </row>
    <row r="223" spans="1:41" ht="16.5">
      <c r="A223" s="238"/>
      <c r="B223" s="238"/>
      <c r="C223" s="238"/>
      <c r="D223" s="222"/>
      <c r="E223" s="222"/>
      <c r="F223" s="222"/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2"/>
      <c r="W223" s="222"/>
      <c r="X223" s="222"/>
      <c r="Y223" s="222"/>
      <c r="Z223" s="222"/>
      <c r="AA223" s="222"/>
      <c r="AB223" s="222"/>
      <c r="AC223" s="222"/>
      <c r="AD223" s="222"/>
      <c r="AE223" s="222"/>
      <c r="AF223" s="222"/>
      <c r="AG223" s="222"/>
      <c r="AH223" s="222"/>
      <c r="AI223" s="222"/>
      <c r="AJ223" s="222"/>
      <c r="AK223" s="222"/>
      <c r="AL223" s="222"/>
      <c r="AM223" s="222"/>
      <c r="AN223" s="222"/>
      <c r="AO223" s="222"/>
    </row>
    <row r="224" spans="1:41" ht="16.5">
      <c r="A224" s="238"/>
      <c r="B224" s="238"/>
      <c r="C224" s="238"/>
      <c r="D224" s="222"/>
      <c r="E224" s="222"/>
      <c r="F224" s="222"/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222"/>
      <c r="Z224" s="222"/>
      <c r="AA224" s="222"/>
      <c r="AB224" s="222"/>
      <c r="AC224" s="222"/>
      <c r="AD224" s="222"/>
      <c r="AE224" s="222"/>
      <c r="AF224" s="222"/>
      <c r="AG224" s="222"/>
      <c r="AH224" s="222"/>
      <c r="AI224" s="222"/>
      <c r="AJ224" s="222"/>
      <c r="AK224" s="222"/>
      <c r="AL224" s="222"/>
      <c r="AM224" s="222"/>
      <c r="AN224" s="222"/>
      <c r="AO224" s="222"/>
    </row>
    <row r="225" spans="1:41">
      <c r="A225" s="222"/>
      <c r="B225" s="222"/>
      <c r="C225" s="222"/>
      <c r="D225" s="222"/>
      <c r="E225" s="222"/>
      <c r="F225" s="222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222"/>
      <c r="Y225" s="222"/>
      <c r="Z225" s="222"/>
      <c r="AA225" s="222"/>
      <c r="AB225" s="222"/>
      <c r="AC225" s="222"/>
      <c r="AD225" s="222"/>
      <c r="AE225" s="222"/>
      <c r="AF225" s="222"/>
      <c r="AG225" s="222"/>
      <c r="AH225" s="222"/>
      <c r="AI225" s="222"/>
      <c r="AJ225" s="222"/>
      <c r="AK225" s="222"/>
      <c r="AL225" s="222"/>
      <c r="AM225" s="222"/>
      <c r="AN225" s="222"/>
      <c r="AO225" s="222"/>
    </row>
    <row r="226" spans="1:41">
      <c r="A226" s="222"/>
      <c r="B226" s="222"/>
      <c r="C226" s="222"/>
      <c r="D226" s="222"/>
      <c r="E226" s="222"/>
      <c r="F226" s="222"/>
      <c r="G226" s="222"/>
      <c r="H226" s="222"/>
      <c r="I226" s="222"/>
      <c r="J226" s="222"/>
      <c r="K226" s="222"/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2"/>
      <c r="W226" s="222"/>
      <c r="X226" s="222"/>
      <c r="Y226" s="222"/>
      <c r="Z226" s="222"/>
      <c r="AA226" s="222"/>
      <c r="AB226" s="222"/>
      <c r="AC226" s="222"/>
      <c r="AD226" s="222"/>
      <c r="AE226" s="222"/>
      <c r="AF226" s="222"/>
      <c r="AG226" s="222"/>
      <c r="AH226" s="222"/>
      <c r="AI226" s="222"/>
      <c r="AJ226" s="222"/>
      <c r="AK226" s="222"/>
      <c r="AL226" s="222"/>
      <c r="AM226" s="222"/>
      <c r="AN226" s="222"/>
      <c r="AO226" s="222"/>
    </row>
    <row r="227" spans="1:41">
      <c r="A227" s="222"/>
      <c r="B227" s="222"/>
      <c r="C227" s="222"/>
      <c r="D227" s="222"/>
      <c r="E227" s="222"/>
      <c r="F227" s="222"/>
      <c r="G227" s="222"/>
      <c r="H227" s="222"/>
      <c r="I227" s="222"/>
      <c r="J227" s="222"/>
      <c r="K227" s="222"/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2"/>
      <c r="W227" s="222"/>
      <c r="X227" s="222"/>
      <c r="Y227" s="222"/>
      <c r="Z227" s="222"/>
      <c r="AA227" s="222"/>
      <c r="AB227" s="222"/>
      <c r="AC227" s="222"/>
      <c r="AD227" s="222"/>
      <c r="AE227" s="222"/>
      <c r="AF227" s="222"/>
      <c r="AG227" s="222"/>
      <c r="AH227" s="222"/>
      <c r="AI227" s="222"/>
      <c r="AJ227" s="222"/>
      <c r="AK227" s="222"/>
      <c r="AL227" s="222"/>
      <c r="AM227" s="222"/>
      <c r="AN227" s="222"/>
      <c r="AO227" s="222"/>
    </row>
    <row r="228" spans="1:41">
      <c r="A228" s="222"/>
      <c r="B228" s="222"/>
      <c r="C228" s="222"/>
      <c r="D228" s="222"/>
      <c r="E228" s="222"/>
      <c r="F228" s="222"/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2"/>
      <c r="W228" s="222"/>
      <c r="X228" s="222"/>
      <c r="Y228" s="222"/>
      <c r="Z228" s="222"/>
      <c r="AA228" s="222"/>
      <c r="AB228" s="222"/>
      <c r="AC228" s="222"/>
      <c r="AD228" s="222"/>
      <c r="AE228" s="222"/>
      <c r="AF228" s="222"/>
      <c r="AG228" s="222"/>
      <c r="AH228" s="222"/>
      <c r="AI228" s="222"/>
      <c r="AJ228" s="222"/>
      <c r="AK228" s="222"/>
      <c r="AL228" s="222"/>
      <c r="AM228" s="222"/>
      <c r="AN228" s="222"/>
      <c r="AO228" s="222"/>
    </row>
    <row r="229" spans="1:41">
      <c r="A229" s="222"/>
      <c r="B229" s="222"/>
      <c r="C229" s="222"/>
      <c r="D229" s="222"/>
      <c r="E229" s="222"/>
      <c r="F229" s="222"/>
      <c r="G229" s="222"/>
      <c r="H229" s="222"/>
      <c r="I229" s="222"/>
      <c r="J229" s="222"/>
      <c r="K229" s="222"/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2"/>
      <c r="W229" s="222"/>
      <c r="X229" s="222"/>
      <c r="Y229" s="222"/>
      <c r="Z229" s="222"/>
      <c r="AA229" s="222"/>
      <c r="AB229" s="222"/>
      <c r="AC229" s="222"/>
      <c r="AD229" s="222"/>
      <c r="AE229" s="222"/>
      <c r="AF229" s="222"/>
      <c r="AG229" s="222"/>
      <c r="AH229" s="222"/>
      <c r="AI229" s="222"/>
      <c r="AJ229" s="222"/>
      <c r="AK229" s="222"/>
      <c r="AL229" s="222"/>
      <c r="AM229" s="222"/>
      <c r="AN229" s="222"/>
      <c r="AO229" s="222"/>
    </row>
    <row r="230" spans="1:41">
      <c r="A230" s="222"/>
      <c r="B230" s="222"/>
      <c r="C230" s="222"/>
      <c r="D230" s="222"/>
      <c r="E230" s="222"/>
      <c r="F230" s="222"/>
      <c r="G230" s="222"/>
      <c r="H230" s="222"/>
      <c r="I230" s="222"/>
      <c r="J230" s="222"/>
      <c r="K230" s="222"/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2"/>
      <c r="W230" s="222"/>
      <c r="X230" s="222"/>
      <c r="Y230" s="222"/>
      <c r="Z230" s="222"/>
      <c r="AA230" s="222"/>
      <c r="AB230" s="222"/>
      <c r="AC230" s="222"/>
      <c r="AD230" s="222"/>
      <c r="AE230" s="222"/>
      <c r="AF230" s="222"/>
      <c r="AG230" s="222"/>
      <c r="AH230" s="222"/>
      <c r="AI230" s="222"/>
      <c r="AJ230" s="222"/>
      <c r="AK230" s="222"/>
      <c r="AL230" s="222"/>
      <c r="AM230" s="222"/>
      <c r="AN230" s="222"/>
      <c r="AO230" s="222"/>
    </row>
    <row r="231" spans="1:41">
      <c r="A231" s="222"/>
      <c r="B231" s="222"/>
      <c r="C231" s="222"/>
      <c r="D231" s="222"/>
      <c r="E231" s="222"/>
      <c r="F231" s="222"/>
      <c r="G231" s="222"/>
      <c r="H231" s="222"/>
      <c r="I231" s="222"/>
      <c r="J231" s="222"/>
      <c r="K231" s="222"/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2"/>
      <c r="W231" s="222"/>
      <c r="X231" s="222"/>
      <c r="Y231" s="222"/>
      <c r="Z231" s="222"/>
      <c r="AA231" s="222"/>
      <c r="AB231" s="222"/>
      <c r="AC231" s="222"/>
      <c r="AD231" s="222"/>
      <c r="AE231" s="222"/>
      <c r="AF231" s="222"/>
      <c r="AG231" s="222"/>
      <c r="AH231" s="222"/>
      <c r="AI231" s="222"/>
      <c r="AJ231" s="222"/>
      <c r="AK231" s="222"/>
      <c r="AL231" s="222"/>
      <c r="AM231" s="222"/>
      <c r="AN231" s="222"/>
      <c r="AO231" s="222"/>
    </row>
    <row r="232" spans="1:41">
      <c r="A232" s="222"/>
      <c r="B232" s="222"/>
      <c r="C232" s="222"/>
      <c r="D232" s="222"/>
      <c r="E232" s="222"/>
      <c r="F232" s="222"/>
      <c r="G232" s="222"/>
      <c r="H232" s="222"/>
      <c r="I232" s="222"/>
      <c r="J232" s="222"/>
      <c r="K232" s="222"/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2"/>
      <c r="W232" s="222"/>
      <c r="X232" s="222"/>
      <c r="Y232" s="222"/>
      <c r="Z232" s="222"/>
      <c r="AA232" s="222"/>
      <c r="AB232" s="222"/>
      <c r="AC232" s="222"/>
      <c r="AD232" s="222"/>
      <c r="AE232" s="222"/>
      <c r="AF232" s="222"/>
      <c r="AG232" s="222"/>
      <c r="AH232" s="222"/>
      <c r="AI232" s="222"/>
      <c r="AJ232" s="222"/>
      <c r="AK232" s="222"/>
      <c r="AL232" s="222"/>
      <c r="AM232" s="222"/>
      <c r="AN232" s="222"/>
      <c r="AO232" s="222"/>
    </row>
    <row r="233" spans="1:41">
      <c r="A233" s="222"/>
      <c r="B233" s="222"/>
      <c r="C233" s="222"/>
      <c r="D233" s="222"/>
      <c r="E233" s="222"/>
      <c r="F233" s="222"/>
      <c r="G233" s="222"/>
      <c r="H233" s="222"/>
      <c r="I233" s="222"/>
      <c r="J233" s="222"/>
      <c r="K233" s="222"/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</row>
    <row r="234" spans="1:41">
      <c r="A234" s="222"/>
      <c r="B234" s="222"/>
      <c r="C234" s="222"/>
      <c r="D234" s="222"/>
      <c r="E234" s="222"/>
      <c r="F234" s="222"/>
      <c r="G234" s="222"/>
      <c r="H234" s="222"/>
      <c r="I234" s="222"/>
      <c r="J234" s="222"/>
      <c r="K234" s="222"/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2"/>
      <c r="W234" s="222"/>
      <c r="X234" s="222"/>
      <c r="Y234" s="222"/>
      <c r="Z234" s="222"/>
      <c r="AA234" s="222"/>
      <c r="AB234" s="222"/>
      <c r="AC234" s="222"/>
      <c r="AD234" s="222"/>
      <c r="AE234" s="222"/>
      <c r="AF234" s="222"/>
      <c r="AG234" s="222"/>
      <c r="AH234" s="222"/>
      <c r="AI234" s="222"/>
      <c r="AJ234" s="222"/>
      <c r="AK234" s="222"/>
      <c r="AL234" s="222"/>
      <c r="AM234" s="222"/>
      <c r="AN234" s="222"/>
      <c r="AO234" s="222"/>
    </row>
    <row r="235" spans="1:41">
      <c r="A235" s="222"/>
      <c r="B235" s="222"/>
      <c r="C235" s="222"/>
      <c r="D235" s="222"/>
      <c r="E235" s="222"/>
      <c r="F235" s="222"/>
      <c r="G235" s="222"/>
      <c r="H235" s="222"/>
      <c r="I235" s="222"/>
      <c r="J235" s="222"/>
      <c r="K235" s="222"/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2"/>
      <c r="W235" s="222"/>
      <c r="X235" s="222"/>
      <c r="Y235" s="222"/>
      <c r="Z235" s="222"/>
      <c r="AA235" s="222"/>
      <c r="AB235" s="222"/>
      <c r="AC235" s="222"/>
      <c r="AD235" s="222"/>
      <c r="AE235" s="222"/>
      <c r="AF235" s="222"/>
      <c r="AG235" s="222"/>
      <c r="AH235" s="222"/>
      <c r="AI235" s="222"/>
      <c r="AJ235" s="222"/>
      <c r="AK235" s="222"/>
      <c r="AL235" s="222"/>
      <c r="AM235" s="222"/>
      <c r="AN235" s="222"/>
      <c r="AO235" s="222"/>
    </row>
    <row r="236" spans="1:41">
      <c r="A236" s="222"/>
      <c r="B236" s="222"/>
      <c r="C236" s="222"/>
      <c r="D236" s="222"/>
      <c r="E236" s="222"/>
      <c r="F236" s="222"/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  <c r="AF236" s="222"/>
      <c r="AG236" s="222"/>
      <c r="AH236" s="222"/>
      <c r="AI236" s="222"/>
      <c r="AJ236" s="222"/>
      <c r="AK236" s="222"/>
      <c r="AL236" s="222"/>
      <c r="AM236" s="222"/>
      <c r="AN236" s="222"/>
      <c r="AO236" s="222"/>
    </row>
    <row r="237" spans="1:41">
      <c r="A237" s="222"/>
      <c r="B237" s="222"/>
      <c r="C237" s="222"/>
      <c r="D237" s="222"/>
      <c r="E237" s="222"/>
      <c r="F237" s="222"/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  <c r="AF237" s="222"/>
      <c r="AG237" s="222"/>
      <c r="AH237" s="222"/>
      <c r="AI237" s="222"/>
      <c r="AJ237" s="222"/>
      <c r="AK237" s="222"/>
      <c r="AL237" s="222"/>
      <c r="AM237" s="222"/>
      <c r="AN237" s="222"/>
      <c r="AO237" s="222"/>
    </row>
    <row r="238" spans="1:41">
      <c r="A238" s="222"/>
      <c r="B238" s="222"/>
      <c r="C238" s="222"/>
      <c r="D238" s="222"/>
      <c r="E238" s="222"/>
      <c r="F238" s="222"/>
      <c r="G238" s="222"/>
      <c r="H238" s="222"/>
      <c r="I238" s="222"/>
      <c r="J238" s="222"/>
      <c r="K238" s="222"/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2"/>
      <c r="W238" s="222"/>
      <c r="X238" s="222"/>
      <c r="Y238" s="222"/>
      <c r="Z238" s="222"/>
      <c r="AA238" s="222"/>
      <c r="AB238" s="222"/>
      <c r="AC238" s="222"/>
      <c r="AD238" s="222"/>
      <c r="AE238" s="222"/>
      <c r="AF238" s="222"/>
      <c r="AG238" s="222"/>
      <c r="AH238" s="222"/>
      <c r="AI238" s="222"/>
      <c r="AJ238" s="222"/>
      <c r="AK238" s="222"/>
      <c r="AL238" s="222"/>
      <c r="AM238" s="222"/>
      <c r="AN238" s="222"/>
      <c r="AO238" s="222"/>
    </row>
    <row r="239" spans="1:41">
      <c r="A239" s="222"/>
      <c r="B239" s="222"/>
      <c r="C239" s="222"/>
      <c r="D239" s="222"/>
      <c r="E239" s="222"/>
      <c r="F239" s="222"/>
      <c r="G239" s="222"/>
      <c r="H239" s="222"/>
      <c r="I239" s="222"/>
      <c r="J239" s="222"/>
      <c r="K239" s="222"/>
      <c r="L239" s="22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2"/>
      <c r="W239" s="222"/>
      <c r="X239" s="222"/>
      <c r="Y239" s="222"/>
      <c r="Z239" s="222"/>
      <c r="AA239" s="222"/>
      <c r="AB239" s="222"/>
      <c r="AC239" s="222"/>
      <c r="AD239" s="222"/>
      <c r="AE239" s="222"/>
      <c r="AF239" s="222"/>
      <c r="AG239" s="222"/>
      <c r="AH239" s="222"/>
      <c r="AI239" s="222"/>
      <c r="AJ239" s="222"/>
      <c r="AK239" s="222"/>
      <c r="AL239" s="222"/>
      <c r="AM239" s="222"/>
      <c r="AN239" s="222"/>
      <c r="AO239" s="222"/>
    </row>
    <row r="240" spans="1:41">
      <c r="A240" s="222"/>
      <c r="B240" s="222"/>
      <c r="C240" s="222"/>
      <c r="D240" s="222"/>
      <c r="E240" s="222"/>
      <c r="F240" s="222"/>
      <c r="G240" s="222"/>
      <c r="H240" s="222"/>
      <c r="I240" s="222"/>
      <c r="J240" s="222"/>
      <c r="K240" s="222"/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2"/>
      <c r="W240" s="222"/>
      <c r="X240" s="222"/>
      <c r="Y240" s="222"/>
      <c r="Z240" s="222"/>
      <c r="AA240" s="222"/>
      <c r="AB240" s="222"/>
      <c r="AC240" s="222"/>
      <c r="AD240" s="222"/>
      <c r="AE240" s="222"/>
      <c r="AF240" s="222"/>
      <c r="AG240" s="222"/>
      <c r="AH240" s="222"/>
      <c r="AI240" s="222"/>
      <c r="AJ240" s="222"/>
      <c r="AK240" s="222"/>
      <c r="AL240" s="222"/>
      <c r="AM240" s="222"/>
      <c r="AN240" s="222"/>
      <c r="AO240" s="222"/>
    </row>
    <row r="241" spans="1:41">
      <c r="A241" s="222"/>
      <c r="B241" s="222"/>
      <c r="C241" s="222"/>
      <c r="D241" s="222"/>
      <c r="E241" s="222"/>
      <c r="F241" s="222"/>
      <c r="G241" s="222"/>
      <c r="H241" s="222"/>
      <c r="I241" s="222"/>
      <c r="J241" s="222"/>
      <c r="K241" s="222"/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2"/>
      <c r="W241" s="222"/>
      <c r="X241" s="222"/>
      <c r="Y241" s="222"/>
      <c r="Z241" s="222"/>
      <c r="AA241" s="222"/>
      <c r="AB241" s="222"/>
      <c r="AC241" s="222"/>
      <c r="AD241" s="222"/>
      <c r="AE241" s="222"/>
      <c r="AF241" s="222"/>
      <c r="AG241" s="222"/>
      <c r="AH241" s="222"/>
      <c r="AI241" s="222"/>
      <c r="AJ241" s="222"/>
      <c r="AK241" s="222"/>
      <c r="AL241" s="222"/>
      <c r="AM241" s="222"/>
      <c r="AN241" s="222"/>
      <c r="AO241" s="222"/>
    </row>
    <row r="242" spans="1:41">
      <c r="A242" s="222"/>
      <c r="B242" s="222"/>
      <c r="C242" s="222"/>
      <c r="D242" s="222"/>
      <c r="E242" s="222"/>
      <c r="F242" s="222"/>
      <c r="G242" s="222"/>
      <c r="H242" s="222"/>
      <c r="I242" s="222"/>
      <c r="J242" s="222"/>
      <c r="K242" s="222"/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2"/>
      <c r="W242" s="222"/>
      <c r="X242" s="222"/>
      <c r="Y242" s="222"/>
      <c r="Z242" s="222"/>
      <c r="AA242" s="222"/>
      <c r="AB242" s="222"/>
      <c r="AC242" s="222"/>
      <c r="AD242" s="222"/>
      <c r="AE242" s="222"/>
      <c r="AF242" s="222"/>
      <c r="AG242" s="222"/>
      <c r="AH242" s="222"/>
      <c r="AI242" s="222"/>
      <c r="AJ242" s="222"/>
      <c r="AK242" s="222"/>
      <c r="AL242" s="222"/>
      <c r="AM242" s="222"/>
      <c r="AN242" s="222"/>
      <c r="AO242" s="222"/>
    </row>
    <row r="243" spans="1:41">
      <c r="A243" s="222"/>
      <c r="B243" s="222"/>
      <c r="C243" s="222"/>
      <c r="D243" s="222"/>
      <c r="E243" s="222"/>
      <c r="F243" s="222"/>
      <c r="G243" s="222"/>
      <c r="H243" s="222"/>
      <c r="I243" s="222"/>
      <c r="J243" s="222"/>
      <c r="K243" s="222"/>
      <c r="L243" s="222"/>
      <c r="M243" s="222"/>
      <c r="N243" s="222"/>
      <c r="O243" s="222"/>
      <c r="P243" s="222"/>
      <c r="Q243" s="222"/>
      <c r="R243" s="222"/>
      <c r="S243" s="222"/>
      <c r="T243" s="222"/>
      <c r="U243" s="222"/>
      <c r="V243" s="222"/>
      <c r="W243" s="222"/>
      <c r="X243" s="222"/>
      <c r="Y243" s="222"/>
      <c r="Z243" s="222"/>
      <c r="AA243" s="222"/>
      <c r="AB243" s="222"/>
      <c r="AC243" s="222"/>
      <c r="AD243" s="222"/>
      <c r="AE243" s="222"/>
      <c r="AF243" s="222"/>
      <c r="AG243" s="222"/>
      <c r="AH243" s="222"/>
      <c r="AI243" s="222"/>
      <c r="AJ243" s="222"/>
      <c r="AK243" s="222"/>
      <c r="AL243" s="222"/>
      <c r="AM243" s="222"/>
      <c r="AN243" s="222"/>
      <c r="AO243" s="222"/>
    </row>
    <row r="244" spans="1:41">
      <c r="A244" s="222"/>
      <c r="B244" s="222"/>
      <c r="C244" s="222"/>
      <c r="D244" s="222"/>
      <c r="E244" s="222"/>
      <c r="F244" s="222"/>
      <c r="G244" s="222"/>
      <c r="H244" s="222"/>
      <c r="I244" s="222"/>
      <c r="J244" s="222"/>
      <c r="K244" s="222"/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2"/>
      <c r="W244" s="222"/>
      <c r="X244" s="222"/>
      <c r="Y244" s="222"/>
      <c r="Z244" s="222"/>
      <c r="AA244" s="222"/>
      <c r="AB244" s="222"/>
      <c r="AC244" s="222"/>
      <c r="AD244" s="222"/>
      <c r="AE244" s="222"/>
      <c r="AF244" s="222"/>
      <c r="AG244" s="222"/>
      <c r="AH244" s="222"/>
      <c r="AI244" s="222"/>
      <c r="AJ244" s="222"/>
      <c r="AK244" s="222"/>
      <c r="AL244" s="222"/>
      <c r="AM244" s="222"/>
      <c r="AN244" s="222"/>
      <c r="AO244" s="222"/>
    </row>
    <row r="245" spans="1:41">
      <c r="A245" s="222"/>
      <c r="B245" s="222"/>
      <c r="C245" s="222"/>
      <c r="D245" s="222"/>
      <c r="E245" s="222"/>
      <c r="F245" s="222"/>
      <c r="G245" s="222"/>
      <c r="H245" s="222"/>
      <c r="I245" s="222"/>
      <c r="J245" s="222"/>
      <c r="K245" s="222"/>
      <c r="L245" s="222"/>
      <c r="M245" s="222"/>
      <c r="N245" s="222"/>
      <c r="O245" s="222"/>
      <c r="P245" s="222"/>
      <c r="Q245" s="222"/>
      <c r="R245" s="222"/>
      <c r="S245" s="222"/>
      <c r="T245" s="222"/>
      <c r="U245" s="222"/>
      <c r="V245" s="222"/>
      <c r="W245" s="222"/>
      <c r="X245" s="222"/>
      <c r="Y245" s="222"/>
      <c r="Z245" s="222"/>
      <c r="AA245" s="222"/>
      <c r="AB245" s="222"/>
      <c r="AC245" s="222"/>
      <c r="AD245" s="222"/>
      <c r="AE245" s="222"/>
      <c r="AF245" s="222"/>
      <c r="AG245" s="222"/>
      <c r="AH245" s="222"/>
      <c r="AI245" s="222"/>
      <c r="AJ245" s="222"/>
      <c r="AK245" s="222"/>
      <c r="AL245" s="222"/>
      <c r="AM245" s="222"/>
      <c r="AN245" s="222"/>
      <c r="AO245" s="222"/>
    </row>
    <row r="246" spans="1:41">
      <c r="A246" s="222"/>
      <c r="B246" s="222"/>
      <c r="C246" s="222"/>
      <c r="D246" s="222"/>
      <c r="E246" s="222"/>
      <c r="F246" s="222"/>
      <c r="G246" s="222"/>
      <c r="H246" s="222"/>
      <c r="I246" s="222"/>
      <c r="J246" s="222"/>
      <c r="K246" s="222"/>
      <c r="L246" s="222"/>
      <c r="M246" s="222"/>
      <c r="N246" s="222"/>
      <c r="O246" s="222"/>
      <c r="P246" s="222"/>
      <c r="Q246" s="222"/>
      <c r="R246" s="222"/>
      <c r="S246" s="222"/>
      <c r="T246" s="222"/>
      <c r="U246" s="222"/>
      <c r="V246" s="222"/>
      <c r="W246" s="222"/>
      <c r="X246" s="222"/>
      <c r="Y246" s="222"/>
      <c r="Z246" s="222"/>
      <c r="AA246" s="222"/>
      <c r="AB246" s="222"/>
      <c r="AC246" s="222"/>
      <c r="AD246" s="222"/>
      <c r="AE246" s="222"/>
      <c r="AF246" s="222"/>
      <c r="AG246" s="222"/>
      <c r="AH246" s="222"/>
      <c r="AI246" s="222"/>
      <c r="AJ246" s="222"/>
      <c r="AK246" s="222"/>
      <c r="AL246" s="222"/>
      <c r="AM246" s="222"/>
      <c r="AN246" s="222"/>
      <c r="AO246" s="222"/>
    </row>
    <row r="247" spans="1:41">
      <c r="A247" s="222"/>
      <c r="B247" s="222"/>
      <c r="C247" s="222"/>
      <c r="D247" s="222"/>
      <c r="E247" s="222"/>
      <c r="F247" s="222"/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  <c r="AF247" s="222"/>
      <c r="AG247" s="222"/>
      <c r="AH247" s="222"/>
      <c r="AI247" s="222"/>
      <c r="AJ247" s="222"/>
      <c r="AK247" s="222"/>
      <c r="AL247" s="222"/>
      <c r="AM247" s="222"/>
      <c r="AN247" s="222"/>
      <c r="AO247" s="222"/>
    </row>
    <row r="248" spans="1:41">
      <c r="A248" s="222"/>
      <c r="B248" s="222"/>
      <c r="C248" s="222"/>
      <c r="D248" s="222"/>
      <c r="E248" s="222"/>
      <c r="F248" s="222"/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  <c r="AF248" s="222"/>
      <c r="AG248" s="222"/>
      <c r="AH248" s="222"/>
      <c r="AI248" s="222"/>
      <c r="AJ248" s="222"/>
      <c r="AK248" s="222"/>
      <c r="AL248" s="222"/>
      <c r="AM248" s="222"/>
      <c r="AN248" s="222"/>
      <c r="AO248" s="222"/>
    </row>
    <row r="249" spans="1:41">
      <c r="A249" s="222"/>
      <c r="B249" s="222"/>
      <c r="C249" s="222"/>
      <c r="D249" s="222"/>
      <c r="E249" s="222"/>
      <c r="F249" s="222"/>
      <c r="G249" s="222"/>
      <c r="H249" s="222"/>
      <c r="I249" s="222"/>
      <c r="J249" s="222"/>
      <c r="K249" s="222"/>
      <c r="L249" s="222"/>
      <c r="M249" s="222"/>
      <c r="N249" s="222"/>
      <c r="O249" s="222"/>
      <c r="P249" s="222"/>
      <c r="Q249" s="222"/>
      <c r="R249" s="222"/>
      <c r="S249" s="222"/>
      <c r="T249" s="222"/>
      <c r="U249" s="222"/>
      <c r="V249" s="222"/>
      <c r="W249" s="222"/>
      <c r="X249" s="222"/>
      <c r="Y249" s="222"/>
      <c r="Z249" s="222"/>
      <c r="AA249" s="222"/>
      <c r="AB249" s="222"/>
      <c r="AC249" s="222"/>
      <c r="AD249" s="222"/>
      <c r="AE249" s="222"/>
      <c r="AF249" s="222"/>
      <c r="AG249" s="222"/>
      <c r="AH249" s="222"/>
      <c r="AI249" s="222"/>
      <c r="AJ249" s="222"/>
      <c r="AK249" s="222"/>
      <c r="AL249" s="222"/>
      <c r="AM249" s="222"/>
      <c r="AN249" s="222"/>
      <c r="AO249" s="222"/>
    </row>
    <row r="250" spans="1:41">
      <c r="A250" s="222"/>
      <c r="B250" s="222"/>
      <c r="C250" s="222"/>
      <c r="D250" s="222"/>
      <c r="E250" s="222"/>
      <c r="F250" s="222"/>
      <c r="G250" s="222"/>
      <c r="H250" s="222"/>
      <c r="I250" s="222"/>
      <c r="J250" s="222"/>
      <c r="K250" s="222"/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2"/>
      <c r="W250" s="222"/>
      <c r="X250" s="222"/>
      <c r="Y250" s="222"/>
      <c r="Z250" s="222"/>
      <c r="AA250" s="222"/>
      <c r="AB250" s="222"/>
      <c r="AC250" s="222"/>
      <c r="AD250" s="222"/>
      <c r="AE250" s="222"/>
      <c r="AF250" s="222"/>
      <c r="AG250" s="222"/>
      <c r="AH250" s="222"/>
      <c r="AI250" s="222"/>
      <c r="AJ250" s="222"/>
      <c r="AK250" s="222"/>
      <c r="AL250" s="222"/>
      <c r="AM250" s="222"/>
      <c r="AN250" s="222"/>
      <c r="AO250" s="222"/>
    </row>
    <row r="251" spans="1:41">
      <c r="A251" s="222"/>
      <c r="B251" s="222"/>
      <c r="C251" s="222"/>
      <c r="D251" s="222"/>
      <c r="E251" s="222"/>
      <c r="F251" s="222"/>
      <c r="G251" s="222"/>
      <c r="H251" s="222"/>
      <c r="I251" s="222"/>
      <c r="J251" s="222"/>
      <c r="K251" s="222"/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2"/>
      <c r="W251" s="222"/>
      <c r="X251" s="222"/>
      <c r="Y251" s="222"/>
      <c r="Z251" s="222"/>
      <c r="AA251" s="222"/>
      <c r="AB251" s="222"/>
      <c r="AC251" s="222"/>
      <c r="AD251" s="222"/>
      <c r="AE251" s="222"/>
      <c r="AF251" s="222"/>
      <c r="AG251" s="222"/>
      <c r="AH251" s="222"/>
      <c r="AI251" s="222"/>
      <c r="AJ251" s="222"/>
      <c r="AK251" s="222"/>
      <c r="AL251" s="222"/>
      <c r="AM251" s="222"/>
      <c r="AN251" s="222"/>
      <c r="AO251" s="222"/>
    </row>
    <row r="252" spans="1:41">
      <c r="A252" s="222"/>
      <c r="B252" s="222"/>
      <c r="C252" s="222"/>
      <c r="D252" s="222"/>
      <c r="E252" s="222"/>
      <c r="F252" s="222"/>
      <c r="G252" s="222"/>
      <c r="H252" s="222"/>
      <c r="I252" s="222"/>
      <c r="J252" s="222"/>
      <c r="K252" s="222"/>
      <c r="L252" s="222"/>
      <c r="M252" s="222"/>
      <c r="N252" s="222"/>
      <c r="O252" s="222"/>
      <c r="P252" s="222"/>
      <c r="Q252" s="222"/>
      <c r="R252" s="222"/>
      <c r="S252" s="222"/>
      <c r="T252" s="222"/>
      <c r="U252" s="222"/>
      <c r="V252" s="222"/>
      <c r="W252" s="222"/>
      <c r="X252" s="222"/>
      <c r="Y252" s="222"/>
      <c r="Z252" s="222"/>
      <c r="AA252" s="222"/>
      <c r="AB252" s="222"/>
      <c r="AC252" s="222"/>
      <c r="AD252" s="222"/>
      <c r="AE252" s="222"/>
      <c r="AF252" s="222"/>
      <c r="AG252" s="222"/>
      <c r="AH252" s="222"/>
      <c r="AI252" s="222"/>
      <c r="AJ252" s="222"/>
      <c r="AK252" s="222"/>
      <c r="AL252" s="222"/>
      <c r="AM252" s="222"/>
      <c r="AN252" s="222"/>
      <c r="AO252" s="222"/>
    </row>
    <row r="253" spans="1:41">
      <c r="A253" s="222"/>
      <c r="B253" s="222"/>
      <c r="C253" s="222"/>
      <c r="D253" s="222"/>
      <c r="E253" s="222"/>
      <c r="F253" s="222"/>
      <c r="G253" s="222"/>
      <c r="H253" s="222"/>
      <c r="I253" s="222"/>
      <c r="J253" s="222"/>
      <c r="K253" s="222"/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  <c r="AF253" s="222"/>
      <c r="AG253" s="222"/>
      <c r="AH253" s="222"/>
      <c r="AI253" s="222"/>
      <c r="AJ253" s="222"/>
      <c r="AK253" s="222"/>
      <c r="AL253" s="222"/>
      <c r="AM253" s="222"/>
      <c r="AN253" s="222"/>
      <c r="AO253" s="222"/>
    </row>
    <row r="254" spans="1:41">
      <c r="A254" s="222"/>
      <c r="B254" s="222"/>
      <c r="C254" s="222"/>
      <c r="D254" s="222"/>
      <c r="E254" s="222"/>
      <c r="F254" s="222"/>
      <c r="G254" s="222"/>
      <c r="H254" s="222"/>
      <c r="I254" s="222"/>
      <c r="J254" s="222"/>
      <c r="K254" s="222"/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2"/>
      <c r="W254" s="222"/>
      <c r="X254" s="222"/>
      <c r="Y254" s="222"/>
      <c r="Z254" s="222"/>
      <c r="AA254" s="222"/>
      <c r="AB254" s="222"/>
      <c r="AC254" s="222"/>
      <c r="AD254" s="222"/>
      <c r="AE254" s="222"/>
      <c r="AF254" s="222"/>
      <c r="AG254" s="222"/>
      <c r="AH254" s="222"/>
      <c r="AI254" s="222"/>
      <c r="AJ254" s="222"/>
      <c r="AK254" s="222"/>
      <c r="AL254" s="222"/>
      <c r="AM254" s="222"/>
      <c r="AN254" s="222"/>
      <c r="AO254" s="222"/>
    </row>
    <row r="255" spans="1:41">
      <c r="A255" s="222"/>
      <c r="B255" s="222"/>
      <c r="C255" s="222"/>
      <c r="D255" s="222"/>
      <c r="E255" s="222"/>
      <c r="F255" s="222"/>
      <c r="G255" s="222"/>
      <c r="H255" s="222"/>
      <c r="I255" s="222"/>
      <c r="J255" s="222"/>
      <c r="K255" s="222"/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2"/>
      <c r="W255" s="222"/>
      <c r="X255" s="222"/>
      <c r="Y255" s="222"/>
      <c r="Z255" s="222"/>
      <c r="AA255" s="222"/>
      <c r="AB255" s="222"/>
      <c r="AC255" s="222"/>
      <c r="AD255" s="222"/>
      <c r="AE255" s="222"/>
      <c r="AF255" s="222"/>
      <c r="AG255" s="222"/>
      <c r="AH255" s="222"/>
      <c r="AI255" s="222"/>
      <c r="AJ255" s="222"/>
      <c r="AK255" s="222"/>
      <c r="AL255" s="222"/>
      <c r="AM255" s="222"/>
      <c r="AN255" s="222"/>
      <c r="AO255" s="222"/>
    </row>
    <row r="256" spans="1:41">
      <c r="A256" s="222"/>
      <c r="B256" s="222"/>
      <c r="C256" s="222"/>
      <c r="D256" s="222"/>
      <c r="E256" s="222"/>
      <c r="F256" s="222"/>
      <c r="G256" s="222"/>
      <c r="H256" s="222"/>
      <c r="I256" s="222"/>
      <c r="J256" s="222"/>
      <c r="K256" s="222"/>
      <c r="L256" s="222"/>
      <c r="M256" s="222"/>
      <c r="N256" s="222"/>
      <c r="O256" s="222"/>
      <c r="P256" s="222"/>
      <c r="Q256" s="222"/>
      <c r="R256" s="222"/>
      <c r="S256" s="222"/>
      <c r="T256" s="222"/>
      <c r="U256" s="222"/>
      <c r="V256" s="222"/>
      <c r="W256" s="222"/>
      <c r="X256" s="222"/>
      <c r="Y256" s="222"/>
      <c r="Z256" s="222"/>
      <c r="AA256" s="222"/>
      <c r="AB256" s="222"/>
      <c r="AC256" s="222"/>
      <c r="AD256" s="222"/>
      <c r="AE256" s="222"/>
      <c r="AF256" s="222"/>
      <c r="AG256" s="222"/>
      <c r="AH256" s="222"/>
      <c r="AI256" s="222"/>
      <c r="AJ256" s="222"/>
      <c r="AK256" s="222"/>
      <c r="AL256" s="222"/>
      <c r="AM256" s="222"/>
      <c r="AN256" s="222"/>
      <c r="AO256" s="222"/>
    </row>
    <row r="257" spans="1:41">
      <c r="A257" s="222"/>
      <c r="B257" s="222"/>
      <c r="C257" s="222"/>
      <c r="D257" s="222"/>
      <c r="E257" s="222"/>
      <c r="F257" s="222"/>
      <c r="G257" s="222"/>
      <c r="H257" s="222"/>
      <c r="I257" s="222"/>
      <c r="J257" s="222"/>
      <c r="K257" s="222"/>
      <c r="L257" s="222"/>
      <c r="M257" s="222"/>
      <c r="N257" s="222"/>
      <c r="O257" s="222"/>
      <c r="P257" s="222"/>
      <c r="Q257" s="222"/>
      <c r="R257" s="222"/>
      <c r="S257" s="222"/>
      <c r="T257" s="222"/>
      <c r="U257" s="222"/>
      <c r="V257" s="222"/>
      <c r="W257" s="222"/>
      <c r="X257" s="222"/>
      <c r="Y257" s="222"/>
      <c r="Z257" s="222"/>
      <c r="AA257" s="222"/>
      <c r="AB257" s="222"/>
      <c r="AC257" s="222"/>
      <c r="AD257" s="222"/>
      <c r="AE257" s="222"/>
      <c r="AF257" s="222"/>
      <c r="AG257" s="222"/>
      <c r="AH257" s="222"/>
      <c r="AI257" s="222"/>
      <c r="AJ257" s="222"/>
      <c r="AK257" s="222"/>
      <c r="AL257" s="222"/>
      <c r="AM257" s="222"/>
      <c r="AN257" s="222"/>
      <c r="AO257" s="222"/>
    </row>
    <row r="258" spans="1:41">
      <c r="A258" s="222"/>
      <c r="B258" s="222"/>
      <c r="C258" s="222"/>
      <c r="D258" s="222"/>
      <c r="E258" s="222"/>
      <c r="F258" s="222"/>
      <c r="G258" s="222"/>
      <c r="H258" s="222"/>
      <c r="I258" s="222"/>
      <c r="J258" s="222"/>
      <c r="K258" s="222"/>
      <c r="L258" s="222"/>
      <c r="M258" s="222"/>
      <c r="N258" s="222"/>
      <c r="O258" s="222"/>
      <c r="P258" s="222"/>
      <c r="Q258" s="222"/>
      <c r="R258" s="222"/>
      <c r="S258" s="222"/>
      <c r="T258" s="222"/>
      <c r="U258" s="222"/>
      <c r="V258" s="222"/>
      <c r="W258" s="222"/>
      <c r="X258" s="222"/>
      <c r="Y258" s="222"/>
      <c r="Z258" s="222"/>
      <c r="AA258" s="222"/>
      <c r="AB258" s="222"/>
      <c r="AC258" s="222"/>
      <c r="AD258" s="222"/>
      <c r="AE258" s="222"/>
      <c r="AF258" s="222"/>
      <c r="AG258" s="222"/>
      <c r="AH258" s="222"/>
      <c r="AI258" s="222"/>
      <c r="AJ258" s="222"/>
      <c r="AK258" s="222"/>
      <c r="AL258" s="222"/>
      <c r="AM258" s="222"/>
      <c r="AN258" s="222"/>
      <c r="AO258" s="222"/>
    </row>
    <row r="259" spans="1:41">
      <c r="A259" s="222"/>
      <c r="B259" s="222"/>
      <c r="C259" s="222"/>
      <c r="D259" s="222"/>
      <c r="E259" s="222"/>
      <c r="F259" s="222"/>
      <c r="G259" s="222"/>
      <c r="H259" s="222"/>
      <c r="I259" s="222"/>
      <c r="J259" s="222"/>
      <c r="K259" s="222"/>
      <c r="L259" s="222"/>
      <c r="M259" s="222"/>
      <c r="N259" s="222"/>
      <c r="O259" s="222"/>
      <c r="P259" s="222"/>
      <c r="Q259" s="222"/>
      <c r="R259" s="222"/>
      <c r="S259" s="222"/>
      <c r="T259" s="222"/>
      <c r="U259" s="222"/>
      <c r="V259" s="222"/>
      <c r="W259" s="222"/>
      <c r="X259" s="222"/>
      <c r="Y259" s="222"/>
      <c r="Z259" s="222"/>
      <c r="AA259" s="222"/>
      <c r="AB259" s="222"/>
      <c r="AC259" s="222"/>
      <c r="AD259" s="222"/>
      <c r="AE259" s="222"/>
      <c r="AF259" s="222"/>
      <c r="AG259" s="222"/>
      <c r="AH259" s="222"/>
      <c r="AI259" s="222"/>
      <c r="AJ259" s="222"/>
      <c r="AK259" s="222"/>
      <c r="AL259" s="222"/>
      <c r="AM259" s="222"/>
      <c r="AN259" s="222"/>
      <c r="AO259" s="222"/>
    </row>
    <row r="260" spans="1:41">
      <c r="A260" s="222"/>
      <c r="B260" s="222"/>
      <c r="C260" s="222"/>
      <c r="D260" s="222"/>
      <c r="E260" s="222"/>
      <c r="F260" s="222"/>
      <c r="G260" s="222"/>
      <c r="H260" s="222"/>
      <c r="I260" s="222"/>
      <c r="J260" s="222"/>
      <c r="K260" s="222"/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2"/>
      <c r="W260" s="222"/>
      <c r="X260" s="222"/>
      <c r="Y260" s="222"/>
      <c r="Z260" s="222"/>
      <c r="AA260" s="222"/>
      <c r="AB260" s="222"/>
      <c r="AC260" s="222"/>
      <c r="AD260" s="222"/>
      <c r="AE260" s="222"/>
      <c r="AF260" s="222"/>
      <c r="AG260" s="222"/>
      <c r="AH260" s="222"/>
      <c r="AI260" s="222"/>
      <c r="AJ260" s="222"/>
      <c r="AK260" s="222"/>
      <c r="AL260" s="222"/>
      <c r="AM260" s="222"/>
      <c r="AN260" s="222"/>
      <c r="AO260" s="222"/>
    </row>
    <row r="261" spans="1:41">
      <c r="A261" s="222"/>
      <c r="B261" s="222"/>
      <c r="C261" s="222"/>
      <c r="D261" s="222"/>
      <c r="E261" s="222"/>
      <c r="F261" s="222"/>
      <c r="G261" s="222"/>
      <c r="H261" s="222"/>
      <c r="I261" s="222"/>
      <c r="J261" s="222"/>
      <c r="K261" s="222"/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2"/>
      <c r="W261" s="222"/>
      <c r="X261" s="222"/>
      <c r="Y261" s="222"/>
      <c r="Z261" s="222"/>
      <c r="AA261" s="222"/>
      <c r="AB261" s="222"/>
      <c r="AC261" s="222"/>
      <c r="AD261" s="222"/>
      <c r="AE261" s="222"/>
      <c r="AF261" s="222"/>
      <c r="AG261" s="222"/>
      <c r="AH261" s="222"/>
      <c r="AI261" s="222"/>
      <c r="AJ261" s="222"/>
      <c r="AK261" s="222"/>
      <c r="AL261" s="222"/>
      <c r="AM261" s="222"/>
      <c r="AN261" s="222"/>
      <c r="AO261" s="222"/>
    </row>
    <row r="262" spans="1:41">
      <c r="A262" s="222"/>
      <c r="B262" s="222"/>
      <c r="C262" s="222"/>
      <c r="D262" s="222"/>
      <c r="E262" s="222"/>
      <c r="F262" s="222"/>
      <c r="G262" s="222"/>
      <c r="H262" s="222"/>
      <c r="I262" s="222"/>
      <c r="J262" s="222"/>
      <c r="K262" s="222"/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2"/>
      <c r="W262" s="222"/>
      <c r="X262" s="222"/>
      <c r="Y262" s="222"/>
      <c r="Z262" s="222"/>
      <c r="AA262" s="222"/>
      <c r="AB262" s="222"/>
      <c r="AC262" s="222"/>
      <c r="AD262" s="222"/>
      <c r="AE262" s="222"/>
      <c r="AF262" s="222"/>
      <c r="AG262" s="222"/>
      <c r="AH262" s="222"/>
      <c r="AI262" s="222"/>
      <c r="AJ262" s="222"/>
      <c r="AK262" s="222"/>
      <c r="AL262" s="222"/>
      <c r="AM262" s="222"/>
      <c r="AN262" s="222"/>
      <c r="AO262" s="222"/>
    </row>
    <row r="263" spans="1:41">
      <c r="A263" s="222"/>
      <c r="B263" s="222"/>
      <c r="C263" s="222"/>
      <c r="D263" s="222"/>
      <c r="E263" s="222"/>
      <c r="F263" s="222"/>
      <c r="G263" s="222"/>
      <c r="H263" s="222"/>
      <c r="I263" s="222"/>
      <c r="J263" s="222"/>
      <c r="K263" s="222"/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2"/>
      <c r="W263" s="222"/>
      <c r="X263" s="222"/>
      <c r="Y263" s="222"/>
      <c r="Z263" s="222"/>
      <c r="AA263" s="222"/>
      <c r="AB263" s="222"/>
      <c r="AC263" s="222"/>
      <c r="AD263" s="222"/>
      <c r="AE263" s="222"/>
      <c r="AF263" s="222"/>
      <c r="AG263" s="222"/>
      <c r="AH263" s="222"/>
      <c r="AI263" s="222"/>
      <c r="AJ263" s="222"/>
      <c r="AK263" s="222"/>
      <c r="AL263" s="222"/>
      <c r="AM263" s="222"/>
      <c r="AN263" s="222"/>
      <c r="AO263" s="222"/>
    </row>
    <row r="264" spans="1:41">
      <c r="A264" s="222"/>
      <c r="B264" s="222"/>
      <c r="C264" s="222"/>
      <c r="D264" s="222"/>
      <c r="E264" s="222"/>
      <c r="F264" s="222"/>
      <c r="G264" s="222"/>
      <c r="H264" s="222"/>
      <c r="I264" s="222"/>
      <c r="J264" s="222"/>
      <c r="K264" s="222"/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2"/>
      <c r="W264" s="222"/>
      <c r="X264" s="222"/>
      <c r="Y264" s="222"/>
      <c r="Z264" s="222"/>
      <c r="AA264" s="222"/>
      <c r="AB264" s="222"/>
      <c r="AC264" s="222"/>
      <c r="AD264" s="222"/>
      <c r="AE264" s="222"/>
      <c r="AF264" s="222"/>
      <c r="AG264" s="222"/>
      <c r="AH264" s="222"/>
      <c r="AI264" s="222"/>
      <c r="AJ264" s="222"/>
      <c r="AK264" s="222"/>
      <c r="AL264" s="222"/>
      <c r="AM264" s="222"/>
      <c r="AN264" s="222"/>
      <c r="AO264" s="222"/>
    </row>
    <row r="265" spans="1:41">
      <c r="A265" s="222"/>
      <c r="B265" s="222"/>
      <c r="C265" s="222"/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2"/>
      <c r="AC265" s="222"/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</row>
    <row r="266" spans="1:41">
      <c r="A266" s="222"/>
      <c r="B266" s="222"/>
      <c r="C266" s="222"/>
      <c r="D266" s="222"/>
      <c r="E266" s="222"/>
      <c r="F266" s="222"/>
      <c r="G266" s="222"/>
      <c r="H266" s="222"/>
      <c r="I266" s="222"/>
      <c r="J266" s="222"/>
      <c r="K266" s="222"/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2"/>
      <c r="W266" s="222"/>
      <c r="X266" s="222"/>
      <c r="Y266" s="222"/>
      <c r="Z266" s="222"/>
      <c r="AA266" s="222"/>
      <c r="AB266" s="222"/>
      <c r="AC266" s="222"/>
      <c r="AD266" s="222"/>
      <c r="AE266" s="222"/>
      <c r="AF266" s="222"/>
      <c r="AG266" s="222"/>
      <c r="AH266" s="222"/>
      <c r="AI266" s="222"/>
      <c r="AJ266" s="222"/>
      <c r="AK266" s="222"/>
      <c r="AL266" s="222"/>
      <c r="AM266" s="222"/>
      <c r="AN266" s="222"/>
      <c r="AO266" s="222"/>
    </row>
    <row r="267" spans="1:41">
      <c r="A267" s="222"/>
      <c r="B267" s="222"/>
      <c r="C267" s="222"/>
      <c r="D267" s="222"/>
      <c r="E267" s="222"/>
      <c r="F267" s="222"/>
      <c r="G267" s="222"/>
      <c r="H267" s="222"/>
      <c r="I267" s="222"/>
      <c r="J267" s="222"/>
      <c r="K267" s="222"/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2"/>
      <c r="W267" s="222"/>
      <c r="X267" s="222"/>
      <c r="Y267" s="222"/>
      <c r="Z267" s="222"/>
      <c r="AA267" s="222"/>
      <c r="AB267" s="222"/>
      <c r="AC267" s="222"/>
      <c r="AD267" s="222"/>
      <c r="AE267" s="222"/>
      <c r="AF267" s="222"/>
      <c r="AG267" s="222"/>
      <c r="AH267" s="222"/>
      <c r="AI267" s="222"/>
      <c r="AJ267" s="222"/>
      <c r="AK267" s="222"/>
      <c r="AL267" s="222"/>
      <c r="AM267" s="222"/>
      <c r="AN267" s="222"/>
      <c r="AO267" s="222"/>
    </row>
    <row r="268" spans="1:41">
      <c r="A268" s="222"/>
      <c r="B268" s="222"/>
      <c r="C268" s="222"/>
      <c r="D268" s="222"/>
      <c r="E268" s="222"/>
      <c r="F268" s="222"/>
      <c r="G268" s="222"/>
      <c r="H268" s="222"/>
      <c r="I268" s="222"/>
      <c r="J268" s="222"/>
      <c r="K268" s="222"/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2"/>
      <c r="W268" s="222"/>
      <c r="X268" s="222"/>
      <c r="Y268" s="222"/>
      <c r="Z268" s="222"/>
      <c r="AA268" s="222"/>
      <c r="AB268" s="222"/>
      <c r="AC268" s="222"/>
      <c r="AD268" s="222"/>
      <c r="AE268" s="222"/>
      <c r="AF268" s="222"/>
      <c r="AG268" s="222"/>
      <c r="AH268" s="222"/>
      <c r="AI268" s="222"/>
      <c r="AJ268" s="222"/>
      <c r="AK268" s="222"/>
      <c r="AL268" s="222"/>
      <c r="AM268" s="222"/>
      <c r="AN268" s="222"/>
      <c r="AO268" s="222"/>
    </row>
    <row r="269" spans="1:41">
      <c r="A269" s="222"/>
      <c r="B269" s="222"/>
      <c r="C269" s="222"/>
      <c r="D269" s="222"/>
      <c r="E269" s="222"/>
      <c r="F269" s="222"/>
      <c r="G269" s="222"/>
      <c r="H269" s="222"/>
      <c r="I269" s="222"/>
      <c r="J269" s="222"/>
      <c r="K269" s="222"/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2"/>
      <c r="W269" s="222"/>
      <c r="X269" s="222"/>
      <c r="Y269" s="222"/>
      <c r="Z269" s="222"/>
      <c r="AA269" s="222"/>
      <c r="AB269" s="222"/>
      <c r="AC269" s="222"/>
      <c r="AD269" s="222"/>
      <c r="AE269" s="222"/>
      <c r="AF269" s="222"/>
      <c r="AG269" s="222"/>
      <c r="AH269" s="222"/>
      <c r="AI269" s="222"/>
      <c r="AJ269" s="222"/>
      <c r="AK269" s="222"/>
      <c r="AL269" s="222"/>
      <c r="AM269" s="222"/>
      <c r="AN269" s="222"/>
      <c r="AO269" s="222"/>
    </row>
    <row r="270" spans="1:41">
      <c r="A270" s="222"/>
      <c r="B270" s="222"/>
      <c r="C270" s="222"/>
      <c r="D270" s="222"/>
      <c r="E270" s="222"/>
      <c r="F270" s="222"/>
      <c r="G270" s="222"/>
      <c r="H270" s="222"/>
      <c r="I270" s="222"/>
      <c r="J270" s="222"/>
      <c r="K270" s="222"/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  <c r="AG270" s="222"/>
      <c r="AH270" s="222"/>
      <c r="AI270" s="222"/>
      <c r="AJ270" s="222"/>
      <c r="AK270" s="222"/>
      <c r="AL270" s="222"/>
      <c r="AM270" s="222"/>
      <c r="AN270" s="222"/>
      <c r="AO270" s="222"/>
    </row>
    <row r="271" spans="1:41">
      <c r="A271" s="222"/>
      <c r="B271" s="222"/>
      <c r="C271" s="222"/>
      <c r="D271" s="222"/>
      <c r="E271" s="222"/>
      <c r="F271" s="222"/>
      <c r="G271" s="222"/>
      <c r="H271" s="222"/>
      <c r="I271" s="222"/>
      <c r="J271" s="222"/>
      <c r="K271" s="222"/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2"/>
      <c r="W271" s="222"/>
      <c r="X271" s="222"/>
      <c r="Y271" s="222"/>
      <c r="Z271" s="222"/>
      <c r="AA271" s="222"/>
      <c r="AB271" s="222"/>
      <c r="AC271" s="222"/>
      <c r="AD271" s="222"/>
      <c r="AE271" s="222"/>
      <c r="AF271" s="222"/>
      <c r="AG271" s="222"/>
      <c r="AH271" s="222"/>
      <c r="AI271" s="222"/>
      <c r="AJ271" s="222"/>
      <c r="AK271" s="222"/>
      <c r="AL271" s="222"/>
      <c r="AM271" s="222"/>
      <c r="AN271" s="222"/>
      <c r="AO271" s="222"/>
    </row>
    <row r="272" spans="1:41">
      <c r="A272" s="222"/>
      <c r="B272" s="222"/>
      <c r="C272" s="222"/>
      <c r="D272" s="222"/>
      <c r="E272" s="222"/>
      <c r="F272" s="222"/>
      <c r="G272" s="222"/>
      <c r="H272" s="222"/>
      <c r="I272" s="222"/>
      <c r="J272" s="222"/>
      <c r="K272" s="222"/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  <c r="AG272" s="222"/>
      <c r="AH272" s="222"/>
      <c r="AI272" s="222"/>
      <c r="AJ272" s="222"/>
      <c r="AK272" s="222"/>
      <c r="AL272" s="222"/>
      <c r="AM272" s="222"/>
      <c r="AN272" s="222"/>
      <c r="AO272" s="222"/>
    </row>
    <row r="273" spans="1:41">
      <c r="A273" s="222"/>
      <c r="B273" s="222"/>
      <c r="C273" s="222"/>
      <c r="D273" s="222"/>
      <c r="E273" s="222"/>
      <c r="F273" s="222"/>
      <c r="G273" s="222"/>
      <c r="H273" s="222"/>
      <c r="I273" s="222"/>
      <c r="J273" s="222"/>
      <c r="K273" s="222"/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2"/>
      <c r="W273" s="222"/>
      <c r="X273" s="222"/>
      <c r="Y273" s="222"/>
      <c r="Z273" s="222"/>
      <c r="AA273" s="222"/>
      <c r="AB273" s="222"/>
      <c r="AC273" s="222"/>
      <c r="AD273" s="222"/>
      <c r="AE273" s="222"/>
      <c r="AF273" s="222"/>
      <c r="AG273" s="222"/>
      <c r="AH273" s="222"/>
      <c r="AI273" s="222"/>
      <c r="AJ273" s="222"/>
      <c r="AK273" s="222"/>
      <c r="AL273" s="222"/>
      <c r="AM273" s="222"/>
      <c r="AN273" s="222"/>
      <c r="AO273" s="222"/>
    </row>
    <row r="274" spans="1:41">
      <c r="A274" s="222"/>
      <c r="B274" s="222"/>
      <c r="C274" s="222"/>
      <c r="D274" s="222"/>
      <c r="E274" s="222"/>
      <c r="F274" s="222"/>
      <c r="G274" s="222"/>
      <c r="H274" s="222"/>
      <c r="I274" s="222"/>
      <c r="J274" s="222"/>
      <c r="K274" s="222"/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2"/>
      <c r="W274" s="222"/>
      <c r="X274" s="222"/>
      <c r="Y274" s="222"/>
      <c r="Z274" s="222"/>
      <c r="AA274" s="222"/>
      <c r="AB274" s="222"/>
      <c r="AC274" s="222"/>
      <c r="AD274" s="222"/>
      <c r="AE274" s="222"/>
      <c r="AF274" s="222"/>
      <c r="AG274" s="222"/>
      <c r="AH274" s="222"/>
      <c r="AI274" s="222"/>
      <c r="AJ274" s="222"/>
      <c r="AK274" s="222"/>
      <c r="AL274" s="222"/>
      <c r="AM274" s="222"/>
      <c r="AN274" s="222"/>
      <c r="AO274" s="222"/>
    </row>
    <row r="275" spans="1:41">
      <c r="A275" s="222"/>
      <c r="B275" s="222"/>
      <c r="C275" s="222"/>
      <c r="D275" s="222"/>
      <c r="E275" s="222"/>
      <c r="F275" s="222"/>
      <c r="G275" s="222"/>
      <c r="H275" s="222"/>
      <c r="I275" s="222"/>
      <c r="J275" s="222"/>
      <c r="K275" s="222"/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2"/>
      <c r="W275" s="222"/>
      <c r="X275" s="222"/>
      <c r="Y275" s="222"/>
      <c r="Z275" s="222"/>
      <c r="AA275" s="222"/>
      <c r="AB275" s="222"/>
      <c r="AC275" s="222"/>
      <c r="AD275" s="222"/>
      <c r="AE275" s="222"/>
      <c r="AF275" s="222"/>
      <c r="AG275" s="222"/>
      <c r="AH275" s="222"/>
      <c r="AI275" s="222"/>
      <c r="AJ275" s="222"/>
      <c r="AK275" s="222"/>
      <c r="AL275" s="222"/>
      <c r="AM275" s="222"/>
      <c r="AN275" s="222"/>
      <c r="AO275" s="222"/>
    </row>
    <row r="276" spans="1:41">
      <c r="A276" s="222"/>
      <c r="B276" s="222"/>
      <c r="C276" s="222"/>
      <c r="D276" s="222"/>
      <c r="E276" s="222"/>
      <c r="F276" s="222"/>
      <c r="G276" s="222"/>
      <c r="H276" s="222"/>
      <c r="I276" s="222"/>
      <c r="J276" s="222"/>
      <c r="K276" s="222"/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2"/>
      <c r="W276" s="222"/>
      <c r="X276" s="222"/>
      <c r="Y276" s="222"/>
      <c r="Z276" s="222"/>
      <c r="AA276" s="222"/>
      <c r="AB276" s="222"/>
      <c r="AC276" s="222"/>
      <c r="AD276" s="222"/>
      <c r="AE276" s="222"/>
      <c r="AF276" s="222"/>
      <c r="AG276" s="222"/>
      <c r="AH276" s="222"/>
      <c r="AI276" s="222"/>
      <c r="AJ276" s="222"/>
      <c r="AK276" s="222"/>
      <c r="AL276" s="222"/>
      <c r="AM276" s="222"/>
      <c r="AN276" s="222"/>
      <c r="AO276" s="222"/>
    </row>
    <row r="277" spans="1:41">
      <c r="A277" s="222"/>
      <c r="B277" s="222"/>
      <c r="C277" s="222"/>
      <c r="D277" s="222"/>
      <c r="E277" s="222"/>
      <c r="F277" s="222"/>
      <c r="G277" s="222"/>
      <c r="H277" s="222"/>
      <c r="I277" s="222"/>
      <c r="J277" s="222"/>
      <c r="K277" s="222"/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2"/>
      <c r="W277" s="222"/>
      <c r="X277" s="222"/>
      <c r="Y277" s="222"/>
      <c r="Z277" s="222"/>
      <c r="AA277" s="222"/>
      <c r="AB277" s="222"/>
      <c r="AC277" s="222"/>
      <c r="AD277" s="222"/>
      <c r="AE277" s="222"/>
      <c r="AF277" s="222"/>
      <c r="AG277" s="222"/>
      <c r="AH277" s="222"/>
      <c r="AI277" s="222"/>
      <c r="AJ277" s="222"/>
      <c r="AK277" s="222"/>
      <c r="AL277" s="222"/>
      <c r="AM277" s="222"/>
      <c r="AN277" s="222"/>
      <c r="AO277" s="222"/>
    </row>
    <row r="278" spans="1:41">
      <c r="A278" s="222"/>
      <c r="B278" s="222"/>
      <c r="C278" s="222"/>
      <c r="D278" s="222"/>
      <c r="E278" s="222"/>
      <c r="F278" s="222"/>
      <c r="G278" s="222"/>
      <c r="H278" s="222"/>
      <c r="I278" s="222"/>
      <c r="J278" s="222"/>
      <c r="K278" s="222"/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2"/>
      <c r="W278" s="222"/>
      <c r="X278" s="222"/>
      <c r="Y278" s="222"/>
      <c r="Z278" s="222"/>
      <c r="AA278" s="222"/>
      <c r="AB278" s="222"/>
      <c r="AC278" s="222"/>
      <c r="AD278" s="222"/>
      <c r="AE278" s="222"/>
      <c r="AF278" s="222"/>
      <c r="AG278" s="222"/>
      <c r="AH278" s="222"/>
      <c r="AI278" s="222"/>
      <c r="AJ278" s="222"/>
      <c r="AK278" s="222"/>
      <c r="AL278" s="222"/>
      <c r="AM278" s="222"/>
      <c r="AN278" s="222"/>
      <c r="AO278" s="222"/>
    </row>
    <row r="279" spans="1:41">
      <c r="A279" s="222"/>
      <c r="B279" s="222"/>
      <c r="C279" s="222"/>
      <c r="D279" s="222"/>
      <c r="E279" s="222"/>
      <c r="F279" s="222"/>
      <c r="G279" s="222"/>
      <c r="H279" s="222"/>
      <c r="I279" s="222"/>
      <c r="J279" s="222"/>
      <c r="K279" s="222"/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2"/>
      <c r="W279" s="222"/>
      <c r="X279" s="222"/>
      <c r="Y279" s="222"/>
      <c r="Z279" s="222"/>
      <c r="AA279" s="222"/>
      <c r="AB279" s="222"/>
      <c r="AC279" s="222"/>
      <c r="AD279" s="222"/>
      <c r="AE279" s="222"/>
      <c r="AF279" s="222"/>
      <c r="AG279" s="222"/>
      <c r="AH279" s="222"/>
      <c r="AI279" s="222"/>
      <c r="AJ279" s="222"/>
      <c r="AK279" s="222"/>
      <c r="AL279" s="222"/>
      <c r="AM279" s="222"/>
      <c r="AN279" s="222"/>
      <c r="AO279" s="222"/>
    </row>
    <row r="280" spans="1:41">
      <c r="A280" s="222"/>
      <c r="B280" s="222"/>
      <c r="C280" s="222"/>
      <c r="D280" s="222"/>
      <c r="E280" s="222"/>
      <c r="F280" s="222"/>
      <c r="G280" s="222"/>
      <c r="H280" s="222"/>
      <c r="I280" s="222"/>
      <c r="J280" s="222"/>
      <c r="K280" s="222"/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2"/>
      <c r="W280" s="222"/>
      <c r="X280" s="222"/>
      <c r="Y280" s="222"/>
      <c r="Z280" s="222"/>
      <c r="AA280" s="222"/>
      <c r="AB280" s="222"/>
      <c r="AC280" s="222"/>
      <c r="AD280" s="222"/>
      <c r="AE280" s="222"/>
      <c r="AF280" s="222"/>
      <c r="AG280" s="222"/>
      <c r="AH280" s="222"/>
      <c r="AI280" s="222"/>
      <c r="AJ280" s="222"/>
      <c r="AK280" s="222"/>
      <c r="AL280" s="222"/>
      <c r="AM280" s="222"/>
      <c r="AN280" s="222"/>
      <c r="AO280" s="222"/>
    </row>
    <row r="281" spans="1:41">
      <c r="A281" s="222"/>
      <c r="B281" s="222"/>
      <c r="C281" s="222"/>
      <c r="D281" s="222"/>
      <c r="E281" s="222"/>
      <c r="F281" s="222"/>
      <c r="G281" s="222"/>
      <c r="H281" s="222"/>
      <c r="I281" s="222"/>
      <c r="J281" s="222"/>
      <c r="K281" s="222"/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2"/>
      <c r="W281" s="222"/>
      <c r="X281" s="222"/>
      <c r="Y281" s="222"/>
      <c r="Z281" s="222"/>
      <c r="AA281" s="222"/>
      <c r="AB281" s="222"/>
      <c r="AC281" s="222"/>
      <c r="AD281" s="222"/>
      <c r="AE281" s="222"/>
      <c r="AF281" s="222"/>
      <c r="AG281" s="222"/>
      <c r="AH281" s="222"/>
      <c r="AI281" s="222"/>
      <c r="AJ281" s="222"/>
      <c r="AK281" s="222"/>
      <c r="AL281" s="222"/>
      <c r="AM281" s="222"/>
      <c r="AN281" s="222"/>
      <c r="AO281" s="222"/>
    </row>
    <row r="282" spans="1:41">
      <c r="A282" s="222"/>
      <c r="B282" s="222"/>
      <c r="C282" s="222"/>
      <c r="D282" s="222"/>
      <c r="E282" s="222"/>
      <c r="F282" s="222"/>
      <c r="G282" s="222"/>
      <c r="H282" s="222"/>
      <c r="I282" s="222"/>
      <c r="J282" s="222"/>
      <c r="K282" s="222"/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2"/>
      <c r="W282" s="222"/>
      <c r="X282" s="222"/>
      <c r="Y282" s="222"/>
      <c r="Z282" s="222"/>
      <c r="AA282" s="222"/>
      <c r="AB282" s="222"/>
      <c r="AC282" s="222"/>
      <c r="AD282" s="222"/>
      <c r="AE282" s="222"/>
      <c r="AF282" s="222"/>
      <c r="AG282" s="222"/>
      <c r="AH282" s="222"/>
      <c r="AI282" s="222"/>
      <c r="AJ282" s="222"/>
      <c r="AK282" s="222"/>
      <c r="AL282" s="222"/>
      <c r="AM282" s="222"/>
      <c r="AN282" s="222"/>
      <c r="AO282" s="222"/>
    </row>
    <row r="283" spans="1:41">
      <c r="A283" s="222"/>
      <c r="B283" s="222"/>
      <c r="C283" s="222"/>
      <c r="D283" s="222"/>
      <c r="E283" s="222"/>
      <c r="F283" s="222"/>
      <c r="G283" s="222"/>
      <c r="H283" s="222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2"/>
      <c r="W283" s="222"/>
      <c r="X283" s="222"/>
      <c r="Y283" s="222"/>
      <c r="Z283" s="222"/>
      <c r="AA283" s="222"/>
      <c r="AB283" s="222"/>
      <c r="AC283" s="222"/>
      <c r="AD283" s="222"/>
      <c r="AE283" s="222"/>
      <c r="AF283" s="222"/>
      <c r="AG283" s="222"/>
      <c r="AH283" s="222"/>
      <c r="AI283" s="222"/>
      <c r="AJ283" s="222"/>
      <c r="AK283" s="222"/>
      <c r="AL283" s="222"/>
      <c r="AM283" s="222"/>
      <c r="AN283" s="222"/>
      <c r="AO283" s="222"/>
    </row>
    <row r="284" spans="1:41">
      <c r="A284" s="222"/>
      <c r="B284" s="222"/>
      <c r="C284" s="222"/>
      <c r="D284" s="222"/>
      <c r="E284" s="222"/>
      <c r="F284" s="222"/>
      <c r="G284" s="222"/>
      <c r="H284" s="222"/>
      <c r="I284" s="222"/>
      <c r="J284" s="222"/>
      <c r="K284" s="222"/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2"/>
      <c r="W284" s="222"/>
      <c r="X284" s="222"/>
      <c r="Y284" s="222"/>
      <c r="Z284" s="222"/>
      <c r="AA284" s="222"/>
      <c r="AB284" s="222"/>
      <c r="AC284" s="222"/>
      <c r="AD284" s="222"/>
      <c r="AE284" s="222"/>
      <c r="AF284" s="222"/>
      <c r="AG284" s="222"/>
      <c r="AH284" s="222"/>
      <c r="AI284" s="222"/>
      <c r="AJ284" s="222"/>
      <c r="AK284" s="222"/>
      <c r="AL284" s="222"/>
      <c r="AM284" s="222"/>
      <c r="AN284" s="222"/>
      <c r="AO284" s="222"/>
    </row>
    <row r="285" spans="1:41">
      <c r="A285" s="222"/>
      <c r="B285" s="222"/>
      <c r="C285" s="222"/>
      <c r="D285" s="222"/>
      <c r="E285" s="222"/>
      <c r="F285" s="222"/>
      <c r="G285" s="222"/>
      <c r="H285" s="222"/>
      <c r="I285" s="222"/>
      <c r="J285" s="222"/>
      <c r="K285" s="222"/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2"/>
      <c r="W285" s="222"/>
      <c r="X285" s="222"/>
      <c r="Y285" s="222"/>
      <c r="Z285" s="222"/>
      <c r="AA285" s="222"/>
      <c r="AB285" s="222"/>
      <c r="AC285" s="222"/>
      <c r="AD285" s="222"/>
      <c r="AE285" s="222"/>
      <c r="AF285" s="222"/>
      <c r="AG285" s="222"/>
      <c r="AH285" s="222"/>
      <c r="AI285" s="222"/>
      <c r="AJ285" s="222"/>
      <c r="AK285" s="222"/>
      <c r="AL285" s="222"/>
      <c r="AM285" s="222"/>
      <c r="AN285" s="222"/>
      <c r="AO285" s="222"/>
    </row>
    <row r="286" spans="1:41">
      <c r="A286" s="222"/>
      <c r="B286" s="222"/>
      <c r="C286" s="222"/>
      <c r="D286" s="222"/>
      <c r="E286" s="222"/>
      <c r="F286" s="222"/>
      <c r="G286" s="222"/>
      <c r="H286" s="222"/>
      <c r="I286" s="222"/>
      <c r="J286" s="222"/>
      <c r="K286" s="222"/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2"/>
      <c r="W286" s="222"/>
      <c r="X286" s="222"/>
      <c r="Y286" s="222"/>
      <c r="Z286" s="222"/>
      <c r="AA286" s="222"/>
      <c r="AB286" s="222"/>
      <c r="AC286" s="222"/>
      <c r="AD286" s="222"/>
      <c r="AE286" s="222"/>
      <c r="AF286" s="222"/>
      <c r="AG286" s="222"/>
      <c r="AH286" s="222"/>
      <c r="AI286" s="222"/>
      <c r="AJ286" s="222"/>
      <c r="AK286" s="222"/>
      <c r="AL286" s="222"/>
      <c r="AM286" s="222"/>
      <c r="AN286" s="222"/>
      <c r="AO286" s="222"/>
    </row>
    <row r="287" spans="1:41">
      <c r="A287" s="222"/>
      <c r="B287" s="222"/>
      <c r="C287" s="222"/>
      <c r="D287" s="222"/>
      <c r="E287" s="222"/>
      <c r="F287" s="222"/>
      <c r="G287" s="222"/>
      <c r="H287" s="222"/>
      <c r="I287" s="222"/>
      <c r="J287" s="222"/>
      <c r="K287" s="222"/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2"/>
      <c r="W287" s="222"/>
      <c r="X287" s="222"/>
      <c r="Y287" s="222"/>
      <c r="Z287" s="222"/>
      <c r="AA287" s="222"/>
      <c r="AB287" s="222"/>
      <c r="AC287" s="222"/>
      <c r="AD287" s="222"/>
      <c r="AE287" s="222"/>
      <c r="AF287" s="222"/>
      <c r="AG287" s="222"/>
      <c r="AH287" s="222"/>
      <c r="AI287" s="222"/>
      <c r="AJ287" s="222"/>
      <c r="AK287" s="222"/>
      <c r="AL287" s="222"/>
      <c r="AM287" s="222"/>
      <c r="AN287" s="222"/>
      <c r="AO287" s="222"/>
    </row>
    <row r="288" spans="1:41">
      <c r="A288" s="222"/>
      <c r="B288" s="222"/>
      <c r="C288" s="222"/>
      <c r="D288" s="222"/>
      <c r="E288" s="222"/>
      <c r="F288" s="222"/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2"/>
      <c r="W288" s="222"/>
      <c r="X288" s="222"/>
      <c r="Y288" s="222"/>
      <c r="Z288" s="222"/>
      <c r="AA288" s="222"/>
      <c r="AB288" s="222"/>
      <c r="AC288" s="222"/>
      <c r="AD288" s="222"/>
      <c r="AE288" s="222"/>
      <c r="AF288" s="222"/>
      <c r="AG288" s="222"/>
      <c r="AH288" s="222"/>
      <c r="AI288" s="222"/>
      <c r="AJ288" s="222"/>
      <c r="AK288" s="222"/>
      <c r="AL288" s="222"/>
      <c r="AM288" s="222"/>
      <c r="AN288" s="222"/>
      <c r="AO288" s="222"/>
    </row>
    <row r="289" spans="1:41">
      <c r="A289" s="222"/>
      <c r="B289" s="222"/>
      <c r="C289" s="222"/>
      <c r="D289" s="222"/>
      <c r="E289" s="222"/>
      <c r="F289" s="222"/>
      <c r="G289" s="222"/>
      <c r="H289" s="222"/>
      <c r="I289" s="222"/>
      <c r="J289" s="222"/>
      <c r="K289" s="222"/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2"/>
      <c r="W289" s="222"/>
      <c r="X289" s="222"/>
      <c r="Y289" s="222"/>
      <c r="Z289" s="222"/>
      <c r="AA289" s="222"/>
      <c r="AB289" s="222"/>
      <c r="AC289" s="222"/>
      <c r="AD289" s="222"/>
      <c r="AE289" s="222"/>
      <c r="AF289" s="222"/>
      <c r="AG289" s="222"/>
      <c r="AH289" s="222"/>
      <c r="AI289" s="222"/>
      <c r="AJ289" s="222"/>
      <c r="AK289" s="222"/>
      <c r="AL289" s="222"/>
      <c r="AM289" s="222"/>
      <c r="AN289" s="222"/>
      <c r="AO289" s="222"/>
    </row>
    <row r="290" spans="1:41">
      <c r="A290" s="222"/>
      <c r="B290" s="222"/>
      <c r="C290" s="222"/>
      <c r="D290" s="222"/>
      <c r="E290" s="222"/>
      <c r="F290" s="222"/>
      <c r="G290" s="222"/>
      <c r="H290" s="222"/>
      <c r="I290" s="222"/>
      <c r="J290" s="222"/>
      <c r="K290" s="222"/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2"/>
      <c r="W290" s="222"/>
      <c r="X290" s="222"/>
      <c r="Y290" s="222"/>
      <c r="Z290" s="222"/>
      <c r="AA290" s="222"/>
      <c r="AB290" s="222"/>
      <c r="AC290" s="222"/>
      <c r="AD290" s="222"/>
      <c r="AE290" s="222"/>
      <c r="AF290" s="222"/>
      <c r="AG290" s="222"/>
      <c r="AH290" s="222"/>
      <c r="AI290" s="222"/>
      <c r="AJ290" s="222"/>
      <c r="AK290" s="222"/>
      <c r="AL290" s="222"/>
      <c r="AM290" s="222"/>
      <c r="AN290" s="222"/>
      <c r="AO290" s="222"/>
    </row>
    <row r="291" spans="1:41">
      <c r="A291" s="222"/>
      <c r="B291" s="222"/>
      <c r="C291" s="222"/>
      <c r="D291" s="222"/>
      <c r="E291" s="222"/>
      <c r="F291" s="222"/>
      <c r="G291" s="222"/>
      <c r="H291" s="222"/>
      <c r="I291" s="222"/>
      <c r="J291" s="222"/>
      <c r="K291" s="222"/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2"/>
      <c r="W291" s="222"/>
      <c r="X291" s="222"/>
      <c r="Y291" s="222"/>
      <c r="Z291" s="222"/>
      <c r="AA291" s="222"/>
      <c r="AB291" s="222"/>
      <c r="AC291" s="222"/>
      <c r="AD291" s="222"/>
      <c r="AE291" s="222"/>
      <c r="AF291" s="222"/>
      <c r="AG291" s="222"/>
      <c r="AH291" s="222"/>
      <c r="AI291" s="222"/>
      <c r="AJ291" s="222"/>
      <c r="AK291" s="222"/>
      <c r="AL291" s="222"/>
      <c r="AM291" s="222"/>
      <c r="AN291" s="222"/>
      <c r="AO291" s="222"/>
    </row>
    <row r="292" spans="1:41">
      <c r="A292" s="222"/>
      <c r="B292" s="222"/>
      <c r="C292" s="222"/>
      <c r="D292" s="222"/>
      <c r="E292" s="222"/>
      <c r="F292" s="222"/>
      <c r="G292" s="222"/>
      <c r="H292" s="222"/>
      <c r="I292" s="222"/>
      <c r="J292" s="222"/>
      <c r="K292" s="222"/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2"/>
      <c r="W292" s="222"/>
      <c r="X292" s="222"/>
      <c r="Y292" s="222"/>
      <c r="Z292" s="222"/>
      <c r="AA292" s="222"/>
      <c r="AB292" s="222"/>
      <c r="AC292" s="222"/>
      <c r="AD292" s="222"/>
      <c r="AE292" s="222"/>
      <c r="AF292" s="222"/>
      <c r="AG292" s="222"/>
      <c r="AH292" s="222"/>
      <c r="AI292" s="222"/>
      <c r="AJ292" s="222"/>
      <c r="AK292" s="222"/>
      <c r="AL292" s="222"/>
      <c r="AM292" s="222"/>
      <c r="AN292" s="222"/>
      <c r="AO292" s="222"/>
    </row>
    <row r="293" spans="1:41">
      <c r="A293" s="222"/>
      <c r="B293" s="222"/>
      <c r="C293" s="222"/>
      <c r="D293" s="222"/>
      <c r="E293" s="222"/>
      <c r="F293" s="222"/>
      <c r="G293" s="222"/>
      <c r="H293" s="222"/>
      <c r="I293" s="222"/>
      <c r="J293" s="222"/>
      <c r="K293" s="222"/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2"/>
      <c r="W293" s="222"/>
      <c r="X293" s="222"/>
      <c r="Y293" s="222"/>
      <c r="Z293" s="222"/>
      <c r="AA293" s="222"/>
      <c r="AB293" s="222"/>
      <c r="AC293" s="222"/>
      <c r="AD293" s="222"/>
      <c r="AE293" s="222"/>
      <c r="AF293" s="222"/>
      <c r="AG293" s="222"/>
      <c r="AH293" s="222"/>
      <c r="AI293" s="222"/>
      <c r="AJ293" s="222"/>
      <c r="AK293" s="222"/>
      <c r="AL293" s="222"/>
      <c r="AM293" s="222"/>
      <c r="AN293" s="222"/>
      <c r="AO293" s="222"/>
    </row>
    <row r="294" spans="1:41">
      <c r="A294" s="222"/>
      <c r="B294" s="222"/>
      <c r="C294" s="222"/>
      <c r="D294" s="222"/>
      <c r="E294" s="222"/>
      <c r="F294" s="222"/>
      <c r="G294" s="222"/>
      <c r="H294" s="222"/>
      <c r="I294" s="222"/>
      <c r="J294" s="222"/>
      <c r="K294" s="222"/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2"/>
      <c r="W294" s="222"/>
      <c r="X294" s="222"/>
      <c r="Y294" s="222"/>
      <c r="Z294" s="222"/>
      <c r="AA294" s="222"/>
      <c r="AB294" s="222"/>
      <c r="AC294" s="222"/>
      <c r="AD294" s="222"/>
      <c r="AE294" s="222"/>
      <c r="AF294" s="222"/>
      <c r="AG294" s="222"/>
      <c r="AH294" s="222"/>
      <c r="AI294" s="222"/>
      <c r="AJ294" s="222"/>
      <c r="AK294" s="222"/>
      <c r="AL294" s="222"/>
      <c r="AM294" s="222"/>
      <c r="AN294" s="222"/>
      <c r="AO294" s="222"/>
    </row>
    <row r="295" spans="1:41">
      <c r="A295" s="222"/>
      <c r="B295" s="222"/>
      <c r="C295" s="222"/>
      <c r="D295" s="222"/>
      <c r="E295" s="222"/>
      <c r="F295" s="222"/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</row>
    <row r="296" spans="1:41">
      <c r="A296" s="222"/>
      <c r="B296" s="222"/>
      <c r="C296" s="222"/>
      <c r="D296" s="222"/>
      <c r="E296" s="222"/>
      <c r="F296" s="222"/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</row>
    <row r="297" spans="1:41">
      <c r="A297" s="222"/>
      <c r="B297" s="222"/>
      <c r="C297" s="222"/>
      <c r="D297" s="222"/>
      <c r="E297" s="222"/>
      <c r="F297" s="222"/>
      <c r="G297" s="222"/>
      <c r="H297" s="222"/>
      <c r="I297" s="222"/>
      <c r="J297" s="222"/>
      <c r="K297" s="222"/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2"/>
      <c r="W297" s="222"/>
      <c r="X297" s="222"/>
      <c r="Y297" s="222"/>
      <c r="Z297" s="222"/>
      <c r="AA297" s="222"/>
      <c r="AB297" s="222"/>
      <c r="AC297" s="222"/>
      <c r="AD297" s="222"/>
      <c r="AE297" s="222"/>
      <c r="AF297" s="222"/>
      <c r="AG297" s="222"/>
      <c r="AH297" s="222"/>
      <c r="AI297" s="222"/>
      <c r="AJ297" s="222"/>
      <c r="AK297" s="222"/>
      <c r="AL297" s="222"/>
      <c r="AM297" s="222"/>
      <c r="AN297" s="222"/>
      <c r="AO297" s="222"/>
    </row>
    <row r="298" spans="1:41">
      <c r="A298" s="222"/>
      <c r="B298" s="222"/>
      <c r="C298" s="222"/>
      <c r="D298" s="222"/>
      <c r="E298" s="222"/>
      <c r="F298" s="222"/>
      <c r="G298" s="222"/>
      <c r="H298" s="222"/>
      <c r="I298" s="222"/>
      <c r="J298" s="222"/>
      <c r="K298" s="222"/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2"/>
      <c r="W298" s="222"/>
      <c r="X298" s="222"/>
      <c r="Y298" s="222"/>
      <c r="Z298" s="222"/>
      <c r="AA298" s="222"/>
      <c r="AB298" s="222"/>
      <c r="AC298" s="222"/>
      <c r="AD298" s="222"/>
      <c r="AE298" s="222"/>
      <c r="AF298" s="222"/>
      <c r="AG298" s="222"/>
      <c r="AH298" s="222"/>
      <c r="AI298" s="222"/>
      <c r="AJ298" s="222"/>
      <c r="AK298" s="222"/>
      <c r="AL298" s="222"/>
      <c r="AM298" s="222"/>
      <c r="AN298" s="222"/>
      <c r="AO298" s="222"/>
    </row>
    <row r="299" spans="1:41">
      <c r="A299" s="222"/>
      <c r="B299" s="222"/>
      <c r="C299" s="222"/>
      <c r="D299" s="222"/>
      <c r="E299" s="222"/>
      <c r="F299" s="222"/>
      <c r="G299" s="222"/>
      <c r="H299" s="222"/>
      <c r="I299" s="222"/>
      <c r="J299" s="222"/>
      <c r="K299" s="222"/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2"/>
      <c r="W299" s="222"/>
      <c r="X299" s="222"/>
      <c r="Y299" s="222"/>
      <c r="Z299" s="222"/>
      <c r="AA299" s="222"/>
      <c r="AB299" s="222"/>
      <c r="AC299" s="222"/>
      <c r="AD299" s="222"/>
      <c r="AE299" s="222"/>
      <c r="AF299" s="222"/>
      <c r="AG299" s="222"/>
      <c r="AH299" s="222"/>
      <c r="AI299" s="222"/>
      <c r="AJ299" s="222"/>
      <c r="AK299" s="222"/>
      <c r="AL299" s="222"/>
      <c r="AM299" s="222"/>
      <c r="AN299" s="222"/>
      <c r="AO299" s="222"/>
    </row>
    <row r="300" spans="1:41">
      <c r="A300" s="222"/>
      <c r="B300" s="222"/>
      <c r="C300" s="222"/>
      <c r="D300" s="222"/>
      <c r="E300" s="222"/>
      <c r="F300" s="222"/>
      <c r="G300" s="222"/>
      <c r="H300" s="222"/>
      <c r="I300" s="222"/>
      <c r="J300" s="222"/>
      <c r="K300" s="222"/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2"/>
      <c r="W300" s="222"/>
      <c r="X300" s="222"/>
      <c r="Y300" s="222"/>
      <c r="Z300" s="222"/>
      <c r="AA300" s="222"/>
      <c r="AB300" s="222"/>
      <c r="AC300" s="222"/>
      <c r="AD300" s="222"/>
      <c r="AE300" s="222"/>
      <c r="AF300" s="222"/>
      <c r="AG300" s="222"/>
      <c r="AH300" s="222"/>
      <c r="AI300" s="222"/>
      <c r="AJ300" s="222"/>
      <c r="AK300" s="222"/>
      <c r="AL300" s="222"/>
      <c r="AM300" s="222"/>
      <c r="AN300" s="222"/>
      <c r="AO300" s="222"/>
    </row>
    <row r="301" spans="1:41">
      <c r="A301" s="222"/>
      <c r="B301" s="222"/>
      <c r="C301" s="222"/>
      <c r="D301" s="222"/>
      <c r="E301" s="222"/>
      <c r="F301" s="222"/>
      <c r="G301" s="222"/>
      <c r="H301" s="222"/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2"/>
      <c r="W301" s="222"/>
      <c r="X301" s="222"/>
      <c r="Y301" s="222"/>
      <c r="Z301" s="222"/>
      <c r="AA301" s="222"/>
      <c r="AB301" s="222"/>
      <c r="AC301" s="222"/>
      <c r="AD301" s="222"/>
      <c r="AE301" s="222"/>
      <c r="AF301" s="222"/>
      <c r="AG301" s="222"/>
      <c r="AH301" s="222"/>
      <c r="AI301" s="222"/>
      <c r="AJ301" s="222"/>
      <c r="AK301" s="222"/>
      <c r="AL301" s="222"/>
      <c r="AM301" s="222"/>
      <c r="AN301" s="222"/>
      <c r="AO301" s="222"/>
    </row>
    <row r="302" spans="1:41">
      <c r="A302" s="222"/>
      <c r="B302" s="222"/>
      <c r="C302" s="222"/>
      <c r="D302" s="222"/>
      <c r="E302" s="222"/>
      <c r="F302" s="222"/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2"/>
      <c r="W302" s="222"/>
      <c r="X302" s="222"/>
      <c r="Y302" s="222"/>
      <c r="Z302" s="222"/>
      <c r="AA302" s="222"/>
      <c r="AB302" s="222"/>
      <c r="AC302" s="222"/>
      <c r="AD302" s="222"/>
      <c r="AE302" s="222"/>
      <c r="AF302" s="222"/>
      <c r="AG302" s="222"/>
      <c r="AH302" s="222"/>
      <c r="AI302" s="222"/>
      <c r="AJ302" s="222"/>
      <c r="AK302" s="222"/>
      <c r="AL302" s="222"/>
      <c r="AM302" s="222"/>
      <c r="AN302" s="222"/>
      <c r="AO302" s="222"/>
    </row>
    <row r="303" spans="1:41">
      <c r="A303" s="222"/>
      <c r="B303" s="222"/>
      <c r="C303" s="222"/>
      <c r="D303" s="222"/>
      <c r="E303" s="222"/>
      <c r="F303" s="222"/>
      <c r="G303" s="222"/>
      <c r="H303" s="222"/>
      <c r="I303" s="222"/>
      <c r="J303" s="222"/>
      <c r="K303" s="222"/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2"/>
      <c r="W303" s="222"/>
      <c r="X303" s="222"/>
      <c r="Y303" s="222"/>
      <c r="Z303" s="222"/>
      <c r="AA303" s="222"/>
      <c r="AB303" s="222"/>
      <c r="AC303" s="222"/>
      <c r="AD303" s="222"/>
      <c r="AE303" s="222"/>
      <c r="AF303" s="222"/>
      <c r="AG303" s="222"/>
      <c r="AH303" s="222"/>
      <c r="AI303" s="222"/>
      <c r="AJ303" s="222"/>
      <c r="AK303" s="222"/>
      <c r="AL303" s="222"/>
      <c r="AM303" s="222"/>
      <c r="AN303" s="222"/>
      <c r="AO303" s="222"/>
    </row>
    <row r="304" spans="1:41">
      <c r="A304" s="222"/>
      <c r="B304" s="222"/>
      <c r="C304" s="222"/>
      <c r="D304" s="222"/>
      <c r="E304" s="222"/>
      <c r="F304" s="222"/>
      <c r="G304" s="222"/>
      <c r="H304" s="222"/>
      <c r="I304" s="222"/>
      <c r="J304" s="222"/>
      <c r="K304" s="222"/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2"/>
      <c r="W304" s="222"/>
      <c r="X304" s="222"/>
      <c r="Y304" s="222"/>
      <c r="Z304" s="222"/>
      <c r="AA304" s="222"/>
      <c r="AB304" s="222"/>
      <c r="AC304" s="222"/>
      <c r="AD304" s="222"/>
      <c r="AE304" s="222"/>
      <c r="AF304" s="222"/>
      <c r="AG304" s="222"/>
      <c r="AH304" s="222"/>
      <c r="AI304" s="222"/>
      <c r="AJ304" s="222"/>
      <c r="AK304" s="222"/>
      <c r="AL304" s="222"/>
      <c r="AM304" s="222"/>
      <c r="AN304" s="222"/>
      <c r="AO304" s="222"/>
    </row>
    <row r="305" spans="1:41">
      <c r="A305" s="222"/>
      <c r="B305" s="222"/>
      <c r="C305" s="222"/>
      <c r="D305" s="222"/>
      <c r="E305" s="222"/>
      <c r="F305" s="222"/>
      <c r="G305" s="222"/>
      <c r="H305" s="222"/>
      <c r="I305" s="222"/>
      <c r="J305" s="222"/>
      <c r="K305" s="222"/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2"/>
      <c r="W305" s="222"/>
      <c r="X305" s="222"/>
      <c r="Y305" s="222"/>
      <c r="Z305" s="222"/>
      <c r="AA305" s="222"/>
      <c r="AB305" s="222"/>
      <c r="AC305" s="222"/>
      <c r="AD305" s="222"/>
      <c r="AE305" s="222"/>
      <c r="AF305" s="222"/>
      <c r="AG305" s="222"/>
      <c r="AH305" s="222"/>
      <c r="AI305" s="222"/>
      <c r="AJ305" s="222"/>
      <c r="AK305" s="222"/>
      <c r="AL305" s="222"/>
      <c r="AM305" s="222"/>
      <c r="AN305" s="222"/>
      <c r="AO305" s="222"/>
    </row>
    <row r="306" spans="1:41">
      <c r="A306" s="222"/>
      <c r="B306" s="222"/>
      <c r="C306" s="222"/>
      <c r="D306" s="222"/>
      <c r="E306" s="222"/>
      <c r="F306" s="222"/>
      <c r="G306" s="222"/>
      <c r="H306" s="222"/>
      <c r="I306" s="222"/>
      <c r="J306" s="222"/>
      <c r="K306" s="222"/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2"/>
      <c r="W306" s="222"/>
      <c r="X306" s="222"/>
      <c r="Y306" s="222"/>
      <c r="Z306" s="222"/>
      <c r="AA306" s="222"/>
      <c r="AB306" s="222"/>
      <c r="AC306" s="222"/>
      <c r="AD306" s="222"/>
      <c r="AE306" s="222"/>
      <c r="AF306" s="222"/>
      <c r="AG306" s="222"/>
      <c r="AH306" s="222"/>
      <c r="AI306" s="222"/>
      <c r="AJ306" s="222"/>
      <c r="AK306" s="222"/>
      <c r="AL306" s="222"/>
      <c r="AM306" s="222"/>
      <c r="AN306" s="222"/>
      <c r="AO306" s="222"/>
    </row>
    <row r="307" spans="1:41">
      <c r="A307" s="222"/>
      <c r="B307" s="222"/>
      <c r="C307" s="222"/>
      <c r="D307" s="222"/>
      <c r="E307" s="222"/>
      <c r="F307" s="222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</row>
    <row r="308" spans="1:41">
      <c r="A308" s="222"/>
      <c r="B308" s="222"/>
      <c r="C308" s="222"/>
      <c r="D308" s="222"/>
      <c r="E308" s="222"/>
      <c r="F308" s="222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</row>
    <row r="309" spans="1:41">
      <c r="A309" s="222"/>
      <c r="B309" s="222"/>
      <c r="C309" s="222"/>
      <c r="D309" s="222"/>
      <c r="E309" s="222"/>
      <c r="F309" s="222"/>
      <c r="G309" s="222"/>
      <c r="H309" s="222"/>
      <c r="I309" s="222"/>
      <c r="J309" s="222"/>
      <c r="K309" s="222"/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2"/>
      <c r="W309" s="222"/>
      <c r="X309" s="222"/>
      <c r="Y309" s="222"/>
      <c r="Z309" s="222"/>
      <c r="AA309" s="222"/>
      <c r="AB309" s="222"/>
      <c r="AC309" s="222"/>
      <c r="AD309" s="222"/>
      <c r="AE309" s="222"/>
      <c r="AF309" s="222"/>
      <c r="AG309" s="222"/>
      <c r="AH309" s="222"/>
      <c r="AI309" s="222"/>
      <c r="AJ309" s="222"/>
      <c r="AK309" s="222"/>
      <c r="AL309" s="222"/>
      <c r="AM309" s="222"/>
      <c r="AN309" s="222"/>
      <c r="AO309" s="222"/>
    </row>
    <row r="310" spans="1:41">
      <c r="A310" s="222"/>
      <c r="B310" s="222"/>
      <c r="C310" s="222"/>
      <c r="D310" s="222"/>
      <c r="E310" s="222"/>
      <c r="F310" s="222"/>
      <c r="G310" s="222"/>
      <c r="H310" s="222"/>
      <c r="I310" s="222"/>
      <c r="J310" s="222"/>
      <c r="K310" s="222"/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2"/>
      <c r="W310" s="222"/>
      <c r="X310" s="222"/>
      <c r="Y310" s="222"/>
      <c r="Z310" s="222"/>
      <c r="AA310" s="222"/>
      <c r="AB310" s="222"/>
      <c r="AC310" s="222"/>
      <c r="AD310" s="222"/>
      <c r="AE310" s="222"/>
      <c r="AF310" s="222"/>
      <c r="AG310" s="222"/>
      <c r="AH310" s="222"/>
      <c r="AI310" s="222"/>
      <c r="AJ310" s="222"/>
      <c r="AK310" s="222"/>
      <c r="AL310" s="222"/>
      <c r="AM310" s="222"/>
      <c r="AN310" s="222"/>
      <c r="AO310" s="222"/>
    </row>
    <row r="311" spans="1:41">
      <c r="A311" s="222"/>
      <c r="B311" s="222"/>
      <c r="C311" s="222"/>
      <c r="D311" s="222"/>
      <c r="E311" s="222"/>
      <c r="F311" s="222"/>
      <c r="G311" s="222"/>
      <c r="H311" s="222"/>
      <c r="I311" s="222"/>
      <c r="J311" s="222"/>
      <c r="K311" s="222"/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2"/>
      <c r="AC311" s="222"/>
      <c r="AD311" s="222"/>
      <c r="AE311" s="222"/>
      <c r="AF311" s="222"/>
      <c r="AG311" s="222"/>
      <c r="AH311" s="222"/>
      <c r="AI311" s="222"/>
      <c r="AJ311" s="222"/>
      <c r="AK311" s="222"/>
      <c r="AL311" s="222"/>
      <c r="AM311" s="222"/>
      <c r="AN311" s="222"/>
      <c r="AO311" s="222"/>
    </row>
    <row r="312" spans="1:41">
      <c r="A312" s="222"/>
      <c r="B312" s="222"/>
      <c r="C312" s="222"/>
      <c r="D312" s="222"/>
      <c r="E312" s="222"/>
      <c r="F312" s="222"/>
      <c r="G312" s="222"/>
      <c r="H312" s="222"/>
      <c r="I312" s="222"/>
      <c r="J312" s="222"/>
      <c r="K312" s="222"/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2"/>
      <c r="AC312" s="222"/>
      <c r="AD312" s="222"/>
      <c r="AE312" s="222"/>
      <c r="AF312" s="222"/>
      <c r="AG312" s="222"/>
      <c r="AH312" s="222"/>
      <c r="AI312" s="222"/>
      <c r="AJ312" s="222"/>
      <c r="AK312" s="222"/>
      <c r="AL312" s="222"/>
      <c r="AM312" s="222"/>
      <c r="AN312" s="222"/>
      <c r="AO312" s="222"/>
    </row>
    <row r="313" spans="1:41">
      <c r="A313" s="222"/>
      <c r="B313" s="222"/>
      <c r="C313" s="222"/>
      <c r="D313" s="222"/>
      <c r="E313" s="222"/>
      <c r="F313" s="222"/>
      <c r="G313" s="222"/>
      <c r="H313" s="222"/>
      <c r="I313" s="222"/>
      <c r="J313" s="222"/>
      <c r="K313" s="222"/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2"/>
      <c r="AC313" s="222"/>
      <c r="AD313" s="222"/>
      <c r="AE313" s="222"/>
      <c r="AF313" s="222"/>
      <c r="AG313" s="222"/>
      <c r="AH313" s="222"/>
      <c r="AI313" s="222"/>
      <c r="AJ313" s="222"/>
      <c r="AK313" s="222"/>
      <c r="AL313" s="222"/>
      <c r="AM313" s="222"/>
      <c r="AN313" s="222"/>
      <c r="AO313" s="222"/>
    </row>
    <row r="314" spans="1:41">
      <c r="A314" s="222"/>
      <c r="B314" s="222"/>
      <c r="C314" s="222"/>
      <c r="D314" s="222"/>
      <c r="E314" s="222"/>
      <c r="F314" s="222"/>
      <c r="G314" s="222"/>
      <c r="H314" s="222"/>
      <c r="I314" s="222"/>
      <c r="J314" s="222"/>
      <c r="K314" s="222"/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2"/>
      <c r="AC314" s="222"/>
      <c r="AD314" s="222"/>
      <c r="AE314" s="222"/>
      <c r="AF314" s="222"/>
      <c r="AG314" s="222"/>
      <c r="AH314" s="222"/>
      <c r="AI314" s="222"/>
      <c r="AJ314" s="222"/>
      <c r="AK314" s="222"/>
      <c r="AL314" s="222"/>
      <c r="AM314" s="222"/>
      <c r="AN314" s="222"/>
      <c r="AO314" s="222"/>
    </row>
    <row r="315" spans="1:41">
      <c r="A315" s="222"/>
      <c r="B315" s="222"/>
      <c r="C315" s="222"/>
      <c r="D315" s="222"/>
      <c r="E315" s="222"/>
      <c r="F315" s="222"/>
      <c r="G315" s="222"/>
      <c r="H315" s="222"/>
      <c r="I315" s="222"/>
      <c r="J315" s="222"/>
      <c r="K315" s="222"/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2"/>
      <c r="AC315" s="222"/>
      <c r="AD315" s="222"/>
      <c r="AE315" s="222"/>
      <c r="AF315" s="222"/>
      <c r="AG315" s="222"/>
      <c r="AH315" s="222"/>
      <c r="AI315" s="222"/>
      <c r="AJ315" s="222"/>
      <c r="AK315" s="222"/>
      <c r="AL315" s="222"/>
      <c r="AM315" s="222"/>
      <c r="AN315" s="222"/>
      <c r="AO315" s="222"/>
    </row>
    <row r="316" spans="1:41">
      <c r="A316" s="222"/>
      <c r="B316" s="222"/>
      <c r="C316" s="222"/>
      <c r="D316" s="222"/>
      <c r="E316" s="222"/>
      <c r="F316" s="222"/>
      <c r="G316" s="222"/>
      <c r="H316" s="222"/>
      <c r="I316" s="222"/>
      <c r="J316" s="222"/>
      <c r="K316" s="222"/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2"/>
      <c r="AC316" s="222"/>
      <c r="AD316" s="222"/>
      <c r="AE316" s="222"/>
      <c r="AF316" s="222"/>
      <c r="AG316" s="222"/>
      <c r="AH316" s="222"/>
      <c r="AI316" s="222"/>
      <c r="AJ316" s="222"/>
      <c r="AK316" s="222"/>
      <c r="AL316" s="222"/>
      <c r="AM316" s="222"/>
      <c r="AN316" s="222"/>
      <c r="AO316" s="222"/>
    </row>
    <row r="317" spans="1:41">
      <c r="A317" s="222"/>
      <c r="B317" s="222"/>
      <c r="C317" s="222"/>
      <c r="D317" s="222"/>
      <c r="E317" s="222"/>
      <c r="F317" s="222"/>
      <c r="G317" s="222"/>
      <c r="H317" s="222"/>
      <c r="I317" s="222"/>
      <c r="J317" s="222"/>
      <c r="K317" s="222"/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2"/>
      <c r="AC317" s="222"/>
      <c r="AD317" s="222"/>
      <c r="AE317" s="222"/>
      <c r="AF317" s="222"/>
      <c r="AG317" s="222"/>
      <c r="AH317" s="222"/>
      <c r="AI317" s="222"/>
      <c r="AJ317" s="222"/>
      <c r="AK317" s="222"/>
      <c r="AL317" s="222"/>
      <c r="AM317" s="222"/>
      <c r="AN317" s="222"/>
      <c r="AO317" s="222"/>
    </row>
    <row r="318" spans="1:41">
      <c r="A318" s="222"/>
      <c r="B318" s="222"/>
      <c r="C318" s="222"/>
      <c r="D318" s="222"/>
      <c r="E318" s="222"/>
      <c r="F318" s="222"/>
      <c r="G318" s="222"/>
      <c r="H318" s="222"/>
      <c r="I318" s="222"/>
      <c r="J318" s="222"/>
      <c r="K318" s="222"/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2"/>
      <c r="AC318" s="222"/>
      <c r="AD318" s="222"/>
      <c r="AE318" s="222"/>
      <c r="AF318" s="222"/>
      <c r="AG318" s="222"/>
      <c r="AH318" s="222"/>
      <c r="AI318" s="222"/>
      <c r="AJ318" s="222"/>
      <c r="AK318" s="222"/>
      <c r="AL318" s="222"/>
      <c r="AM318" s="222"/>
      <c r="AN318" s="222"/>
      <c r="AO318" s="222"/>
    </row>
    <row r="319" spans="1:41">
      <c r="A319" s="222"/>
      <c r="B319" s="222"/>
      <c r="C319" s="222"/>
      <c r="D319" s="222"/>
      <c r="E319" s="222"/>
      <c r="F319" s="222"/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</row>
    <row r="320" spans="1:41">
      <c r="A320" s="222"/>
      <c r="B320" s="222"/>
      <c r="C320" s="222"/>
      <c r="D320" s="222"/>
      <c r="E320" s="222"/>
      <c r="F320" s="222"/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</row>
    <row r="321" spans="1:41">
      <c r="A321" s="222"/>
      <c r="B321" s="222"/>
      <c r="C321" s="222"/>
      <c r="D321" s="222"/>
      <c r="E321" s="222"/>
      <c r="F321" s="222"/>
      <c r="G321" s="222"/>
      <c r="H321" s="222"/>
      <c r="I321" s="222"/>
      <c r="J321" s="222"/>
      <c r="K321" s="222"/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2"/>
      <c r="AC321" s="222"/>
      <c r="AD321" s="222"/>
      <c r="AE321" s="222"/>
      <c r="AF321" s="222"/>
      <c r="AG321" s="222"/>
      <c r="AH321" s="222"/>
      <c r="AI321" s="222"/>
      <c r="AJ321" s="222"/>
      <c r="AK321" s="222"/>
      <c r="AL321" s="222"/>
      <c r="AM321" s="222"/>
      <c r="AN321" s="222"/>
      <c r="AO321" s="222"/>
    </row>
    <row r="322" spans="1:41">
      <c r="A322" s="222"/>
      <c r="B322" s="222"/>
      <c r="C322" s="222"/>
      <c r="D322" s="222"/>
      <c r="E322" s="222"/>
      <c r="F322" s="222"/>
      <c r="G322" s="222"/>
      <c r="H322" s="222"/>
      <c r="I322" s="222"/>
      <c r="J322" s="222"/>
      <c r="K322" s="222"/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2"/>
      <c r="AC322" s="222"/>
      <c r="AD322" s="222"/>
      <c r="AE322" s="222"/>
      <c r="AF322" s="222"/>
      <c r="AG322" s="222"/>
      <c r="AH322" s="222"/>
      <c r="AI322" s="222"/>
      <c r="AJ322" s="222"/>
      <c r="AK322" s="222"/>
      <c r="AL322" s="222"/>
      <c r="AM322" s="222"/>
      <c r="AN322" s="222"/>
      <c r="AO322" s="222"/>
    </row>
    <row r="323" spans="1:41">
      <c r="A323" s="222"/>
      <c r="B323" s="222"/>
      <c r="C323" s="222"/>
      <c r="D323" s="222"/>
      <c r="E323" s="222"/>
      <c r="F323" s="222"/>
      <c r="G323" s="222"/>
      <c r="H323" s="222"/>
      <c r="I323" s="222"/>
      <c r="J323" s="222"/>
      <c r="K323" s="222"/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2"/>
      <c r="W323" s="222"/>
      <c r="X323" s="222"/>
      <c r="Y323" s="222"/>
      <c r="Z323" s="222"/>
      <c r="AA323" s="222"/>
      <c r="AB323" s="222"/>
      <c r="AC323" s="222"/>
      <c r="AD323" s="222"/>
      <c r="AE323" s="222"/>
      <c r="AF323" s="222"/>
      <c r="AG323" s="222"/>
      <c r="AH323" s="222"/>
      <c r="AI323" s="222"/>
      <c r="AJ323" s="222"/>
      <c r="AK323" s="222"/>
      <c r="AL323" s="222"/>
      <c r="AM323" s="222"/>
      <c r="AN323" s="222"/>
      <c r="AO323" s="222"/>
    </row>
    <row r="324" spans="1:41">
      <c r="A324" s="222"/>
      <c r="B324" s="222"/>
      <c r="C324" s="222"/>
      <c r="D324" s="222"/>
      <c r="E324" s="222"/>
      <c r="F324" s="222"/>
      <c r="G324" s="222"/>
      <c r="H324" s="222"/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2"/>
      <c r="W324" s="222"/>
      <c r="X324" s="222"/>
      <c r="Y324" s="222"/>
      <c r="Z324" s="222"/>
      <c r="AA324" s="222"/>
      <c r="AB324" s="222"/>
      <c r="AC324" s="222"/>
      <c r="AD324" s="222"/>
      <c r="AE324" s="222"/>
      <c r="AF324" s="222"/>
      <c r="AG324" s="222"/>
      <c r="AH324" s="222"/>
      <c r="AI324" s="222"/>
      <c r="AJ324" s="222"/>
      <c r="AK324" s="222"/>
      <c r="AL324" s="222"/>
      <c r="AM324" s="222"/>
      <c r="AN324" s="222"/>
      <c r="AO324" s="222"/>
    </row>
    <row r="325" spans="1:41">
      <c r="A325" s="222"/>
      <c r="B325" s="222"/>
      <c r="C325" s="222"/>
      <c r="D325" s="222"/>
      <c r="E325" s="222"/>
      <c r="F325" s="222"/>
      <c r="G325" s="222"/>
      <c r="H325" s="222"/>
      <c r="I325" s="222"/>
      <c r="J325" s="222"/>
      <c r="K325" s="222"/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2"/>
      <c r="W325" s="222"/>
      <c r="X325" s="222"/>
      <c r="Y325" s="222"/>
      <c r="Z325" s="222"/>
      <c r="AA325" s="222"/>
      <c r="AB325" s="222"/>
      <c r="AC325" s="222"/>
      <c r="AD325" s="222"/>
      <c r="AE325" s="222"/>
      <c r="AF325" s="222"/>
      <c r="AG325" s="222"/>
      <c r="AH325" s="222"/>
      <c r="AI325" s="222"/>
      <c r="AJ325" s="222"/>
      <c r="AK325" s="222"/>
      <c r="AL325" s="222"/>
      <c r="AM325" s="222"/>
      <c r="AN325" s="222"/>
      <c r="AO325" s="222"/>
    </row>
    <row r="326" spans="1:41">
      <c r="A326" s="222"/>
      <c r="B326" s="222"/>
      <c r="C326" s="222"/>
      <c r="D326" s="222"/>
      <c r="E326" s="222"/>
      <c r="F326" s="222"/>
      <c r="G326" s="222"/>
      <c r="H326" s="222"/>
      <c r="I326" s="222"/>
      <c r="J326" s="222"/>
      <c r="K326" s="222"/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2"/>
      <c r="W326" s="222"/>
      <c r="X326" s="222"/>
      <c r="Y326" s="222"/>
      <c r="Z326" s="222"/>
      <c r="AA326" s="222"/>
      <c r="AB326" s="222"/>
      <c r="AC326" s="222"/>
      <c r="AD326" s="222"/>
      <c r="AE326" s="222"/>
      <c r="AF326" s="222"/>
      <c r="AG326" s="222"/>
      <c r="AH326" s="222"/>
      <c r="AI326" s="222"/>
      <c r="AJ326" s="222"/>
      <c r="AK326" s="222"/>
      <c r="AL326" s="222"/>
      <c r="AM326" s="222"/>
      <c r="AN326" s="222"/>
      <c r="AO326" s="222"/>
    </row>
    <row r="327" spans="1:41">
      <c r="A327" s="222"/>
      <c r="B327" s="222"/>
      <c r="C327" s="222"/>
      <c r="D327" s="222"/>
      <c r="E327" s="222"/>
      <c r="F327" s="222"/>
      <c r="G327" s="222"/>
      <c r="H327" s="222"/>
      <c r="I327" s="222"/>
      <c r="J327" s="222"/>
      <c r="K327" s="222"/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2"/>
      <c r="W327" s="222"/>
      <c r="X327" s="222"/>
      <c r="Y327" s="222"/>
      <c r="Z327" s="222"/>
      <c r="AA327" s="222"/>
      <c r="AB327" s="222"/>
      <c r="AC327" s="222"/>
      <c r="AD327" s="222"/>
      <c r="AE327" s="222"/>
      <c r="AF327" s="222"/>
      <c r="AG327" s="222"/>
      <c r="AH327" s="222"/>
      <c r="AI327" s="222"/>
      <c r="AJ327" s="222"/>
      <c r="AK327" s="222"/>
      <c r="AL327" s="222"/>
      <c r="AM327" s="222"/>
      <c r="AN327" s="222"/>
      <c r="AO327" s="222"/>
    </row>
    <row r="328" spans="1:41">
      <c r="A328" s="222"/>
      <c r="B328" s="222"/>
      <c r="C328" s="222"/>
      <c r="D328" s="222"/>
      <c r="E328" s="222"/>
      <c r="F328" s="222"/>
      <c r="G328" s="222"/>
      <c r="H328" s="222"/>
      <c r="I328" s="222"/>
      <c r="J328" s="222"/>
      <c r="K328" s="222"/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  <c r="AD328" s="222"/>
      <c r="AE328" s="222"/>
      <c r="AF328" s="222"/>
      <c r="AG328" s="222"/>
      <c r="AH328" s="222"/>
      <c r="AI328" s="222"/>
      <c r="AJ328" s="222"/>
      <c r="AK328" s="222"/>
      <c r="AL328" s="222"/>
      <c r="AM328" s="222"/>
      <c r="AN328" s="222"/>
      <c r="AO328" s="222"/>
    </row>
    <row r="329" spans="1:41">
      <c r="A329" s="222"/>
      <c r="B329" s="222"/>
      <c r="C329" s="222"/>
      <c r="D329" s="222"/>
      <c r="E329" s="222"/>
      <c r="F329" s="222"/>
      <c r="G329" s="222"/>
      <c r="H329" s="222"/>
      <c r="I329" s="222"/>
      <c r="J329" s="222"/>
      <c r="K329" s="222"/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  <c r="AD329" s="222"/>
      <c r="AE329" s="222"/>
      <c r="AF329" s="222"/>
      <c r="AG329" s="222"/>
      <c r="AH329" s="222"/>
      <c r="AI329" s="222"/>
      <c r="AJ329" s="222"/>
      <c r="AK329" s="222"/>
      <c r="AL329" s="222"/>
      <c r="AM329" s="222"/>
      <c r="AN329" s="222"/>
      <c r="AO329" s="222"/>
    </row>
    <row r="330" spans="1:41">
      <c r="A330" s="222"/>
      <c r="B330" s="222"/>
      <c r="C330" s="222"/>
      <c r="D330" s="222"/>
      <c r="E330" s="222"/>
      <c r="F330" s="222"/>
      <c r="G330" s="222"/>
      <c r="H330" s="222"/>
      <c r="I330" s="222"/>
      <c r="J330" s="222"/>
      <c r="K330" s="222"/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2"/>
      <c r="W330" s="222"/>
      <c r="X330" s="222"/>
      <c r="Y330" s="222"/>
      <c r="Z330" s="222"/>
      <c r="AA330" s="222"/>
      <c r="AB330" s="222"/>
      <c r="AC330" s="222"/>
      <c r="AD330" s="222"/>
      <c r="AE330" s="222"/>
      <c r="AF330" s="222"/>
      <c r="AG330" s="222"/>
      <c r="AH330" s="222"/>
      <c r="AI330" s="222"/>
      <c r="AJ330" s="222"/>
      <c r="AK330" s="222"/>
      <c r="AL330" s="222"/>
      <c r="AM330" s="222"/>
      <c r="AN330" s="222"/>
      <c r="AO330" s="222"/>
    </row>
    <row r="331" spans="1:41">
      <c r="A331" s="222"/>
      <c r="B331" s="222"/>
      <c r="C331" s="222"/>
      <c r="D331" s="222"/>
      <c r="E331" s="222"/>
      <c r="F331" s="222"/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</row>
    <row r="332" spans="1:41">
      <c r="A332" s="222"/>
      <c r="B332" s="222"/>
      <c r="C332" s="222"/>
      <c r="D332" s="222"/>
      <c r="E332" s="222"/>
      <c r="F332" s="222"/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</row>
    <row r="333" spans="1:41">
      <c r="A333" s="222"/>
      <c r="B333" s="222"/>
      <c r="C333" s="222"/>
      <c r="D333" s="222"/>
      <c r="E333" s="222"/>
      <c r="F333" s="222"/>
      <c r="G333" s="222"/>
      <c r="H333" s="222"/>
      <c r="I333" s="222"/>
      <c r="J333" s="222"/>
      <c r="K333" s="222"/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2"/>
      <c r="W333" s="222"/>
      <c r="X333" s="222"/>
      <c r="Y333" s="222"/>
      <c r="Z333" s="222"/>
      <c r="AA333" s="222"/>
      <c r="AB333" s="222"/>
      <c r="AC333" s="222"/>
      <c r="AD333" s="222"/>
      <c r="AE333" s="222"/>
      <c r="AF333" s="222"/>
      <c r="AG333" s="222"/>
      <c r="AH333" s="222"/>
      <c r="AI333" s="222"/>
      <c r="AJ333" s="222"/>
      <c r="AK333" s="222"/>
      <c r="AL333" s="222"/>
      <c r="AM333" s="222"/>
      <c r="AN333" s="222"/>
      <c r="AO333" s="222"/>
    </row>
    <row r="334" spans="1:41">
      <c r="A334" s="222"/>
      <c r="B334" s="222"/>
      <c r="C334" s="222"/>
      <c r="D334" s="222"/>
      <c r="E334" s="222"/>
      <c r="F334" s="222"/>
      <c r="G334" s="222"/>
      <c r="H334" s="222"/>
      <c r="I334" s="222"/>
      <c r="J334" s="222"/>
      <c r="K334" s="222"/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2"/>
      <c r="Z334" s="222"/>
      <c r="AA334" s="222"/>
      <c r="AB334" s="222"/>
      <c r="AC334" s="222"/>
      <c r="AD334" s="222"/>
      <c r="AE334" s="222"/>
      <c r="AF334" s="222"/>
      <c r="AG334" s="222"/>
      <c r="AH334" s="222"/>
      <c r="AI334" s="222"/>
      <c r="AJ334" s="222"/>
      <c r="AK334" s="222"/>
      <c r="AL334" s="222"/>
      <c r="AM334" s="222"/>
      <c r="AN334" s="222"/>
      <c r="AO334" s="222"/>
    </row>
    <row r="335" spans="1:41">
      <c r="A335" s="222"/>
      <c r="B335" s="222"/>
      <c r="C335" s="222"/>
      <c r="D335" s="222"/>
      <c r="E335" s="222"/>
      <c r="F335" s="222"/>
      <c r="G335" s="222"/>
      <c r="H335" s="222"/>
      <c r="I335" s="222"/>
      <c r="J335" s="222"/>
      <c r="K335" s="222"/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2"/>
      <c r="Z335" s="222"/>
      <c r="AA335" s="222"/>
      <c r="AB335" s="222"/>
      <c r="AC335" s="222"/>
      <c r="AD335" s="222"/>
      <c r="AE335" s="222"/>
      <c r="AF335" s="222"/>
      <c r="AG335" s="222"/>
      <c r="AH335" s="222"/>
      <c r="AI335" s="222"/>
      <c r="AJ335" s="222"/>
      <c r="AK335" s="222"/>
      <c r="AL335" s="222"/>
      <c r="AM335" s="222"/>
      <c r="AN335" s="222"/>
      <c r="AO335" s="222"/>
    </row>
    <row r="336" spans="1:41">
      <c r="A336" s="222"/>
      <c r="B336" s="222"/>
      <c r="C336" s="222"/>
      <c r="D336" s="222"/>
      <c r="E336" s="222"/>
      <c r="F336" s="222"/>
      <c r="G336" s="222"/>
      <c r="H336" s="222"/>
      <c r="I336" s="222"/>
      <c r="J336" s="222"/>
      <c r="K336" s="222"/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  <c r="AC336" s="222"/>
      <c r="AD336" s="222"/>
      <c r="AE336" s="222"/>
      <c r="AF336" s="222"/>
      <c r="AG336" s="222"/>
      <c r="AH336" s="222"/>
      <c r="AI336" s="222"/>
      <c r="AJ336" s="222"/>
      <c r="AK336" s="222"/>
      <c r="AL336" s="222"/>
      <c r="AM336" s="222"/>
      <c r="AN336" s="222"/>
      <c r="AO336" s="222"/>
    </row>
    <row r="337" spans="1:41">
      <c r="A337" s="222"/>
      <c r="B337" s="222"/>
      <c r="C337" s="222"/>
      <c r="D337" s="222"/>
      <c r="E337" s="222"/>
      <c r="F337" s="222"/>
      <c r="G337" s="222"/>
      <c r="H337" s="222"/>
      <c r="I337" s="222"/>
      <c r="J337" s="222"/>
      <c r="K337" s="222"/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  <c r="AC337" s="222"/>
      <c r="AD337" s="222"/>
      <c r="AE337" s="222"/>
      <c r="AF337" s="222"/>
      <c r="AG337" s="222"/>
      <c r="AH337" s="222"/>
      <c r="AI337" s="222"/>
      <c r="AJ337" s="222"/>
      <c r="AK337" s="222"/>
      <c r="AL337" s="222"/>
      <c r="AM337" s="222"/>
      <c r="AN337" s="222"/>
      <c r="AO337" s="222"/>
    </row>
    <row r="338" spans="1:41">
      <c r="A338" s="222"/>
      <c r="B338" s="222"/>
      <c r="C338" s="222"/>
      <c r="D338" s="222"/>
      <c r="E338" s="222"/>
      <c r="F338" s="222"/>
      <c r="G338" s="222"/>
      <c r="H338" s="222"/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2"/>
      <c r="Z338" s="222"/>
      <c r="AA338" s="222"/>
      <c r="AB338" s="222"/>
      <c r="AC338" s="222"/>
      <c r="AD338" s="222"/>
      <c r="AE338" s="222"/>
      <c r="AF338" s="222"/>
      <c r="AG338" s="222"/>
      <c r="AH338" s="222"/>
      <c r="AI338" s="222"/>
      <c r="AJ338" s="222"/>
      <c r="AK338" s="222"/>
      <c r="AL338" s="222"/>
      <c r="AM338" s="222"/>
      <c r="AN338" s="222"/>
      <c r="AO338" s="222"/>
    </row>
    <row r="339" spans="1:41">
      <c r="A339" s="222"/>
      <c r="B339" s="222"/>
      <c r="C339" s="222"/>
      <c r="D339" s="222"/>
      <c r="E339" s="222"/>
      <c r="F339" s="222"/>
      <c r="G339" s="222"/>
      <c r="H339" s="222"/>
      <c r="I339" s="222"/>
      <c r="J339" s="222"/>
      <c r="K339" s="222"/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2"/>
      <c r="Z339" s="222"/>
      <c r="AA339" s="222"/>
      <c r="AB339" s="222"/>
      <c r="AC339" s="222"/>
      <c r="AD339" s="222"/>
      <c r="AE339" s="222"/>
      <c r="AF339" s="222"/>
      <c r="AG339" s="222"/>
      <c r="AH339" s="222"/>
      <c r="AI339" s="222"/>
      <c r="AJ339" s="222"/>
      <c r="AK339" s="222"/>
      <c r="AL339" s="222"/>
      <c r="AM339" s="222"/>
      <c r="AN339" s="222"/>
      <c r="AO339" s="222"/>
    </row>
    <row r="340" spans="1:41">
      <c r="A340" s="222"/>
      <c r="B340" s="222"/>
      <c r="C340" s="222"/>
      <c r="D340" s="222"/>
      <c r="E340" s="222"/>
      <c r="F340" s="222"/>
      <c r="G340" s="222"/>
      <c r="H340" s="222"/>
      <c r="I340" s="222"/>
      <c r="J340" s="222"/>
      <c r="K340" s="222"/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  <c r="AC340" s="222"/>
      <c r="AD340" s="222"/>
      <c r="AE340" s="222"/>
      <c r="AF340" s="222"/>
      <c r="AG340" s="222"/>
      <c r="AH340" s="222"/>
      <c r="AI340" s="222"/>
      <c r="AJ340" s="222"/>
      <c r="AK340" s="222"/>
      <c r="AL340" s="222"/>
      <c r="AM340" s="222"/>
      <c r="AN340" s="222"/>
      <c r="AO340" s="222"/>
    </row>
    <row r="341" spans="1:41">
      <c r="A341" s="222"/>
      <c r="B341" s="222"/>
      <c r="C341" s="222"/>
      <c r="D341" s="222"/>
      <c r="E341" s="222"/>
      <c r="F341" s="222"/>
      <c r="G341" s="222"/>
      <c r="H341" s="222"/>
      <c r="I341" s="222"/>
      <c r="J341" s="222"/>
      <c r="K341" s="222"/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  <c r="AC341" s="222"/>
      <c r="AD341" s="222"/>
      <c r="AE341" s="222"/>
      <c r="AF341" s="222"/>
      <c r="AG341" s="222"/>
      <c r="AH341" s="222"/>
      <c r="AI341" s="222"/>
      <c r="AJ341" s="222"/>
      <c r="AK341" s="222"/>
      <c r="AL341" s="222"/>
      <c r="AM341" s="222"/>
      <c r="AN341" s="222"/>
      <c r="AO341" s="222"/>
    </row>
    <row r="342" spans="1:41">
      <c r="A342" s="222"/>
      <c r="B342" s="222"/>
      <c r="C342" s="222"/>
      <c r="D342" s="222"/>
      <c r="E342" s="222"/>
      <c r="F342" s="222"/>
      <c r="G342" s="222"/>
      <c r="H342" s="222"/>
      <c r="I342" s="222"/>
      <c r="J342" s="222"/>
      <c r="K342" s="222"/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2"/>
      <c r="Z342" s="222"/>
      <c r="AA342" s="222"/>
      <c r="AB342" s="222"/>
      <c r="AC342" s="222"/>
      <c r="AD342" s="222"/>
      <c r="AE342" s="222"/>
      <c r="AF342" s="222"/>
      <c r="AG342" s="222"/>
      <c r="AH342" s="222"/>
      <c r="AI342" s="222"/>
      <c r="AJ342" s="222"/>
      <c r="AK342" s="222"/>
      <c r="AL342" s="222"/>
      <c r="AM342" s="222"/>
      <c r="AN342" s="222"/>
      <c r="AO342" s="222"/>
    </row>
    <row r="343" spans="1:41">
      <c r="A343" s="222"/>
      <c r="B343" s="222"/>
      <c r="C343" s="222"/>
      <c r="D343" s="222"/>
      <c r="E343" s="222"/>
      <c r="F343" s="222"/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</row>
    <row r="344" spans="1:41">
      <c r="A344" s="222"/>
      <c r="B344" s="222"/>
      <c r="C344" s="222"/>
      <c r="D344" s="222"/>
      <c r="E344" s="222"/>
      <c r="F344" s="222"/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</row>
    <row r="345" spans="1:41">
      <c r="A345" s="222"/>
      <c r="B345" s="222"/>
      <c r="C345" s="222"/>
      <c r="D345" s="222"/>
      <c r="E345" s="222"/>
      <c r="F345" s="222"/>
      <c r="G345" s="222"/>
      <c r="H345" s="222"/>
      <c r="I345" s="222"/>
      <c r="J345" s="222"/>
      <c r="K345" s="222"/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  <c r="AC345" s="222"/>
      <c r="AD345" s="222"/>
      <c r="AE345" s="222"/>
      <c r="AF345" s="222"/>
      <c r="AG345" s="222"/>
      <c r="AH345" s="222"/>
      <c r="AI345" s="222"/>
      <c r="AJ345" s="222"/>
      <c r="AK345" s="222"/>
      <c r="AL345" s="222"/>
      <c r="AM345" s="222"/>
      <c r="AN345" s="222"/>
      <c r="AO345" s="222"/>
    </row>
    <row r="346" spans="1:41">
      <c r="A346" s="222"/>
      <c r="B346" s="222"/>
      <c r="C346" s="222"/>
      <c r="D346" s="222"/>
      <c r="E346" s="222"/>
      <c r="F346" s="222"/>
      <c r="G346" s="222"/>
      <c r="H346" s="222"/>
      <c r="I346" s="222"/>
      <c r="J346" s="222"/>
      <c r="K346" s="222"/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2"/>
      <c r="Z346" s="222"/>
      <c r="AA346" s="222"/>
      <c r="AB346" s="222"/>
      <c r="AC346" s="222"/>
      <c r="AD346" s="222"/>
      <c r="AE346" s="222"/>
      <c r="AF346" s="222"/>
      <c r="AG346" s="222"/>
      <c r="AH346" s="222"/>
      <c r="AI346" s="222"/>
      <c r="AJ346" s="222"/>
      <c r="AK346" s="222"/>
      <c r="AL346" s="222"/>
      <c r="AM346" s="222"/>
      <c r="AN346" s="222"/>
      <c r="AO346" s="222"/>
    </row>
    <row r="347" spans="1:41">
      <c r="A347" s="222"/>
      <c r="B347" s="222"/>
      <c r="C347" s="222"/>
      <c r="D347" s="222"/>
      <c r="E347" s="222"/>
      <c r="F347" s="222"/>
      <c r="G347" s="222"/>
      <c r="H347" s="222"/>
      <c r="I347" s="222"/>
      <c r="J347" s="222"/>
      <c r="K347" s="222"/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2"/>
      <c r="Z347" s="222"/>
      <c r="AA347" s="222"/>
      <c r="AB347" s="222"/>
      <c r="AC347" s="222"/>
      <c r="AD347" s="222"/>
      <c r="AE347" s="222"/>
      <c r="AF347" s="222"/>
      <c r="AG347" s="222"/>
      <c r="AH347" s="222"/>
      <c r="AI347" s="222"/>
      <c r="AJ347" s="222"/>
      <c r="AK347" s="222"/>
      <c r="AL347" s="222"/>
      <c r="AM347" s="222"/>
      <c r="AN347" s="222"/>
      <c r="AO347" s="222"/>
    </row>
    <row r="348" spans="1:41">
      <c r="A348" s="222"/>
      <c r="B348" s="222"/>
      <c r="C348" s="222"/>
      <c r="D348" s="222"/>
      <c r="E348" s="222"/>
      <c r="F348" s="222"/>
      <c r="G348" s="222"/>
      <c r="H348" s="222"/>
      <c r="I348" s="222"/>
      <c r="J348" s="222"/>
      <c r="K348" s="222"/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2"/>
      <c r="Z348" s="222"/>
      <c r="AA348" s="222"/>
      <c r="AB348" s="222"/>
      <c r="AC348" s="222"/>
      <c r="AD348" s="222"/>
      <c r="AE348" s="222"/>
      <c r="AF348" s="222"/>
      <c r="AG348" s="222"/>
      <c r="AH348" s="222"/>
      <c r="AI348" s="222"/>
      <c r="AJ348" s="222"/>
      <c r="AK348" s="222"/>
      <c r="AL348" s="222"/>
      <c r="AM348" s="222"/>
      <c r="AN348" s="222"/>
      <c r="AO348" s="222"/>
    </row>
    <row r="349" spans="1:41">
      <c r="A349" s="222"/>
      <c r="B349" s="222"/>
      <c r="C349" s="222"/>
      <c r="D349" s="222"/>
      <c r="E349" s="222"/>
      <c r="F349" s="222"/>
      <c r="G349" s="222"/>
      <c r="H349" s="222"/>
      <c r="I349" s="222"/>
      <c r="J349" s="222"/>
      <c r="K349" s="222"/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2"/>
      <c r="Z349" s="222"/>
      <c r="AA349" s="222"/>
      <c r="AB349" s="222"/>
      <c r="AC349" s="222"/>
      <c r="AD349" s="222"/>
      <c r="AE349" s="222"/>
      <c r="AF349" s="222"/>
      <c r="AG349" s="222"/>
      <c r="AH349" s="222"/>
      <c r="AI349" s="222"/>
      <c r="AJ349" s="222"/>
      <c r="AK349" s="222"/>
      <c r="AL349" s="222"/>
      <c r="AM349" s="222"/>
      <c r="AN349" s="222"/>
      <c r="AO349" s="222"/>
    </row>
    <row r="350" spans="1:41">
      <c r="A350" s="222"/>
      <c r="B350" s="222"/>
      <c r="C350" s="222"/>
      <c r="D350" s="222"/>
      <c r="E350" s="222"/>
      <c r="F350" s="222"/>
      <c r="G350" s="222"/>
      <c r="H350" s="222"/>
      <c r="I350" s="222"/>
      <c r="J350" s="222"/>
      <c r="K350" s="222"/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2"/>
      <c r="Z350" s="222"/>
      <c r="AA350" s="222"/>
      <c r="AB350" s="222"/>
      <c r="AC350" s="222"/>
      <c r="AD350" s="222"/>
      <c r="AE350" s="222"/>
      <c r="AF350" s="222"/>
      <c r="AG350" s="222"/>
      <c r="AH350" s="222"/>
      <c r="AI350" s="222"/>
      <c r="AJ350" s="222"/>
      <c r="AK350" s="222"/>
      <c r="AL350" s="222"/>
      <c r="AM350" s="222"/>
      <c r="AN350" s="222"/>
      <c r="AO350" s="222"/>
    </row>
    <row r="351" spans="1:41">
      <c r="A351" s="222"/>
      <c r="B351" s="222"/>
      <c r="C351" s="222"/>
      <c r="D351" s="222"/>
      <c r="E351" s="222"/>
      <c r="F351" s="222"/>
      <c r="G351" s="222"/>
      <c r="H351" s="222"/>
      <c r="I351" s="222"/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2"/>
      <c r="AG351" s="222"/>
      <c r="AH351" s="222"/>
      <c r="AI351" s="222"/>
      <c r="AJ351" s="222"/>
      <c r="AK351" s="222"/>
      <c r="AL351" s="222"/>
      <c r="AM351" s="222"/>
      <c r="AN351" s="222"/>
      <c r="AO351" s="222"/>
    </row>
    <row r="352" spans="1:41">
      <c r="A352" s="222"/>
      <c r="B352" s="222"/>
      <c r="C352" s="222"/>
      <c r="D352" s="222"/>
      <c r="E352" s="222"/>
      <c r="F352" s="222"/>
      <c r="G352" s="222"/>
      <c r="H352" s="222"/>
      <c r="I352" s="222"/>
      <c r="J352" s="222"/>
      <c r="K352" s="222"/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2"/>
      <c r="Z352" s="222"/>
      <c r="AA352" s="222"/>
      <c r="AB352" s="222"/>
      <c r="AC352" s="222"/>
      <c r="AD352" s="222"/>
      <c r="AE352" s="222"/>
      <c r="AF352" s="222"/>
      <c r="AG352" s="222"/>
      <c r="AH352" s="222"/>
      <c r="AI352" s="222"/>
      <c r="AJ352" s="222"/>
      <c r="AK352" s="222"/>
      <c r="AL352" s="222"/>
      <c r="AM352" s="222"/>
      <c r="AN352" s="222"/>
      <c r="AO352" s="222"/>
    </row>
    <row r="353" spans="1:41">
      <c r="A353" s="222"/>
      <c r="B353" s="222"/>
      <c r="C353" s="222"/>
      <c r="D353" s="222"/>
      <c r="E353" s="222"/>
      <c r="F353" s="222"/>
      <c r="G353" s="222"/>
      <c r="H353" s="222"/>
      <c r="I353" s="222"/>
      <c r="J353" s="222"/>
      <c r="K353" s="222"/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2"/>
      <c r="Z353" s="222"/>
      <c r="AA353" s="222"/>
      <c r="AB353" s="222"/>
      <c r="AC353" s="222"/>
      <c r="AD353" s="222"/>
      <c r="AE353" s="222"/>
      <c r="AF353" s="222"/>
      <c r="AG353" s="222"/>
      <c r="AH353" s="222"/>
      <c r="AI353" s="222"/>
      <c r="AJ353" s="222"/>
      <c r="AK353" s="222"/>
      <c r="AL353" s="222"/>
      <c r="AM353" s="222"/>
      <c r="AN353" s="222"/>
      <c r="AO353" s="222"/>
    </row>
    <row r="354" spans="1:41">
      <c r="A354" s="222"/>
      <c r="B354" s="222"/>
      <c r="C354" s="222"/>
      <c r="D354" s="222"/>
      <c r="E354" s="222"/>
      <c r="F354" s="222"/>
      <c r="G354" s="222"/>
      <c r="H354" s="222"/>
      <c r="I354" s="222"/>
      <c r="J354" s="222"/>
      <c r="K354" s="222"/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2"/>
      <c r="Z354" s="222"/>
      <c r="AA354" s="222"/>
      <c r="AB354" s="222"/>
      <c r="AC354" s="222"/>
      <c r="AD354" s="222"/>
      <c r="AE354" s="222"/>
      <c r="AF354" s="222"/>
      <c r="AG354" s="222"/>
      <c r="AH354" s="222"/>
      <c r="AI354" s="222"/>
      <c r="AJ354" s="222"/>
      <c r="AK354" s="222"/>
      <c r="AL354" s="222"/>
      <c r="AM354" s="222"/>
      <c r="AN354" s="222"/>
      <c r="AO354" s="222"/>
    </row>
    <row r="355" spans="1:41">
      <c r="A355" s="222"/>
      <c r="B355" s="222"/>
      <c r="C355" s="222"/>
      <c r="D355" s="222"/>
      <c r="E355" s="222"/>
      <c r="F355" s="222"/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</row>
    <row r="356" spans="1:41">
      <c r="A356" s="222"/>
      <c r="B356" s="222"/>
      <c r="C356" s="222"/>
      <c r="D356" s="222"/>
      <c r="E356" s="222"/>
      <c r="F356" s="222"/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</row>
    <row r="357" spans="1:41">
      <c r="A357" s="222"/>
      <c r="B357" s="222"/>
      <c r="C357" s="222"/>
      <c r="D357" s="222"/>
      <c r="E357" s="222"/>
      <c r="F357" s="222"/>
      <c r="G357" s="222"/>
      <c r="H357" s="222"/>
      <c r="I357" s="222"/>
      <c r="J357" s="222"/>
      <c r="K357" s="222"/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2"/>
      <c r="Z357" s="222"/>
      <c r="AA357" s="222"/>
      <c r="AB357" s="222"/>
      <c r="AC357" s="222"/>
      <c r="AD357" s="222"/>
      <c r="AE357" s="222"/>
      <c r="AF357" s="222"/>
      <c r="AG357" s="222"/>
      <c r="AH357" s="222"/>
      <c r="AI357" s="222"/>
      <c r="AJ357" s="222"/>
      <c r="AK357" s="222"/>
      <c r="AL357" s="222"/>
      <c r="AM357" s="222"/>
      <c r="AN357" s="222"/>
      <c r="AO357" s="222"/>
    </row>
    <row r="358" spans="1:41">
      <c r="A358" s="222"/>
      <c r="B358" s="222"/>
      <c r="C358" s="222"/>
      <c r="D358" s="222"/>
      <c r="E358" s="222"/>
      <c r="F358" s="222"/>
      <c r="G358" s="222"/>
      <c r="H358" s="222"/>
      <c r="I358" s="222"/>
      <c r="J358" s="222"/>
      <c r="K358" s="222"/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2"/>
      <c r="Z358" s="222"/>
      <c r="AA358" s="222"/>
      <c r="AB358" s="222"/>
      <c r="AC358" s="222"/>
      <c r="AD358" s="222"/>
      <c r="AE358" s="222"/>
      <c r="AF358" s="222"/>
      <c r="AG358" s="222"/>
      <c r="AH358" s="222"/>
      <c r="AI358" s="222"/>
      <c r="AJ358" s="222"/>
      <c r="AK358" s="222"/>
      <c r="AL358" s="222"/>
      <c r="AM358" s="222"/>
      <c r="AN358" s="222"/>
      <c r="AO358" s="222"/>
    </row>
    <row r="359" spans="1:41">
      <c r="A359" s="222"/>
      <c r="B359" s="222"/>
      <c r="C359" s="222"/>
      <c r="D359" s="222"/>
      <c r="E359" s="222"/>
      <c r="F359" s="222"/>
      <c r="G359" s="222"/>
      <c r="H359" s="222"/>
      <c r="I359" s="222"/>
      <c r="J359" s="222"/>
      <c r="K359" s="222"/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2"/>
      <c r="Z359" s="222"/>
      <c r="AA359" s="222"/>
      <c r="AB359" s="222"/>
      <c r="AC359" s="222"/>
      <c r="AD359" s="222"/>
      <c r="AE359" s="222"/>
      <c r="AF359" s="222"/>
      <c r="AG359" s="222"/>
      <c r="AH359" s="222"/>
      <c r="AI359" s="222"/>
      <c r="AJ359" s="222"/>
      <c r="AK359" s="222"/>
      <c r="AL359" s="222"/>
      <c r="AM359" s="222"/>
      <c r="AN359" s="222"/>
      <c r="AO359" s="222"/>
    </row>
    <row r="360" spans="1:41">
      <c r="A360" s="222"/>
      <c r="B360" s="222"/>
      <c r="C360" s="222"/>
      <c r="D360" s="222"/>
      <c r="E360" s="222"/>
      <c r="F360" s="222"/>
      <c r="G360" s="222"/>
      <c r="H360" s="222"/>
      <c r="I360" s="222"/>
      <c r="J360" s="222"/>
      <c r="K360" s="222"/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2"/>
      <c r="Z360" s="222"/>
      <c r="AA360" s="222"/>
      <c r="AB360" s="222"/>
      <c r="AC360" s="222"/>
      <c r="AD360" s="222"/>
      <c r="AE360" s="222"/>
      <c r="AF360" s="222"/>
      <c r="AG360" s="222"/>
      <c r="AH360" s="222"/>
      <c r="AI360" s="222"/>
      <c r="AJ360" s="222"/>
      <c r="AK360" s="222"/>
      <c r="AL360" s="222"/>
      <c r="AM360" s="222"/>
      <c r="AN360" s="222"/>
      <c r="AO360" s="222"/>
    </row>
    <row r="361" spans="1:41">
      <c r="A361" s="222"/>
      <c r="B361" s="222"/>
      <c r="C361" s="222"/>
      <c r="D361" s="222"/>
      <c r="E361" s="222"/>
      <c r="F361" s="222"/>
      <c r="G361" s="222"/>
      <c r="H361" s="222"/>
      <c r="I361" s="222"/>
      <c r="J361" s="222"/>
      <c r="K361" s="222"/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2"/>
      <c r="Z361" s="222"/>
      <c r="AA361" s="222"/>
      <c r="AB361" s="222"/>
      <c r="AC361" s="222"/>
      <c r="AD361" s="222"/>
      <c r="AE361" s="222"/>
      <c r="AF361" s="222"/>
      <c r="AG361" s="222"/>
      <c r="AH361" s="222"/>
      <c r="AI361" s="222"/>
      <c r="AJ361" s="222"/>
      <c r="AK361" s="222"/>
      <c r="AL361" s="222"/>
      <c r="AM361" s="222"/>
      <c r="AN361" s="222"/>
      <c r="AO361" s="222"/>
    </row>
    <row r="362" spans="1:41">
      <c r="A362" s="222"/>
      <c r="B362" s="222"/>
      <c r="C362" s="222"/>
      <c r="D362" s="222"/>
      <c r="E362" s="222"/>
      <c r="F362" s="222"/>
      <c r="G362" s="222"/>
      <c r="H362" s="222"/>
      <c r="I362" s="222"/>
      <c r="J362" s="222"/>
      <c r="K362" s="222"/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2"/>
      <c r="Z362" s="222"/>
      <c r="AA362" s="222"/>
      <c r="AB362" s="222"/>
      <c r="AC362" s="222"/>
      <c r="AD362" s="222"/>
      <c r="AE362" s="222"/>
      <c r="AF362" s="222"/>
      <c r="AG362" s="222"/>
      <c r="AH362" s="222"/>
      <c r="AI362" s="222"/>
      <c r="AJ362" s="222"/>
      <c r="AK362" s="222"/>
      <c r="AL362" s="222"/>
      <c r="AM362" s="222"/>
      <c r="AN362" s="222"/>
      <c r="AO362" s="222"/>
    </row>
    <row r="363" spans="1:41">
      <c r="A363" s="222"/>
      <c r="B363" s="222"/>
      <c r="C363" s="222"/>
      <c r="D363" s="222"/>
      <c r="E363" s="222"/>
      <c r="F363" s="222"/>
      <c r="G363" s="222"/>
      <c r="H363" s="222"/>
      <c r="I363" s="222"/>
      <c r="J363" s="222"/>
      <c r="K363" s="222"/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2"/>
      <c r="Z363" s="222"/>
      <c r="AA363" s="222"/>
      <c r="AB363" s="222"/>
      <c r="AC363" s="222"/>
      <c r="AD363" s="222"/>
      <c r="AE363" s="222"/>
      <c r="AF363" s="222"/>
      <c r="AG363" s="222"/>
      <c r="AH363" s="222"/>
      <c r="AI363" s="222"/>
      <c r="AJ363" s="222"/>
      <c r="AK363" s="222"/>
      <c r="AL363" s="222"/>
      <c r="AM363" s="222"/>
      <c r="AN363" s="222"/>
      <c r="AO363" s="222"/>
    </row>
    <row r="364" spans="1:41">
      <c r="A364" s="222"/>
      <c r="B364" s="222"/>
      <c r="C364" s="222"/>
      <c r="D364" s="222"/>
      <c r="E364" s="222"/>
      <c r="F364" s="222"/>
      <c r="G364" s="222"/>
      <c r="H364" s="222"/>
      <c r="I364" s="222"/>
      <c r="J364" s="222"/>
      <c r="K364" s="222"/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2"/>
      <c r="Z364" s="222"/>
      <c r="AA364" s="222"/>
      <c r="AB364" s="222"/>
      <c r="AC364" s="222"/>
      <c r="AD364" s="222"/>
      <c r="AE364" s="222"/>
      <c r="AF364" s="222"/>
      <c r="AG364" s="222"/>
      <c r="AH364" s="222"/>
      <c r="AI364" s="222"/>
      <c r="AJ364" s="222"/>
      <c r="AK364" s="222"/>
      <c r="AL364" s="222"/>
      <c r="AM364" s="222"/>
      <c r="AN364" s="222"/>
      <c r="AO364" s="222"/>
    </row>
    <row r="365" spans="1:41">
      <c r="A365" s="222"/>
      <c r="B365" s="222"/>
      <c r="C365" s="222"/>
      <c r="D365" s="222"/>
      <c r="E365" s="222"/>
      <c r="F365" s="222"/>
      <c r="G365" s="222"/>
      <c r="H365" s="222"/>
      <c r="I365" s="222"/>
      <c r="J365" s="222"/>
      <c r="K365" s="222"/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2"/>
      <c r="Z365" s="222"/>
      <c r="AA365" s="222"/>
      <c r="AB365" s="222"/>
      <c r="AC365" s="222"/>
      <c r="AD365" s="222"/>
      <c r="AE365" s="222"/>
      <c r="AF365" s="222"/>
      <c r="AG365" s="222"/>
      <c r="AH365" s="222"/>
      <c r="AI365" s="222"/>
      <c r="AJ365" s="222"/>
      <c r="AK365" s="222"/>
      <c r="AL365" s="222"/>
      <c r="AM365" s="222"/>
      <c r="AN365" s="222"/>
      <c r="AO365" s="222"/>
    </row>
    <row r="366" spans="1:41">
      <c r="A366" s="222"/>
      <c r="B366" s="222"/>
      <c r="C366" s="222"/>
      <c r="D366" s="222"/>
      <c r="E366" s="222"/>
      <c r="F366" s="222"/>
      <c r="G366" s="222"/>
      <c r="H366" s="222"/>
      <c r="I366" s="222"/>
      <c r="J366" s="222"/>
      <c r="K366" s="222"/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2"/>
      <c r="Z366" s="222"/>
      <c r="AA366" s="222"/>
      <c r="AB366" s="222"/>
      <c r="AC366" s="222"/>
      <c r="AD366" s="222"/>
      <c r="AE366" s="222"/>
      <c r="AF366" s="222"/>
      <c r="AG366" s="222"/>
      <c r="AH366" s="222"/>
      <c r="AI366" s="222"/>
      <c r="AJ366" s="222"/>
      <c r="AK366" s="222"/>
      <c r="AL366" s="222"/>
      <c r="AM366" s="222"/>
      <c r="AN366" s="222"/>
      <c r="AO366" s="222"/>
    </row>
    <row r="367" spans="1:41">
      <c r="A367" s="222"/>
      <c r="B367" s="222"/>
      <c r="C367" s="222"/>
      <c r="D367" s="222"/>
      <c r="E367" s="222"/>
      <c r="F367" s="222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</row>
    <row r="368" spans="1:41">
      <c r="A368" s="222"/>
      <c r="B368" s="222"/>
      <c r="C368" s="222"/>
      <c r="D368" s="222"/>
      <c r="E368" s="222"/>
      <c r="F368" s="222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</row>
    <row r="369" spans="1:41">
      <c r="A369" s="222"/>
      <c r="B369" s="222"/>
      <c r="C369" s="222"/>
      <c r="D369" s="222"/>
      <c r="E369" s="222"/>
      <c r="F369" s="222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2"/>
      <c r="Z369" s="222"/>
      <c r="AA369" s="222"/>
      <c r="AB369" s="222"/>
      <c r="AC369" s="222"/>
      <c r="AD369" s="222"/>
      <c r="AE369" s="222"/>
      <c r="AF369" s="222"/>
      <c r="AG369" s="222"/>
      <c r="AH369" s="222"/>
      <c r="AI369" s="222"/>
      <c r="AJ369" s="222"/>
      <c r="AK369" s="222"/>
      <c r="AL369" s="222"/>
      <c r="AM369" s="222"/>
      <c r="AN369" s="222"/>
      <c r="AO369" s="222"/>
    </row>
    <row r="370" spans="1:41">
      <c r="A370" s="222"/>
      <c r="B370" s="222"/>
      <c r="C370" s="222"/>
      <c r="D370" s="222"/>
      <c r="E370" s="222"/>
      <c r="F370" s="222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2"/>
      <c r="Z370" s="222"/>
      <c r="AA370" s="222"/>
      <c r="AB370" s="222"/>
      <c r="AC370" s="222"/>
      <c r="AD370" s="222"/>
      <c r="AE370" s="222"/>
      <c r="AF370" s="222"/>
      <c r="AG370" s="222"/>
      <c r="AH370" s="222"/>
      <c r="AI370" s="222"/>
      <c r="AJ370" s="222"/>
      <c r="AK370" s="222"/>
      <c r="AL370" s="222"/>
      <c r="AM370" s="222"/>
      <c r="AN370" s="222"/>
      <c r="AO370" s="222"/>
    </row>
    <row r="371" spans="1:41">
      <c r="A371" s="222"/>
      <c r="B371" s="222"/>
      <c r="C371" s="222"/>
      <c r="D371" s="222"/>
      <c r="E371" s="222"/>
      <c r="F371" s="222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2"/>
      <c r="Z371" s="222"/>
      <c r="AA371" s="222"/>
      <c r="AB371" s="222"/>
      <c r="AC371" s="222"/>
      <c r="AD371" s="222"/>
      <c r="AE371" s="222"/>
      <c r="AF371" s="222"/>
      <c r="AG371" s="222"/>
      <c r="AH371" s="222"/>
      <c r="AI371" s="222"/>
      <c r="AJ371" s="222"/>
      <c r="AK371" s="222"/>
      <c r="AL371" s="222"/>
      <c r="AM371" s="222"/>
      <c r="AN371" s="222"/>
      <c r="AO371" s="222"/>
    </row>
    <row r="372" spans="1:41">
      <c r="A372" s="222"/>
      <c r="B372" s="222"/>
      <c r="C372" s="222"/>
      <c r="D372" s="222"/>
      <c r="E372" s="222"/>
      <c r="F372" s="222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2"/>
      <c r="Z372" s="222"/>
      <c r="AA372" s="222"/>
      <c r="AB372" s="222"/>
      <c r="AC372" s="222"/>
      <c r="AD372" s="222"/>
      <c r="AE372" s="222"/>
      <c r="AF372" s="222"/>
      <c r="AG372" s="222"/>
      <c r="AH372" s="222"/>
      <c r="AI372" s="222"/>
      <c r="AJ372" s="222"/>
      <c r="AK372" s="222"/>
      <c r="AL372" s="222"/>
      <c r="AM372" s="222"/>
      <c r="AN372" s="222"/>
      <c r="AO372" s="222"/>
    </row>
    <row r="373" spans="1:41">
      <c r="A373" s="222"/>
      <c r="B373" s="222"/>
      <c r="C373" s="222"/>
      <c r="D373" s="222"/>
      <c r="E373" s="222"/>
      <c r="F373" s="222"/>
      <c r="G373" s="222"/>
      <c r="H373" s="222"/>
      <c r="I373" s="222"/>
      <c r="J373" s="222"/>
      <c r="K373" s="222"/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2"/>
      <c r="Z373" s="222"/>
      <c r="AA373" s="222"/>
      <c r="AB373" s="222"/>
      <c r="AC373" s="222"/>
      <c r="AD373" s="222"/>
      <c r="AE373" s="222"/>
      <c r="AF373" s="222"/>
      <c r="AG373" s="222"/>
      <c r="AH373" s="222"/>
      <c r="AI373" s="222"/>
      <c r="AJ373" s="222"/>
      <c r="AK373" s="222"/>
      <c r="AL373" s="222"/>
      <c r="AM373" s="222"/>
      <c r="AN373" s="222"/>
      <c r="AO373" s="222"/>
    </row>
    <row r="374" spans="1:41">
      <c r="A374" s="222"/>
      <c r="B374" s="222"/>
      <c r="C374" s="222"/>
      <c r="D374" s="222"/>
      <c r="E374" s="222"/>
      <c r="F374" s="222"/>
      <c r="G374" s="222"/>
      <c r="H374" s="222"/>
      <c r="I374" s="222"/>
      <c r="J374" s="222"/>
      <c r="K374" s="222"/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2"/>
      <c r="Z374" s="222"/>
      <c r="AA374" s="222"/>
      <c r="AB374" s="222"/>
      <c r="AC374" s="222"/>
      <c r="AD374" s="222"/>
      <c r="AE374" s="222"/>
      <c r="AF374" s="222"/>
      <c r="AG374" s="222"/>
      <c r="AH374" s="222"/>
      <c r="AI374" s="222"/>
      <c r="AJ374" s="222"/>
      <c r="AK374" s="222"/>
      <c r="AL374" s="222"/>
      <c r="AM374" s="222"/>
      <c r="AN374" s="222"/>
      <c r="AO374" s="222"/>
    </row>
    <row r="375" spans="1:41">
      <c r="A375" s="222"/>
      <c r="B375" s="222"/>
      <c r="C375" s="222"/>
      <c r="D375" s="222"/>
      <c r="E375" s="222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2"/>
      <c r="Z375" s="222"/>
      <c r="AA375" s="222"/>
      <c r="AB375" s="222"/>
      <c r="AC375" s="222"/>
      <c r="AD375" s="222"/>
      <c r="AE375" s="222"/>
      <c r="AF375" s="222"/>
      <c r="AG375" s="222"/>
      <c r="AH375" s="222"/>
      <c r="AI375" s="222"/>
      <c r="AJ375" s="222"/>
      <c r="AK375" s="222"/>
      <c r="AL375" s="222"/>
      <c r="AM375" s="222"/>
      <c r="AN375" s="222"/>
      <c r="AO375" s="222"/>
    </row>
    <row r="376" spans="1:41">
      <c r="A376" s="222"/>
      <c r="B376" s="222"/>
      <c r="C376" s="222"/>
      <c r="D376" s="222"/>
      <c r="E376" s="222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2"/>
      <c r="Z376" s="222"/>
      <c r="AA376" s="222"/>
      <c r="AB376" s="222"/>
      <c r="AC376" s="222"/>
      <c r="AD376" s="222"/>
      <c r="AE376" s="222"/>
      <c r="AF376" s="222"/>
      <c r="AG376" s="222"/>
      <c r="AH376" s="222"/>
      <c r="AI376" s="222"/>
      <c r="AJ376" s="222"/>
      <c r="AK376" s="222"/>
      <c r="AL376" s="222"/>
      <c r="AM376" s="222"/>
      <c r="AN376" s="222"/>
      <c r="AO376" s="222"/>
    </row>
    <row r="377" spans="1:41">
      <c r="A377" s="222"/>
      <c r="B377" s="222"/>
      <c r="C377" s="222"/>
      <c r="D377" s="222"/>
      <c r="E377" s="222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2"/>
      <c r="Z377" s="222"/>
      <c r="AA377" s="222"/>
      <c r="AB377" s="222"/>
      <c r="AC377" s="222"/>
      <c r="AD377" s="222"/>
      <c r="AE377" s="222"/>
      <c r="AF377" s="222"/>
      <c r="AG377" s="222"/>
      <c r="AH377" s="222"/>
      <c r="AI377" s="222"/>
      <c r="AJ377" s="222"/>
      <c r="AK377" s="222"/>
      <c r="AL377" s="222"/>
      <c r="AM377" s="222"/>
      <c r="AN377" s="222"/>
      <c r="AO377" s="222"/>
    </row>
    <row r="378" spans="1:41">
      <c r="A378" s="222"/>
      <c r="B378" s="222"/>
      <c r="C378" s="222"/>
      <c r="D378" s="222"/>
      <c r="E378" s="222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2"/>
      <c r="Z378" s="222"/>
      <c r="AA378" s="222"/>
      <c r="AB378" s="222"/>
      <c r="AC378" s="222"/>
      <c r="AD378" s="222"/>
      <c r="AE378" s="222"/>
      <c r="AF378" s="222"/>
      <c r="AG378" s="222"/>
      <c r="AH378" s="222"/>
      <c r="AI378" s="222"/>
      <c r="AJ378" s="222"/>
      <c r="AK378" s="222"/>
      <c r="AL378" s="222"/>
      <c r="AM378" s="222"/>
      <c r="AN378" s="222"/>
      <c r="AO378" s="222"/>
    </row>
    <row r="379" spans="1:41">
      <c r="A379" s="222"/>
      <c r="B379" s="222"/>
      <c r="C379" s="222"/>
      <c r="D379" s="222"/>
      <c r="E379" s="222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</row>
    <row r="380" spans="1:41">
      <c r="A380" s="222"/>
      <c r="B380" s="222"/>
      <c r="C380" s="222"/>
      <c r="D380" s="222"/>
      <c r="E380" s="222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</row>
    <row r="381" spans="1:41">
      <c r="A381" s="222"/>
      <c r="B381" s="222"/>
      <c r="C381" s="222"/>
      <c r="D381" s="222"/>
      <c r="E381" s="222"/>
      <c r="F381" s="222"/>
      <c r="G381" s="222"/>
      <c r="H381" s="222"/>
      <c r="I381" s="222"/>
      <c r="J381" s="222"/>
      <c r="K381" s="222"/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2"/>
      <c r="Z381" s="222"/>
      <c r="AA381" s="222"/>
      <c r="AB381" s="222"/>
      <c r="AC381" s="222"/>
      <c r="AD381" s="222"/>
      <c r="AE381" s="222"/>
      <c r="AF381" s="222"/>
      <c r="AG381" s="222"/>
      <c r="AH381" s="222"/>
      <c r="AI381" s="222"/>
      <c r="AJ381" s="222"/>
      <c r="AK381" s="222"/>
      <c r="AL381" s="222"/>
      <c r="AM381" s="222"/>
      <c r="AN381" s="222"/>
      <c r="AO381" s="222"/>
    </row>
    <row r="382" spans="1:41">
      <c r="A382" s="222"/>
      <c r="B382" s="222"/>
      <c r="C382" s="222"/>
      <c r="D382" s="222"/>
      <c r="E382" s="222"/>
      <c r="F382" s="222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2"/>
      <c r="AG382" s="222"/>
      <c r="AH382" s="222"/>
      <c r="AI382" s="222"/>
      <c r="AJ382" s="222"/>
      <c r="AK382" s="222"/>
      <c r="AL382" s="222"/>
      <c r="AM382" s="222"/>
      <c r="AN382" s="222"/>
      <c r="AO382" s="222"/>
    </row>
    <row r="383" spans="1:41">
      <c r="A383" s="222"/>
      <c r="B383" s="222"/>
      <c r="C383" s="222"/>
      <c r="D383" s="222"/>
      <c r="E383" s="222"/>
      <c r="F383" s="222"/>
      <c r="G383" s="222"/>
      <c r="H383" s="222"/>
      <c r="I383" s="222"/>
      <c r="J383" s="222"/>
      <c r="K383" s="222"/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2"/>
      <c r="Z383" s="222"/>
      <c r="AA383" s="222"/>
      <c r="AB383" s="222"/>
      <c r="AC383" s="222"/>
      <c r="AD383" s="222"/>
      <c r="AE383" s="222"/>
      <c r="AF383" s="222"/>
      <c r="AG383" s="222"/>
      <c r="AH383" s="222"/>
      <c r="AI383" s="222"/>
      <c r="AJ383" s="222"/>
      <c r="AK383" s="222"/>
      <c r="AL383" s="222"/>
      <c r="AM383" s="222"/>
      <c r="AN383" s="222"/>
      <c r="AO383" s="222"/>
    </row>
    <row r="384" spans="1:41">
      <c r="A384" s="222"/>
      <c r="B384" s="222"/>
      <c r="C384" s="222"/>
      <c r="D384" s="222"/>
      <c r="E384" s="222"/>
      <c r="F384" s="222"/>
      <c r="G384" s="222"/>
      <c r="H384" s="222"/>
      <c r="I384" s="222"/>
      <c r="J384" s="222"/>
      <c r="K384" s="222"/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2"/>
      <c r="Z384" s="222"/>
      <c r="AA384" s="222"/>
      <c r="AB384" s="222"/>
      <c r="AC384" s="222"/>
      <c r="AD384" s="222"/>
      <c r="AE384" s="222"/>
      <c r="AF384" s="222"/>
      <c r="AG384" s="222"/>
      <c r="AH384" s="222"/>
      <c r="AI384" s="222"/>
      <c r="AJ384" s="222"/>
      <c r="AK384" s="222"/>
      <c r="AL384" s="222"/>
      <c r="AM384" s="222"/>
      <c r="AN384" s="222"/>
      <c r="AO384" s="222"/>
    </row>
    <row r="385" spans="1:41">
      <c r="A385" s="222"/>
      <c r="B385" s="222"/>
      <c r="C385" s="222"/>
      <c r="D385" s="222"/>
      <c r="E385" s="222"/>
      <c r="F385" s="222"/>
      <c r="G385" s="222"/>
      <c r="H385" s="222"/>
      <c r="I385" s="222"/>
      <c r="J385" s="222"/>
      <c r="K385" s="222"/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2"/>
      <c r="Z385" s="222"/>
      <c r="AA385" s="222"/>
      <c r="AB385" s="222"/>
      <c r="AC385" s="222"/>
      <c r="AD385" s="222"/>
      <c r="AE385" s="222"/>
      <c r="AF385" s="222"/>
      <c r="AG385" s="222"/>
      <c r="AH385" s="222"/>
      <c r="AI385" s="222"/>
      <c r="AJ385" s="222"/>
      <c r="AK385" s="222"/>
      <c r="AL385" s="222"/>
      <c r="AM385" s="222"/>
      <c r="AN385" s="222"/>
      <c r="AO385" s="222"/>
    </row>
    <row r="386" spans="1:41">
      <c r="A386" s="222"/>
      <c r="B386" s="222"/>
      <c r="C386" s="222"/>
      <c r="D386" s="222"/>
      <c r="E386" s="222"/>
      <c r="F386" s="222"/>
      <c r="G386" s="222"/>
      <c r="H386" s="222"/>
      <c r="I386" s="222"/>
      <c r="J386" s="222"/>
      <c r="K386" s="222"/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2"/>
      <c r="Z386" s="222"/>
      <c r="AA386" s="222"/>
      <c r="AB386" s="222"/>
      <c r="AC386" s="222"/>
      <c r="AD386" s="222"/>
      <c r="AE386" s="222"/>
      <c r="AF386" s="222"/>
      <c r="AG386" s="222"/>
      <c r="AH386" s="222"/>
      <c r="AI386" s="222"/>
      <c r="AJ386" s="222"/>
      <c r="AK386" s="222"/>
      <c r="AL386" s="222"/>
      <c r="AM386" s="222"/>
      <c r="AN386" s="222"/>
      <c r="AO386" s="222"/>
    </row>
    <row r="387" spans="1:41">
      <c r="A387" s="222"/>
      <c r="B387" s="222"/>
      <c r="C387" s="222"/>
      <c r="D387" s="222"/>
      <c r="E387" s="222"/>
      <c r="F387" s="222"/>
      <c r="G387" s="222"/>
      <c r="H387" s="222"/>
      <c r="I387" s="222"/>
      <c r="J387" s="222"/>
      <c r="K387" s="222"/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2"/>
      <c r="Z387" s="222"/>
      <c r="AA387" s="222"/>
      <c r="AB387" s="222"/>
      <c r="AC387" s="222"/>
      <c r="AD387" s="222"/>
      <c r="AE387" s="222"/>
      <c r="AF387" s="222"/>
      <c r="AG387" s="222"/>
      <c r="AH387" s="222"/>
      <c r="AI387" s="222"/>
      <c r="AJ387" s="222"/>
      <c r="AK387" s="222"/>
      <c r="AL387" s="222"/>
      <c r="AM387" s="222"/>
      <c r="AN387" s="222"/>
      <c r="AO387" s="222"/>
    </row>
    <row r="388" spans="1:41">
      <c r="A388" s="222"/>
      <c r="B388" s="222"/>
      <c r="C388" s="222"/>
      <c r="D388" s="222"/>
      <c r="E388" s="222"/>
      <c r="F388" s="222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2"/>
      <c r="AG388" s="222"/>
      <c r="AH388" s="222"/>
      <c r="AI388" s="222"/>
      <c r="AJ388" s="222"/>
      <c r="AK388" s="222"/>
      <c r="AL388" s="222"/>
      <c r="AM388" s="222"/>
      <c r="AN388" s="222"/>
      <c r="AO388" s="222"/>
    </row>
    <row r="389" spans="1:41">
      <c r="A389" s="222"/>
      <c r="B389" s="222"/>
      <c r="C389" s="222"/>
      <c r="D389" s="222"/>
      <c r="E389" s="222"/>
      <c r="F389" s="222"/>
      <c r="G389" s="222"/>
      <c r="H389" s="222"/>
      <c r="I389" s="222"/>
      <c r="J389" s="222"/>
      <c r="K389" s="222"/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2"/>
      <c r="Z389" s="222"/>
      <c r="AA389" s="222"/>
      <c r="AB389" s="222"/>
      <c r="AC389" s="222"/>
      <c r="AD389" s="222"/>
      <c r="AE389" s="222"/>
      <c r="AF389" s="222"/>
      <c r="AG389" s="222"/>
      <c r="AH389" s="222"/>
      <c r="AI389" s="222"/>
      <c r="AJ389" s="222"/>
      <c r="AK389" s="222"/>
      <c r="AL389" s="222"/>
      <c r="AM389" s="222"/>
      <c r="AN389" s="222"/>
      <c r="AO389" s="222"/>
    </row>
    <row r="390" spans="1:41">
      <c r="A390" s="222"/>
      <c r="B390" s="222"/>
      <c r="C390" s="222"/>
      <c r="D390" s="222"/>
      <c r="E390" s="222"/>
      <c r="F390" s="222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2"/>
      <c r="AG390" s="222"/>
      <c r="AH390" s="222"/>
      <c r="AI390" s="222"/>
      <c r="AJ390" s="222"/>
      <c r="AK390" s="222"/>
      <c r="AL390" s="222"/>
      <c r="AM390" s="222"/>
      <c r="AN390" s="222"/>
      <c r="AO390" s="222"/>
    </row>
    <row r="391" spans="1:41">
      <c r="A391" s="222"/>
      <c r="B391" s="222"/>
      <c r="C391" s="222"/>
      <c r="D391" s="222"/>
      <c r="E391" s="222"/>
      <c r="F391" s="222"/>
      <c r="G391" s="222"/>
      <c r="H391" s="222"/>
      <c r="I391" s="222"/>
      <c r="J391" s="222"/>
      <c r="K391" s="222"/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</row>
    <row r="392" spans="1:41">
      <c r="A392" s="222"/>
      <c r="B392" s="222"/>
      <c r="C392" s="222"/>
      <c r="D392" s="222"/>
      <c r="E392" s="222"/>
      <c r="F392" s="222"/>
      <c r="G392" s="222"/>
      <c r="H392" s="222"/>
      <c r="I392" s="222"/>
      <c r="J392" s="222"/>
      <c r="K392" s="222"/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</row>
    <row r="393" spans="1:41">
      <c r="A393" s="222"/>
      <c r="B393" s="222"/>
      <c r="C393" s="222"/>
      <c r="D393" s="222"/>
      <c r="E393" s="222"/>
      <c r="F393" s="222"/>
      <c r="G393" s="222"/>
      <c r="H393" s="222"/>
      <c r="I393" s="222"/>
      <c r="J393" s="222"/>
      <c r="K393" s="222"/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2"/>
      <c r="Z393" s="222"/>
      <c r="AA393" s="222"/>
      <c r="AB393" s="222"/>
      <c r="AC393" s="222"/>
      <c r="AD393" s="222"/>
      <c r="AE393" s="222"/>
      <c r="AF393" s="222"/>
      <c r="AG393" s="222"/>
      <c r="AH393" s="222"/>
      <c r="AI393" s="222"/>
      <c r="AJ393" s="222"/>
      <c r="AK393" s="222"/>
      <c r="AL393" s="222"/>
      <c r="AM393" s="222"/>
      <c r="AN393" s="222"/>
      <c r="AO393" s="222"/>
    </row>
    <row r="394" spans="1:41">
      <c r="A394" s="222"/>
      <c r="B394" s="222"/>
      <c r="C394" s="222"/>
      <c r="D394" s="222"/>
      <c r="E394" s="222"/>
      <c r="F394" s="222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2"/>
      <c r="AG394" s="222"/>
      <c r="AH394" s="222"/>
      <c r="AI394" s="222"/>
      <c r="AJ394" s="222"/>
      <c r="AK394" s="222"/>
      <c r="AL394" s="222"/>
      <c r="AM394" s="222"/>
      <c r="AN394" s="222"/>
      <c r="AO394" s="222"/>
    </row>
    <row r="395" spans="1:41">
      <c r="A395" s="222"/>
      <c r="B395" s="222"/>
      <c r="C395" s="222"/>
      <c r="D395" s="222"/>
      <c r="E395" s="222"/>
      <c r="F395" s="222"/>
      <c r="G395" s="222"/>
      <c r="H395" s="222"/>
      <c r="I395" s="222"/>
      <c r="J395" s="222"/>
      <c r="K395" s="222"/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2"/>
      <c r="Z395" s="222"/>
      <c r="AA395" s="222"/>
      <c r="AB395" s="222"/>
      <c r="AC395" s="222"/>
      <c r="AD395" s="222"/>
      <c r="AE395" s="222"/>
      <c r="AF395" s="222"/>
      <c r="AG395" s="222"/>
      <c r="AH395" s="222"/>
      <c r="AI395" s="222"/>
      <c r="AJ395" s="222"/>
      <c r="AK395" s="222"/>
      <c r="AL395" s="222"/>
      <c r="AM395" s="222"/>
      <c r="AN395" s="222"/>
      <c r="AO395" s="222"/>
    </row>
    <row r="396" spans="1:41">
      <c r="A396" s="222"/>
      <c r="B396" s="222"/>
      <c r="C396" s="222"/>
      <c r="D396" s="222"/>
      <c r="E396" s="222"/>
      <c r="F396" s="222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2"/>
      <c r="AG396" s="222"/>
      <c r="AH396" s="222"/>
      <c r="AI396" s="222"/>
      <c r="AJ396" s="222"/>
      <c r="AK396" s="222"/>
      <c r="AL396" s="222"/>
      <c r="AM396" s="222"/>
      <c r="AN396" s="222"/>
      <c r="AO396" s="222"/>
    </row>
    <row r="397" spans="1:41">
      <c r="A397" s="222"/>
      <c r="B397" s="222"/>
      <c r="C397" s="222"/>
      <c r="D397" s="222"/>
      <c r="E397" s="222"/>
      <c r="F397" s="222"/>
      <c r="G397" s="222"/>
      <c r="H397" s="222"/>
      <c r="I397" s="222"/>
      <c r="J397" s="222"/>
      <c r="K397" s="222"/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2"/>
      <c r="Z397" s="222"/>
      <c r="AA397" s="222"/>
      <c r="AB397" s="222"/>
      <c r="AC397" s="222"/>
      <c r="AD397" s="222"/>
      <c r="AE397" s="222"/>
      <c r="AF397" s="222"/>
      <c r="AG397" s="222"/>
      <c r="AH397" s="222"/>
      <c r="AI397" s="222"/>
      <c r="AJ397" s="222"/>
      <c r="AK397" s="222"/>
      <c r="AL397" s="222"/>
      <c r="AM397" s="222"/>
      <c r="AN397" s="222"/>
      <c r="AO397" s="222"/>
    </row>
    <row r="398" spans="1:41">
      <c r="A398" s="222"/>
      <c r="B398" s="222"/>
      <c r="C398" s="222"/>
      <c r="D398" s="222"/>
      <c r="E398" s="222"/>
      <c r="F398" s="222"/>
      <c r="G398" s="222"/>
      <c r="H398" s="222"/>
      <c r="I398" s="222"/>
      <c r="J398" s="222"/>
      <c r="K398" s="222"/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2"/>
      <c r="Z398" s="222"/>
      <c r="AA398" s="222"/>
      <c r="AB398" s="222"/>
      <c r="AC398" s="222"/>
      <c r="AD398" s="222"/>
      <c r="AE398" s="222"/>
      <c r="AF398" s="222"/>
      <c r="AG398" s="222"/>
      <c r="AH398" s="222"/>
      <c r="AI398" s="222"/>
      <c r="AJ398" s="222"/>
      <c r="AK398" s="222"/>
      <c r="AL398" s="222"/>
      <c r="AM398" s="222"/>
      <c r="AN398" s="222"/>
      <c r="AO398" s="222"/>
    </row>
    <row r="399" spans="1:41">
      <c r="A399" s="222"/>
      <c r="B399" s="222"/>
      <c r="C399" s="222"/>
      <c r="D399" s="222"/>
      <c r="E399" s="222"/>
      <c r="F399" s="222"/>
      <c r="G399" s="222"/>
      <c r="H399" s="222"/>
      <c r="I399" s="222"/>
      <c r="J399" s="222"/>
      <c r="K399" s="222"/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2"/>
      <c r="Z399" s="222"/>
      <c r="AA399" s="222"/>
      <c r="AB399" s="222"/>
      <c r="AC399" s="222"/>
      <c r="AD399" s="222"/>
      <c r="AE399" s="222"/>
      <c r="AF399" s="222"/>
      <c r="AG399" s="222"/>
      <c r="AH399" s="222"/>
      <c r="AI399" s="222"/>
      <c r="AJ399" s="222"/>
      <c r="AK399" s="222"/>
      <c r="AL399" s="222"/>
      <c r="AM399" s="222"/>
      <c r="AN399" s="222"/>
      <c r="AO399" s="222"/>
    </row>
    <row r="400" spans="1:41">
      <c r="A400" s="222"/>
      <c r="B400" s="222"/>
      <c r="C400" s="222"/>
      <c r="D400" s="222"/>
      <c r="E400" s="222"/>
      <c r="F400" s="222"/>
      <c r="G400" s="222"/>
      <c r="H400" s="222"/>
      <c r="I400" s="222"/>
      <c r="J400" s="222"/>
      <c r="K400" s="222"/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2"/>
      <c r="Z400" s="222"/>
      <c r="AA400" s="222"/>
      <c r="AB400" s="222"/>
      <c r="AC400" s="222"/>
      <c r="AD400" s="222"/>
      <c r="AE400" s="222"/>
      <c r="AF400" s="222"/>
      <c r="AG400" s="222"/>
      <c r="AH400" s="222"/>
      <c r="AI400" s="222"/>
      <c r="AJ400" s="222"/>
      <c r="AK400" s="222"/>
      <c r="AL400" s="222"/>
      <c r="AM400" s="222"/>
      <c r="AN400" s="222"/>
      <c r="AO400" s="222"/>
    </row>
    <row r="401" spans="1:41">
      <c r="A401" s="222"/>
      <c r="B401" s="222"/>
      <c r="C401" s="222"/>
      <c r="D401" s="222"/>
      <c r="E401" s="222"/>
      <c r="F401" s="222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2"/>
      <c r="AG401" s="222"/>
      <c r="AH401" s="222"/>
      <c r="AI401" s="222"/>
      <c r="AJ401" s="222"/>
      <c r="AK401" s="222"/>
      <c r="AL401" s="222"/>
      <c r="AM401" s="222"/>
      <c r="AN401" s="222"/>
      <c r="AO401" s="222"/>
    </row>
    <row r="402" spans="1:41">
      <c r="A402" s="222"/>
      <c r="B402" s="222"/>
      <c r="C402" s="222"/>
      <c r="D402" s="222"/>
      <c r="E402" s="222"/>
      <c r="F402" s="222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</row>
    <row r="403" spans="1:41">
      <c r="A403" s="222"/>
      <c r="B403" s="222"/>
      <c r="C403" s="222"/>
      <c r="D403" s="222"/>
      <c r="E403" s="222"/>
      <c r="F403" s="222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</row>
    <row r="404" spans="1:41">
      <c r="A404" s="222"/>
      <c r="B404" s="222"/>
      <c r="C404" s="222"/>
      <c r="D404" s="222"/>
      <c r="E404" s="222"/>
      <c r="F404" s="222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2"/>
      <c r="AG404" s="222"/>
      <c r="AH404" s="222"/>
      <c r="AI404" s="222"/>
      <c r="AJ404" s="222"/>
      <c r="AK404" s="222"/>
      <c r="AL404" s="222"/>
      <c r="AM404" s="222"/>
      <c r="AN404" s="222"/>
      <c r="AO404" s="222"/>
    </row>
    <row r="405" spans="1:41">
      <c r="A405" s="222"/>
      <c r="B405" s="222"/>
      <c r="C405" s="222"/>
      <c r="D405" s="222"/>
      <c r="E405" s="222"/>
      <c r="F405" s="222"/>
      <c r="G405" s="222"/>
      <c r="H405" s="222"/>
      <c r="I405" s="222"/>
      <c r="J405" s="222"/>
      <c r="K405" s="222"/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2"/>
      <c r="Z405" s="222"/>
      <c r="AA405" s="222"/>
      <c r="AB405" s="222"/>
      <c r="AC405" s="222"/>
      <c r="AD405" s="222"/>
      <c r="AE405" s="222"/>
      <c r="AF405" s="222"/>
      <c r="AG405" s="222"/>
      <c r="AH405" s="222"/>
      <c r="AI405" s="222"/>
      <c r="AJ405" s="222"/>
      <c r="AK405" s="222"/>
      <c r="AL405" s="222"/>
      <c r="AM405" s="222"/>
      <c r="AN405" s="222"/>
      <c r="AO405" s="222"/>
    </row>
    <row r="406" spans="1:41">
      <c r="A406" s="222"/>
      <c r="B406" s="222"/>
      <c r="C406" s="222"/>
      <c r="D406" s="222"/>
      <c r="E406" s="222"/>
      <c r="F406" s="222"/>
      <c r="G406" s="222"/>
      <c r="H406" s="222"/>
      <c r="I406" s="222"/>
      <c r="J406" s="222"/>
      <c r="K406" s="222"/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2"/>
      <c r="Z406" s="222"/>
      <c r="AA406" s="222"/>
      <c r="AB406" s="222"/>
      <c r="AC406" s="222"/>
      <c r="AD406" s="222"/>
      <c r="AE406" s="222"/>
      <c r="AF406" s="222"/>
      <c r="AG406" s="222"/>
      <c r="AH406" s="222"/>
      <c r="AI406" s="222"/>
      <c r="AJ406" s="222"/>
      <c r="AK406" s="222"/>
      <c r="AL406" s="222"/>
      <c r="AM406" s="222"/>
      <c r="AN406" s="222"/>
      <c r="AO406" s="222"/>
    </row>
    <row r="407" spans="1:41">
      <c r="A407" s="222"/>
      <c r="B407" s="222"/>
      <c r="C407" s="222"/>
      <c r="D407" s="222"/>
      <c r="E407" s="222"/>
      <c r="F407" s="222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2"/>
      <c r="Z407" s="222"/>
      <c r="AA407" s="222"/>
      <c r="AB407" s="222"/>
      <c r="AC407" s="222"/>
      <c r="AD407" s="222"/>
      <c r="AE407" s="222"/>
      <c r="AF407" s="222"/>
      <c r="AG407" s="222"/>
      <c r="AH407" s="222"/>
      <c r="AI407" s="222"/>
      <c r="AJ407" s="222"/>
      <c r="AK407" s="222"/>
      <c r="AL407" s="222"/>
      <c r="AM407" s="222"/>
      <c r="AN407" s="222"/>
      <c r="AO407" s="222"/>
    </row>
    <row r="408" spans="1:41">
      <c r="A408" s="222"/>
      <c r="B408" s="222"/>
      <c r="C408" s="222"/>
      <c r="D408" s="222"/>
      <c r="E408" s="222"/>
      <c r="F408" s="222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2"/>
      <c r="Z408" s="222"/>
      <c r="AA408" s="222"/>
      <c r="AB408" s="222"/>
      <c r="AC408" s="222"/>
      <c r="AD408" s="222"/>
      <c r="AE408" s="222"/>
      <c r="AF408" s="222"/>
      <c r="AG408" s="222"/>
      <c r="AH408" s="222"/>
      <c r="AI408" s="222"/>
      <c r="AJ408" s="222"/>
      <c r="AK408" s="222"/>
      <c r="AL408" s="222"/>
      <c r="AM408" s="222"/>
      <c r="AN408" s="222"/>
      <c r="AO408" s="222"/>
    </row>
    <row r="409" spans="1:41">
      <c r="A409" s="222"/>
      <c r="B409" s="222"/>
      <c r="C409" s="222"/>
      <c r="D409" s="222"/>
      <c r="E409" s="222"/>
      <c r="F409" s="222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</row>
    <row r="410" spans="1:41">
      <c r="A410" s="222"/>
      <c r="B410" s="222"/>
      <c r="C410" s="222"/>
      <c r="D410" s="222"/>
      <c r="E410" s="222"/>
      <c r="F410" s="222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</row>
    <row r="411" spans="1:41">
      <c r="A411" s="222"/>
      <c r="B411" s="222"/>
      <c r="C411" s="222"/>
      <c r="D411" s="222"/>
      <c r="E411" s="222"/>
      <c r="F411" s="222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2"/>
      <c r="Z411" s="222"/>
      <c r="AA411" s="222"/>
      <c r="AB411" s="222"/>
      <c r="AC411" s="222"/>
      <c r="AD411" s="222"/>
      <c r="AE411" s="222"/>
      <c r="AF411" s="222"/>
      <c r="AG411" s="222"/>
      <c r="AH411" s="222"/>
      <c r="AI411" s="222"/>
      <c r="AJ411" s="222"/>
      <c r="AK411" s="222"/>
      <c r="AL411" s="222"/>
      <c r="AM411" s="222"/>
      <c r="AN411" s="222"/>
      <c r="AO411" s="222"/>
    </row>
    <row r="412" spans="1:41">
      <c r="A412" s="222"/>
      <c r="B412" s="222"/>
      <c r="C412" s="222"/>
      <c r="D412" s="222"/>
      <c r="E412" s="222"/>
      <c r="F412" s="222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2"/>
      <c r="Z412" s="222"/>
      <c r="AA412" s="222"/>
      <c r="AB412" s="222"/>
      <c r="AC412" s="222"/>
      <c r="AD412" s="222"/>
      <c r="AE412" s="222"/>
      <c r="AF412" s="222"/>
      <c r="AG412" s="222"/>
      <c r="AH412" s="222"/>
      <c r="AI412" s="222"/>
      <c r="AJ412" s="222"/>
      <c r="AK412" s="222"/>
      <c r="AL412" s="222"/>
      <c r="AM412" s="222"/>
      <c r="AN412" s="222"/>
      <c r="AO412" s="222"/>
    </row>
    <row r="413" spans="1:41">
      <c r="A413" s="222"/>
      <c r="B413" s="222"/>
      <c r="C413" s="222"/>
      <c r="D413" s="222"/>
      <c r="E413" s="222"/>
      <c r="F413" s="222"/>
      <c r="G413" s="222"/>
      <c r="H413" s="222"/>
      <c r="I413" s="222"/>
      <c r="J413" s="222"/>
      <c r="K413" s="222"/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</row>
    <row r="414" spans="1:41">
      <c r="A414" s="222"/>
      <c r="B414" s="222"/>
      <c r="C414" s="222"/>
      <c r="D414" s="222"/>
      <c r="E414" s="222"/>
      <c r="F414" s="222"/>
      <c r="G414" s="222"/>
      <c r="H414" s="222"/>
      <c r="I414" s="222"/>
      <c r="J414" s="222"/>
      <c r="K414" s="222"/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</row>
    <row r="415" spans="1:41">
      <c r="A415" s="222"/>
      <c r="B415" s="222"/>
      <c r="C415" s="222"/>
      <c r="D415" s="222"/>
      <c r="E415" s="222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</row>
    <row r="416" spans="1:41">
      <c r="A416" s="222"/>
      <c r="B416" s="222"/>
      <c r="C416" s="222"/>
      <c r="D416" s="222"/>
      <c r="E416" s="222"/>
      <c r="F416" s="222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2"/>
      <c r="Z416" s="222"/>
      <c r="AA416" s="222"/>
      <c r="AB416" s="222"/>
      <c r="AC416" s="222"/>
      <c r="AD416" s="222"/>
      <c r="AE416" s="222"/>
      <c r="AF416" s="222"/>
      <c r="AG416" s="222"/>
      <c r="AH416" s="222"/>
      <c r="AI416" s="222"/>
      <c r="AJ416" s="222"/>
      <c r="AK416" s="222"/>
      <c r="AL416" s="222"/>
      <c r="AM416" s="222"/>
      <c r="AN416" s="222"/>
      <c r="AO416" s="222"/>
    </row>
    <row r="417" spans="1:41">
      <c r="A417" s="222"/>
      <c r="B417" s="222"/>
      <c r="C417" s="222"/>
      <c r="D417" s="222"/>
      <c r="E417" s="222"/>
      <c r="F417" s="222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2"/>
      <c r="Z417" s="222"/>
      <c r="AA417" s="222"/>
      <c r="AB417" s="222"/>
      <c r="AC417" s="222"/>
      <c r="AD417" s="222"/>
      <c r="AE417" s="222"/>
      <c r="AF417" s="222"/>
      <c r="AG417" s="222"/>
      <c r="AH417" s="222"/>
      <c r="AI417" s="222"/>
      <c r="AJ417" s="222"/>
      <c r="AK417" s="222"/>
      <c r="AL417" s="222"/>
      <c r="AM417" s="222"/>
      <c r="AN417" s="222"/>
      <c r="AO417" s="222"/>
    </row>
    <row r="418" spans="1:41">
      <c r="A418" s="222"/>
      <c r="B418" s="222"/>
      <c r="C418" s="222"/>
      <c r="D418" s="222"/>
      <c r="E418" s="222"/>
      <c r="F418" s="222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</row>
    <row r="419" spans="1:41">
      <c r="A419" s="222"/>
      <c r="B419" s="222"/>
      <c r="C419" s="222"/>
      <c r="D419" s="222"/>
      <c r="E419" s="222"/>
      <c r="F419" s="222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2"/>
      <c r="Z419" s="222"/>
      <c r="AA419" s="222"/>
      <c r="AB419" s="222"/>
      <c r="AC419" s="222"/>
      <c r="AD419" s="222"/>
      <c r="AE419" s="222"/>
      <c r="AF419" s="222"/>
      <c r="AG419" s="222"/>
      <c r="AH419" s="222"/>
      <c r="AI419" s="222"/>
      <c r="AJ419" s="222"/>
      <c r="AK419" s="222"/>
      <c r="AL419" s="222"/>
      <c r="AM419" s="222"/>
      <c r="AN419" s="222"/>
      <c r="AO419" s="222"/>
    </row>
    <row r="420" spans="1:41">
      <c r="A420" s="222"/>
      <c r="B420" s="222"/>
      <c r="C420" s="222"/>
      <c r="D420" s="222"/>
      <c r="E420" s="222"/>
      <c r="F420" s="222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2"/>
      <c r="Z420" s="222"/>
      <c r="AA420" s="222"/>
      <c r="AB420" s="222"/>
      <c r="AC420" s="222"/>
      <c r="AD420" s="222"/>
      <c r="AE420" s="222"/>
      <c r="AF420" s="222"/>
      <c r="AG420" s="222"/>
      <c r="AH420" s="222"/>
      <c r="AI420" s="222"/>
      <c r="AJ420" s="222"/>
      <c r="AK420" s="222"/>
      <c r="AL420" s="222"/>
      <c r="AM420" s="222"/>
      <c r="AN420" s="222"/>
      <c r="AO420" s="222"/>
    </row>
    <row r="421" spans="1:41">
      <c r="A421" s="222"/>
      <c r="B421" s="222"/>
      <c r="C421" s="222"/>
      <c r="D421" s="222"/>
      <c r="E421" s="222"/>
      <c r="F421" s="222"/>
      <c r="G421" s="222"/>
      <c r="H421" s="222"/>
      <c r="I421" s="222"/>
      <c r="J421" s="222"/>
      <c r="K421" s="222"/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</row>
    <row r="422" spans="1:41">
      <c r="A422" s="222"/>
      <c r="B422" s="222"/>
      <c r="C422" s="222"/>
      <c r="D422" s="222"/>
      <c r="E422" s="222"/>
      <c r="F422" s="222"/>
      <c r="G422" s="222"/>
      <c r="H422" s="222"/>
      <c r="I422" s="222"/>
      <c r="J422" s="222"/>
      <c r="K422" s="222"/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2"/>
      <c r="Z422" s="222"/>
      <c r="AA422" s="222"/>
      <c r="AB422" s="222"/>
      <c r="AC422" s="222"/>
      <c r="AD422" s="222"/>
      <c r="AE422" s="222"/>
      <c r="AF422" s="222"/>
      <c r="AG422" s="222"/>
      <c r="AH422" s="222"/>
      <c r="AI422" s="222"/>
      <c r="AJ422" s="222"/>
      <c r="AK422" s="222"/>
      <c r="AL422" s="222"/>
      <c r="AM422" s="222"/>
      <c r="AN422" s="222"/>
      <c r="AO422" s="222"/>
    </row>
    <row r="423" spans="1:41">
      <c r="A423" s="222"/>
      <c r="B423" s="222"/>
      <c r="C423" s="222"/>
      <c r="D423" s="222"/>
      <c r="E423" s="222"/>
      <c r="F423" s="222"/>
      <c r="G423" s="222"/>
      <c r="H423" s="222"/>
      <c r="I423" s="222"/>
      <c r="J423" s="222"/>
      <c r="K423" s="222"/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2"/>
      <c r="Z423" s="222"/>
      <c r="AA423" s="222"/>
      <c r="AB423" s="222"/>
      <c r="AC423" s="222"/>
      <c r="AD423" s="222"/>
      <c r="AE423" s="222"/>
      <c r="AF423" s="222"/>
      <c r="AG423" s="222"/>
      <c r="AH423" s="222"/>
      <c r="AI423" s="222"/>
      <c r="AJ423" s="222"/>
      <c r="AK423" s="222"/>
      <c r="AL423" s="222"/>
      <c r="AM423" s="222"/>
      <c r="AN423" s="222"/>
      <c r="AO423" s="222"/>
    </row>
  </sheetData>
  <mergeCells count="4">
    <mergeCell ref="A1:D1"/>
    <mergeCell ref="A2:D2"/>
    <mergeCell ref="A3:D3"/>
    <mergeCell ref="A4:D4"/>
  </mergeCells>
  <printOptions horizontalCentered="1"/>
  <pageMargins left="0.70866141732283472" right="0.70866141732283472" top="0.35433070866141736" bottom="0.35433070866141736" header="0.31496062992125984" footer="0.31496062992125984"/>
  <pageSetup scale="5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showGridLines="0" topLeftCell="K1" zoomScale="130" zoomScaleNormal="130" zoomScaleSheetLayoutView="100" workbookViewId="0">
      <selection activeCell="A4" sqref="A4:L4"/>
    </sheetView>
  </sheetViews>
  <sheetFormatPr baseColWidth="10" defaultColWidth="11.42578125" defaultRowHeight="12.75"/>
  <cols>
    <col min="1" max="1" width="28" style="370" customWidth="1"/>
    <col min="2" max="2" width="13.7109375" style="370" bestFit="1" customWidth="1"/>
    <col min="3" max="3" width="12.42578125" style="370" bestFit="1" customWidth="1"/>
    <col min="4" max="4" width="16.42578125" style="370" customWidth="1"/>
    <col min="5" max="6" width="12.28515625" style="370" bestFit="1" customWidth="1"/>
    <col min="7" max="7" width="11.28515625" style="370" bestFit="1" customWidth="1"/>
    <col min="8" max="8" width="11.42578125" style="370" bestFit="1" customWidth="1"/>
    <col min="9" max="9" width="11.7109375" style="370" bestFit="1" customWidth="1"/>
    <col min="10" max="10" width="12.28515625" style="370" bestFit="1" customWidth="1"/>
    <col min="11" max="11" width="14.42578125" style="370" customWidth="1"/>
    <col min="12" max="12" width="15.28515625" style="370" customWidth="1"/>
    <col min="13" max="13" width="11.42578125" style="370"/>
    <col min="14" max="14" width="27.7109375" style="370" bestFit="1" customWidth="1"/>
    <col min="15" max="23" width="11.42578125" style="370"/>
    <col min="24" max="24" width="15.42578125" style="370" customWidth="1"/>
    <col min="25" max="16384" width="11.42578125" style="370"/>
  </cols>
  <sheetData>
    <row r="1" spans="1:25">
      <c r="A1" s="438" t="s">
        <v>125</v>
      </c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N1" s="438" t="s">
        <v>125</v>
      </c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8"/>
    </row>
    <row r="2" spans="1:25">
      <c r="A2" s="438" t="s">
        <v>147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N2" s="438" t="s">
        <v>147</v>
      </c>
      <c r="O2" s="438"/>
      <c r="P2" s="438"/>
      <c r="Q2" s="438"/>
      <c r="R2" s="438"/>
      <c r="S2" s="438"/>
      <c r="T2" s="438"/>
      <c r="U2" s="438"/>
      <c r="V2" s="438"/>
      <c r="W2" s="438"/>
      <c r="X2" s="438"/>
      <c r="Y2" s="438"/>
    </row>
    <row r="3" spans="1:25">
      <c r="A3" s="438" t="s">
        <v>355</v>
      </c>
      <c r="B3" s="438"/>
      <c r="C3" s="438"/>
      <c r="D3" s="438"/>
      <c r="E3" s="438"/>
      <c r="F3" s="438"/>
      <c r="G3" s="438"/>
      <c r="H3" s="438"/>
      <c r="I3" s="438"/>
      <c r="J3" s="438"/>
      <c r="K3" s="438"/>
      <c r="L3" s="438"/>
      <c r="N3" s="438" t="s">
        <v>343</v>
      </c>
      <c r="O3" s="438"/>
      <c r="P3" s="438"/>
      <c r="Q3" s="438"/>
      <c r="R3" s="438"/>
      <c r="S3" s="438"/>
      <c r="T3" s="438"/>
      <c r="U3" s="438"/>
      <c r="V3" s="438"/>
      <c r="W3" s="438"/>
      <c r="X3" s="438"/>
      <c r="Y3" s="438"/>
    </row>
    <row r="4" spans="1:25" ht="13.5" customHeight="1" thickBot="1">
      <c r="A4" s="437" t="s">
        <v>336</v>
      </c>
      <c r="B4" s="437"/>
      <c r="C4" s="437"/>
      <c r="D4" s="437"/>
      <c r="E4" s="437"/>
      <c r="F4" s="437"/>
      <c r="G4" s="437"/>
      <c r="H4" s="437"/>
      <c r="I4" s="437"/>
      <c r="J4" s="437"/>
      <c r="K4" s="437"/>
      <c r="L4" s="437"/>
      <c r="N4" s="437" t="s">
        <v>344</v>
      </c>
      <c r="O4" s="437"/>
      <c r="P4" s="437"/>
      <c r="Q4" s="437"/>
      <c r="R4" s="437"/>
      <c r="S4" s="437"/>
      <c r="T4" s="437"/>
      <c r="U4" s="437"/>
      <c r="V4" s="437"/>
      <c r="W4" s="437"/>
      <c r="X4" s="437"/>
      <c r="Y4" s="437"/>
    </row>
    <row r="5" spans="1:25" ht="27" thickTop="1" thickBot="1">
      <c r="A5" s="371" t="s">
        <v>0</v>
      </c>
      <c r="B5" s="372" t="s">
        <v>111</v>
      </c>
      <c r="C5" s="372" t="s">
        <v>337</v>
      </c>
      <c r="D5" s="372" t="s">
        <v>338</v>
      </c>
      <c r="E5" s="372" t="s">
        <v>113</v>
      </c>
      <c r="F5" s="372" t="s">
        <v>132</v>
      </c>
      <c r="G5" s="372" t="s">
        <v>126</v>
      </c>
      <c r="H5" s="372" t="s">
        <v>145</v>
      </c>
      <c r="I5" s="372" t="s">
        <v>146</v>
      </c>
      <c r="J5" s="372" t="s">
        <v>339</v>
      </c>
      <c r="K5" s="372" t="s">
        <v>340</v>
      </c>
      <c r="L5" s="373" t="s">
        <v>53</v>
      </c>
      <c r="N5" s="371" t="s">
        <v>0</v>
      </c>
      <c r="O5" s="372" t="s">
        <v>111</v>
      </c>
      <c r="P5" s="372" t="s">
        <v>337</v>
      </c>
      <c r="Q5" s="372" t="s">
        <v>338</v>
      </c>
      <c r="R5" s="372" t="s">
        <v>113</v>
      </c>
      <c r="S5" s="372" t="s">
        <v>132</v>
      </c>
      <c r="T5" s="372" t="s">
        <v>126</v>
      </c>
      <c r="U5" s="372" t="s">
        <v>145</v>
      </c>
      <c r="V5" s="372" t="s">
        <v>146</v>
      </c>
      <c r="W5" s="372" t="s">
        <v>339</v>
      </c>
      <c r="X5" s="372" t="s">
        <v>340</v>
      </c>
      <c r="Y5" s="373" t="s">
        <v>53</v>
      </c>
    </row>
    <row r="6" spans="1:25" ht="13.5" thickTop="1">
      <c r="A6" s="374" t="s">
        <v>1</v>
      </c>
      <c r="B6" s="375">
        <f>+'[5]Calculo Coef Actualizado'!B6-'[5]pagado 1er Sem'!B6</f>
        <v>-2.7008354663848877E-8</v>
      </c>
      <c r="C6" s="375">
        <f>+'[5]Calculo Coef Actualizado'!C6-'[5]pagado 1er Sem'!C6</f>
        <v>-3.6088749766349792E-9</v>
      </c>
      <c r="D6" s="375">
        <f>+'[5]Calculo Coef Actualizado'!D6-'[5]pagado 1er Sem'!D6</f>
        <v>2382719.9418644393</v>
      </c>
      <c r="E6" s="375">
        <f>+'[5]Calculo Coef Actualizado'!E6-'[5]pagado 1er Sem'!E6</f>
        <v>-7.8580342233181E-10</v>
      </c>
      <c r="F6" s="375">
        <f>+'[5]Calculo Coef Actualizado'!F6-'[5]pagado 1er Sem'!F6</f>
        <v>-1.280568540096283E-9</v>
      </c>
      <c r="G6" s="375">
        <f>+'[5]Calculo Coef Actualizado'!G6-'[5]pagado 1er Sem'!G6</f>
        <v>6.3664629124104977E-11</v>
      </c>
      <c r="H6" s="375">
        <f>+'[5]Calculo Coef Actualizado'!H6-'[5]pagado 1er Sem'!H6</f>
        <v>-6.9849193096160889E-10</v>
      </c>
      <c r="I6" s="375">
        <f>+'[5]Calculo Coef Actualizado'!I6-'[5]pagado 1er Sem'!I6</f>
        <v>-1.4915713109076023E-10</v>
      </c>
      <c r="J6" s="375">
        <f>+'[5]Calculo Coef Actualizado'!J6-'[5]pagado 1er Sem'!J6</f>
        <v>46736.845997324323</v>
      </c>
      <c r="K6" s="375">
        <f>+'[5]Calculo Coef Actualizado'!K6-'[5]pagado 1er Sem'!K6</f>
        <v>-3.4924596548080444E-10</v>
      </c>
      <c r="L6" s="376">
        <f>SUM(B6:K6)</f>
        <v>2429456.7878617295</v>
      </c>
      <c r="N6" s="374" t="s">
        <v>1</v>
      </c>
      <c r="O6" s="375">
        <f t="shared" ref="O6:X21" si="0">+B6/6</f>
        <v>-4.5013924439748125E-9</v>
      </c>
      <c r="P6" s="375">
        <f t="shared" si="0"/>
        <v>-6.0147916277249658E-10</v>
      </c>
      <c r="Q6" s="375">
        <f t="shared" si="0"/>
        <v>397119.9903107399</v>
      </c>
      <c r="R6" s="375">
        <f t="shared" si="0"/>
        <v>-1.3096723705530167E-10</v>
      </c>
      <c r="S6" s="375">
        <f t="shared" si="0"/>
        <v>-2.1342809001604715E-10</v>
      </c>
      <c r="T6" s="375">
        <f t="shared" si="0"/>
        <v>1.0610771520684162E-11</v>
      </c>
      <c r="U6" s="375">
        <f t="shared" si="0"/>
        <v>-1.1641532182693481E-10</v>
      </c>
      <c r="V6" s="375">
        <f t="shared" si="0"/>
        <v>-2.4859521848460037E-11</v>
      </c>
      <c r="W6" s="375">
        <f t="shared" si="0"/>
        <v>7789.4743328873874</v>
      </c>
      <c r="X6" s="375">
        <f t="shared" si="0"/>
        <v>-5.8207660913467407E-11</v>
      </c>
      <c r="Y6" s="376">
        <f>SUM(O6:X6)</f>
        <v>404909.46464362164</v>
      </c>
    </row>
    <row r="7" spans="1:25">
      <c r="A7" s="374" t="s">
        <v>2</v>
      </c>
      <c r="B7" s="375">
        <f>+'[5]Calculo Coef Actualizado'!B7-'[5]pagado 1er Sem'!B7</f>
        <v>0</v>
      </c>
      <c r="C7" s="375">
        <f>+'[5]Calculo Coef Actualizado'!C7-'[5]pagado 1er Sem'!C7</f>
        <v>0</v>
      </c>
      <c r="D7" s="375">
        <f>+'[5]Calculo Coef Actualizado'!D7-'[5]pagado 1er Sem'!D7</f>
        <v>-472334.52273437125</v>
      </c>
      <c r="E7" s="375">
        <f>+'[5]Calculo Coef Actualizado'!E7-'[5]pagado 1er Sem'!E7</f>
        <v>0</v>
      </c>
      <c r="F7" s="375">
        <f>+'[5]Calculo Coef Actualizado'!F7-'[5]pagado 1er Sem'!F7</f>
        <v>0</v>
      </c>
      <c r="G7" s="375">
        <f>+'[5]Calculo Coef Actualizado'!G7-'[5]pagado 1er Sem'!G7</f>
        <v>0</v>
      </c>
      <c r="H7" s="375">
        <f>+'[5]Calculo Coef Actualizado'!H7-'[5]pagado 1er Sem'!H7</f>
        <v>0</v>
      </c>
      <c r="I7" s="375">
        <f>+'[5]Calculo Coef Actualizado'!I7-'[5]pagado 1er Sem'!I7</f>
        <v>0</v>
      </c>
      <c r="J7" s="375">
        <f>+'[5]Calculo Coef Actualizado'!J7-'[5]pagado 1er Sem'!J7</f>
        <v>-24139.642766642333</v>
      </c>
      <c r="K7" s="375">
        <f>+'[5]Calculo Coef Actualizado'!K7-'[5]pagado 1er Sem'!K7</f>
        <v>0</v>
      </c>
      <c r="L7" s="376">
        <f t="shared" ref="L7:L56" si="1">SUM(B7:K7)</f>
        <v>-496474.16550101357</v>
      </c>
      <c r="N7" s="374" t="s">
        <v>2</v>
      </c>
      <c r="O7" s="375">
        <f t="shared" si="0"/>
        <v>0</v>
      </c>
      <c r="P7" s="375">
        <f t="shared" si="0"/>
        <v>0</v>
      </c>
      <c r="Q7" s="375">
        <f t="shared" si="0"/>
        <v>-78722.420455728541</v>
      </c>
      <c r="R7" s="375">
        <f t="shared" si="0"/>
        <v>0</v>
      </c>
      <c r="S7" s="375">
        <f t="shared" si="0"/>
        <v>0</v>
      </c>
      <c r="T7" s="375">
        <f t="shared" si="0"/>
        <v>0</v>
      </c>
      <c r="U7" s="375">
        <f t="shared" si="0"/>
        <v>0</v>
      </c>
      <c r="V7" s="375">
        <f t="shared" si="0"/>
        <v>0</v>
      </c>
      <c r="W7" s="375">
        <f t="shared" si="0"/>
        <v>-4023.2737944403889</v>
      </c>
      <c r="X7" s="375">
        <f t="shared" si="0"/>
        <v>0</v>
      </c>
      <c r="Y7" s="376">
        <f t="shared" ref="Y7:Y56" si="2">SUM(O7:X7)</f>
        <v>-82745.694250168934</v>
      </c>
    </row>
    <row r="8" spans="1:25">
      <c r="A8" s="374" t="s">
        <v>3</v>
      </c>
      <c r="B8" s="375">
        <f>+'[5]Calculo Coef Actualizado'!B8-'[5]pagado 1er Sem'!B8</f>
        <v>0</v>
      </c>
      <c r="C8" s="375">
        <f>+'[5]Calculo Coef Actualizado'!C8-'[5]pagado 1er Sem'!C8</f>
        <v>0</v>
      </c>
      <c r="D8" s="375">
        <f>+'[5]Calculo Coef Actualizado'!D8-'[5]pagado 1er Sem'!D8</f>
        <v>-474261.91022616322</v>
      </c>
      <c r="E8" s="375">
        <f>+'[5]Calculo Coef Actualizado'!E8-'[5]pagado 1er Sem'!E8</f>
        <v>0</v>
      </c>
      <c r="F8" s="375">
        <f>+'[5]Calculo Coef Actualizado'!F8-'[5]pagado 1er Sem'!F8</f>
        <v>-5.8207660913467407E-10</v>
      </c>
      <c r="G8" s="375">
        <f>+'[5]Calculo Coef Actualizado'!G8-'[5]pagado 1er Sem'!G8</f>
        <v>2.9103830456733704E-11</v>
      </c>
      <c r="H8" s="375">
        <f>+'[5]Calculo Coef Actualizado'!H8-'[5]pagado 1er Sem'!H8</f>
        <v>-3.2014213502407074E-10</v>
      </c>
      <c r="I8" s="375">
        <f>+'[5]Calculo Coef Actualizado'!I8-'[5]pagado 1er Sem'!I8</f>
        <v>-6.5483618527650833E-11</v>
      </c>
      <c r="J8" s="375">
        <f>+'[5]Calculo Coef Actualizado'!J8-'[5]pagado 1er Sem'!J8</f>
        <v>15761.156996581936</v>
      </c>
      <c r="K8" s="375">
        <f>+'[5]Calculo Coef Actualizado'!K8-'[5]pagado 1er Sem'!K8</f>
        <v>-1.6007106751203537E-10</v>
      </c>
      <c r="L8" s="376">
        <f t="shared" si="1"/>
        <v>-458500.75322958245</v>
      </c>
      <c r="N8" s="374" t="s">
        <v>3</v>
      </c>
      <c r="O8" s="375">
        <f t="shared" si="0"/>
        <v>0</v>
      </c>
      <c r="P8" s="375">
        <f t="shared" si="0"/>
        <v>0</v>
      </c>
      <c r="Q8" s="375">
        <f t="shared" si="0"/>
        <v>-79043.651704360542</v>
      </c>
      <c r="R8" s="375">
        <f t="shared" si="0"/>
        <v>0</v>
      </c>
      <c r="S8" s="375">
        <f t="shared" si="0"/>
        <v>-9.701276818911235E-11</v>
      </c>
      <c r="T8" s="375">
        <f t="shared" si="0"/>
        <v>4.850638409455617E-12</v>
      </c>
      <c r="U8" s="375">
        <f t="shared" si="0"/>
        <v>-5.3357022504011788E-11</v>
      </c>
      <c r="V8" s="375">
        <f t="shared" si="0"/>
        <v>-1.0913936421275139E-11</v>
      </c>
      <c r="W8" s="375">
        <f t="shared" si="0"/>
        <v>2626.8594994303226</v>
      </c>
      <c r="X8" s="375">
        <f t="shared" si="0"/>
        <v>-2.6678511252005894E-11</v>
      </c>
      <c r="Y8" s="376">
        <f t="shared" si="2"/>
        <v>-76416.792204930418</v>
      </c>
    </row>
    <row r="9" spans="1:25">
      <c r="A9" s="374" t="s">
        <v>4</v>
      </c>
      <c r="B9" s="375">
        <f>+'[5]Calculo Coef Actualizado'!B9-'[5]pagado 1er Sem'!B9</f>
        <v>0</v>
      </c>
      <c r="C9" s="375">
        <f>+'[5]Calculo Coef Actualizado'!C9-'[5]pagado 1er Sem'!C9</f>
        <v>0</v>
      </c>
      <c r="D9" s="375">
        <f>+'[5]Calculo Coef Actualizado'!D9-'[5]pagado 1er Sem'!D9</f>
        <v>1395994.2601057766</v>
      </c>
      <c r="E9" s="375">
        <f>+'[5]Calculo Coef Actualizado'!E9-'[5]pagado 1er Sem'!E9</f>
        <v>0</v>
      </c>
      <c r="F9" s="375">
        <f>+'[5]Calculo Coef Actualizado'!F9-'[5]pagado 1er Sem'!F9</f>
        <v>0</v>
      </c>
      <c r="G9" s="375">
        <f>+'[5]Calculo Coef Actualizado'!G9-'[5]pagado 1er Sem'!G9</f>
        <v>0</v>
      </c>
      <c r="H9" s="375">
        <f>+'[5]Calculo Coef Actualizado'!H9-'[5]pagado 1er Sem'!H9</f>
        <v>0</v>
      </c>
      <c r="I9" s="375">
        <f>+'[5]Calculo Coef Actualizado'!I9-'[5]pagado 1er Sem'!I9</f>
        <v>0</v>
      </c>
      <c r="J9" s="375">
        <f>+'[5]Calculo Coef Actualizado'!J9-'[5]pagado 1er Sem'!J9</f>
        <v>-2326.6780876950361</v>
      </c>
      <c r="K9" s="375">
        <f>+'[5]Calculo Coef Actualizado'!K9-'[5]pagado 1er Sem'!K9</f>
        <v>0</v>
      </c>
      <c r="L9" s="376">
        <f t="shared" si="1"/>
        <v>1393667.5820180816</v>
      </c>
      <c r="N9" s="374" t="s">
        <v>4</v>
      </c>
      <c r="O9" s="375">
        <f t="shared" si="0"/>
        <v>0</v>
      </c>
      <c r="P9" s="375">
        <f t="shared" si="0"/>
        <v>0</v>
      </c>
      <c r="Q9" s="375">
        <f t="shared" si="0"/>
        <v>232665.71001762943</v>
      </c>
      <c r="R9" s="375">
        <f t="shared" si="0"/>
        <v>0</v>
      </c>
      <c r="S9" s="375">
        <f t="shared" si="0"/>
        <v>0</v>
      </c>
      <c r="T9" s="375">
        <f t="shared" si="0"/>
        <v>0</v>
      </c>
      <c r="U9" s="375">
        <f t="shared" si="0"/>
        <v>0</v>
      </c>
      <c r="V9" s="375">
        <f t="shared" si="0"/>
        <v>0</v>
      </c>
      <c r="W9" s="375">
        <f t="shared" si="0"/>
        <v>-387.77968128250603</v>
      </c>
      <c r="X9" s="375">
        <f t="shared" si="0"/>
        <v>0</v>
      </c>
      <c r="Y9" s="376">
        <f t="shared" si="2"/>
        <v>232277.93033634694</v>
      </c>
    </row>
    <row r="10" spans="1:25">
      <c r="A10" s="374" t="s">
        <v>5</v>
      </c>
      <c r="B10" s="375">
        <f>+'[5]Calculo Coef Actualizado'!B10-'[5]pagado 1er Sem'!B10</f>
        <v>0</v>
      </c>
      <c r="C10" s="375">
        <f>+'[5]Calculo Coef Actualizado'!C10-'[5]pagado 1er Sem'!C10</f>
        <v>0</v>
      </c>
      <c r="D10" s="375">
        <f>+'[5]Calculo Coef Actualizado'!D10-'[5]pagado 1er Sem'!D10</f>
        <v>3348571.9049584325</v>
      </c>
      <c r="E10" s="375">
        <f>+'[5]Calculo Coef Actualizado'!E10-'[5]pagado 1er Sem'!E10</f>
        <v>0</v>
      </c>
      <c r="F10" s="375">
        <f>+'[5]Calculo Coef Actualizado'!F10-'[5]pagado 1er Sem'!F10</f>
        <v>0</v>
      </c>
      <c r="G10" s="375">
        <f>+'[5]Calculo Coef Actualizado'!G10-'[5]pagado 1er Sem'!G10</f>
        <v>0</v>
      </c>
      <c r="H10" s="375">
        <f>+'[5]Calculo Coef Actualizado'!H10-'[5]pagado 1er Sem'!H10</f>
        <v>0</v>
      </c>
      <c r="I10" s="375">
        <f>+'[5]Calculo Coef Actualizado'!I10-'[5]pagado 1er Sem'!I10</f>
        <v>0</v>
      </c>
      <c r="J10" s="375">
        <f>+'[5]Calculo Coef Actualizado'!J10-'[5]pagado 1er Sem'!J10</f>
        <v>950.80989828327438</v>
      </c>
      <c r="K10" s="375">
        <f>+'[5]Calculo Coef Actualizado'!K10-'[5]pagado 1er Sem'!K10</f>
        <v>0</v>
      </c>
      <c r="L10" s="376">
        <f t="shared" si="1"/>
        <v>3349522.7148567159</v>
      </c>
      <c r="N10" s="374" t="s">
        <v>5</v>
      </c>
      <c r="O10" s="375">
        <f t="shared" si="0"/>
        <v>0</v>
      </c>
      <c r="P10" s="375">
        <f t="shared" si="0"/>
        <v>0</v>
      </c>
      <c r="Q10" s="375">
        <f t="shared" si="0"/>
        <v>558095.31749307213</v>
      </c>
      <c r="R10" s="375">
        <f t="shared" si="0"/>
        <v>0</v>
      </c>
      <c r="S10" s="375">
        <f t="shared" si="0"/>
        <v>0</v>
      </c>
      <c r="T10" s="375">
        <f t="shared" si="0"/>
        <v>0</v>
      </c>
      <c r="U10" s="375">
        <f t="shared" si="0"/>
        <v>0</v>
      </c>
      <c r="V10" s="375">
        <f t="shared" si="0"/>
        <v>0</v>
      </c>
      <c r="W10" s="375">
        <f t="shared" si="0"/>
        <v>158.46831638054573</v>
      </c>
      <c r="X10" s="375">
        <f t="shared" si="0"/>
        <v>0</v>
      </c>
      <c r="Y10" s="376">
        <f t="shared" si="2"/>
        <v>558253.78580945265</v>
      </c>
    </row>
    <row r="11" spans="1:25">
      <c r="A11" s="374" t="s">
        <v>6</v>
      </c>
      <c r="B11" s="375">
        <f>+'[5]Calculo Coef Actualizado'!B11-'[5]pagado 1er Sem'!B11</f>
        <v>0</v>
      </c>
      <c r="C11" s="375">
        <f>+'[5]Calculo Coef Actualizado'!C11-'[5]pagado 1er Sem'!C11</f>
        <v>0</v>
      </c>
      <c r="D11" s="375">
        <f>+'[5]Calculo Coef Actualizado'!D11-'[5]pagado 1er Sem'!D11</f>
        <v>87158.705188735388</v>
      </c>
      <c r="E11" s="375">
        <f>+'[5]Calculo Coef Actualizado'!E11-'[5]pagado 1er Sem'!E11</f>
        <v>0</v>
      </c>
      <c r="F11" s="375">
        <f>+'[5]Calculo Coef Actualizado'!F11-'[5]pagado 1er Sem'!F11</f>
        <v>0</v>
      </c>
      <c r="G11" s="375">
        <f>+'[5]Calculo Coef Actualizado'!G11-'[5]pagado 1er Sem'!G11</f>
        <v>0</v>
      </c>
      <c r="H11" s="375">
        <f>+'[5]Calculo Coef Actualizado'!H11-'[5]pagado 1er Sem'!H11</f>
        <v>0</v>
      </c>
      <c r="I11" s="375">
        <f>+'[5]Calculo Coef Actualizado'!I11-'[5]pagado 1er Sem'!I11</f>
        <v>0</v>
      </c>
      <c r="J11" s="375">
        <f>+'[5]Calculo Coef Actualizado'!J11-'[5]pagado 1er Sem'!J11</f>
        <v>29718.417103208601</v>
      </c>
      <c r="K11" s="375">
        <f>+'[5]Calculo Coef Actualizado'!K11-'[5]pagado 1er Sem'!K11</f>
        <v>0</v>
      </c>
      <c r="L11" s="376">
        <f t="shared" si="1"/>
        <v>116877.12229194399</v>
      </c>
      <c r="N11" s="374" t="s">
        <v>6</v>
      </c>
      <c r="O11" s="375">
        <f t="shared" si="0"/>
        <v>0</v>
      </c>
      <c r="P11" s="375">
        <f t="shared" si="0"/>
        <v>0</v>
      </c>
      <c r="Q11" s="375">
        <f t="shared" si="0"/>
        <v>14526.450864789231</v>
      </c>
      <c r="R11" s="375">
        <f t="shared" si="0"/>
        <v>0</v>
      </c>
      <c r="S11" s="375">
        <f t="shared" si="0"/>
        <v>0</v>
      </c>
      <c r="T11" s="375">
        <f t="shared" si="0"/>
        <v>0</v>
      </c>
      <c r="U11" s="375">
        <f t="shared" si="0"/>
        <v>0</v>
      </c>
      <c r="V11" s="375">
        <f t="shared" si="0"/>
        <v>0</v>
      </c>
      <c r="W11" s="375">
        <f t="shared" si="0"/>
        <v>4953.0695172014339</v>
      </c>
      <c r="X11" s="375">
        <f t="shared" si="0"/>
        <v>0</v>
      </c>
      <c r="Y11" s="376">
        <f t="shared" si="2"/>
        <v>19479.520381990664</v>
      </c>
    </row>
    <row r="12" spans="1:25">
      <c r="A12" s="374" t="s">
        <v>7</v>
      </c>
      <c r="B12" s="375">
        <f>+'[5]Calculo Coef Actualizado'!B12-'[5]pagado 1er Sem'!B12</f>
        <v>0</v>
      </c>
      <c r="C12" s="375">
        <f>+'[5]Calculo Coef Actualizado'!C12-'[5]pagado 1er Sem'!C12</f>
        <v>0</v>
      </c>
      <c r="D12" s="375">
        <f>+'[5]Calculo Coef Actualizado'!D12-'[5]pagado 1er Sem'!D12</f>
        <v>0</v>
      </c>
      <c r="E12" s="375">
        <f>+'[5]Calculo Coef Actualizado'!E12-'[5]pagado 1er Sem'!E12</f>
        <v>0</v>
      </c>
      <c r="F12" s="375">
        <f>+'[5]Calculo Coef Actualizado'!F12-'[5]pagado 1er Sem'!F12</f>
        <v>0</v>
      </c>
      <c r="G12" s="375">
        <f>+'[5]Calculo Coef Actualizado'!G12-'[5]pagado 1er Sem'!G12</f>
        <v>0</v>
      </c>
      <c r="H12" s="375">
        <f>+'[5]Calculo Coef Actualizado'!H12-'[5]pagado 1er Sem'!H12</f>
        <v>0</v>
      </c>
      <c r="I12" s="375">
        <f>+'[5]Calculo Coef Actualizado'!I12-'[5]pagado 1er Sem'!I12</f>
        <v>0</v>
      </c>
      <c r="J12" s="375">
        <f>+'[5]Calculo Coef Actualizado'!J12-'[5]pagado 1er Sem'!J12</f>
        <v>-17090.830959244689</v>
      </c>
      <c r="K12" s="375">
        <f>+'[5]Calculo Coef Actualizado'!K12-'[5]pagado 1er Sem'!K12</f>
        <v>0</v>
      </c>
      <c r="L12" s="376">
        <f t="shared" si="1"/>
        <v>-17090.830959244689</v>
      </c>
      <c r="N12" s="374" t="s">
        <v>7</v>
      </c>
      <c r="O12" s="375">
        <f t="shared" si="0"/>
        <v>0</v>
      </c>
      <c r="P12" s="375">
        <f t="shared" si="0"/>
        <v>0</v>
      </c>
      <c r="Q12" s="375">
        <f t="shared" si="0"/>
        <v>0</v>
      </c>
      <c r="R12" s="375">
        <f t="shared" si="0"/>
        <v>0</v>
      </c>
      <c r="S12" s="375">
        <f t="shared" si="0"/>
        <v>0</v>
      </c>
      <c r="T12" s="375">
        <f t="shared" si="0"/>
        <v>0</v>
      </c>
      <c r="U12" s="375">
        <f t="shared" si="0"/>
        <v>0</v>
      </c>
      <c r="V12" s="375">
        <f t="shared" si="0"/>
        <v>0</v>
      </c>
      <c r="W12" s="375">
        <f t="shared" si="0"/>
        <v>-2848.4718265407814</v>
      </c>
      <c r="X12" s="375">
        <f t="shared" si="0"/>
        <v>0</v>
      </c>
      <c r="Y12" s="376">
        <f t="shared" si="2"/>
        <v>-2848.4718265407814</v>
      </c>
    </row>
    <row r="13" spans="1:25">
      <c r="A13" s="374" t="s">
        <v>8</v>
      </c>
      <c r="B13" s="375">
        <f>+'[5]Calculo Coef Actualizado'!B13-'[5]pagado 1er Sem'!B13</f>
        <v>0</v>
      </c>
      <c r="C13" s="375">
        <f>+'[5]Calculo Coef Actualizado'!C13-'[5]pagado 1er Sem'!C13</f>
        <v>0</v>
      </c>
      <c r="D13" s="375">
        <f>+'[5]Calculo Coef Actualizado'!D13-'[5]pagado 1er Sem'!D13</f>
        <v>-708793.18073689938</v>
      </c>
      <c r="E13" s="375">
        <f>+'[5]Calculo Coef Actualizado'!E13-'[5]pagado 1er Sem'!E13</f>
        <v>0</v>
      </c>
      <c r="F13" s="375">
        <f>+'[5]Calculo Coef Actualizado'!F13-'[5]pagado 1er Sem'!F13</f>
        <v>0</v>
      </c>
      <c r="G13" s="375">
        <f>+'[5]Calculo Coef Actualizado'!G13-'[5]pagado 1er Sem'!G13</f>
        <v>0</v>
      </c>
      <c r="H13" s="375">
        <f>+'[5]Calculo Coef Actualizado'!H13-'[5]pagado 1er Sem'!H13</f>
        <v>0</v>
      </c>
      <c r="I13" s="375">
        <f>+'[5]Calculo Coef Actualizado'!I13-'[5]pagado 1er Sem'!I13</f>
        <v>0</v>
      </c>
      <c r="J13" s="375">
        <f>+'[5]Calculo Coef Actualizado'!J13-'[5]pagado 1er Sem'!J13</f>
        <v>-9987.6785954555453</v>
      </c>
      <c r="K13" s="375">
        <f>+'[5]Calculo Coef Actualizado'!K13-'[5]pagado 1er Sem'!K13</f>
        <v>0</v>
      </c>
      <c r="L13" s="376">
        <f t="shared" si="1"/>
        <v>-718780.85933235497</v>
      </c>
      <c r="N13" s="374" t="s">
        <v>8</v>
      </c>
      <c r="O13" s="375">
        <f t="shared" si="0"/>
        <v>0</v>
      </c>
      <c r="P13" s="375">
        <f t="shared" si="0"/>
        <v>0</v>
      </c>
      <c r="Q13" s="375">
        <f t="shared" si="0"/>
        <v>-118132.19678948323</v>
      </c>
      <c r="R13" s="375">
        <f t="shared" si="0"/>
        <v>0</v>
      </c>
      <c r="S13" s="375">
        <f t="shared" si="0"/>
        <v>0</v>
      </c>
      <c r="T13" s="375">
        <f t="shared" si="0"/>
        <v>0</v>
      </c>
      <c r="U13" s="375">
        <f t="shared" si="0"/>
        <v>0</v>
      </c>
      <c r="V13" s="375">
        <f t="shared" si="0"/>
        <v>0</v>
      </c>
      <c r="W13" s="375">
        <f t="shared" si="0"/>
        <v>-1664.6130992425908</v>
      </c>
      <c r="X13" s="375">
        <f t="shared" si="0"/>
        <v>0</v>
      </c>
      <c r="Y13" s="376">
        <f t="shared" si="2"/>
        <v>-119796.80988872582</v>
      </c>
    </row>
    <row r="14" spans="1:25">
      <c r="A14" s="374" t="s">
        <v>9</v>
      </c>
      <c r="B14" s="375">
        <f>+'[5]Calculo Coef Actualizado'!B14-'[5]pagado 1er Sem'!B14</f>
        <v>0</v>
      </c>
      <c r="C14" s="375">
        <f>+'[5]Calculo Coef Actualizado'!C14-'[5]pagado 1er Sem'!C14</f>
        <v>0</v>
      </c>
      <c r="D14" s="375">
        <f>+'[5]Calculo Coef Actualizado'!D14-'[5]pagado 1er Sem'!D14</f>
        <v>-74715.27882702928</v>
      </c>
      <c r="E14" s="375">
        <f>+'[5]Calculo Coef Actualizado'!E14-'[5]pagado 1er Sem'!E14</f>
        <v>0</v>
      </c>
      <c r="F14" s="375">
        <f>+'[5]Calculo Coef Actualizado'!F14-'[5]pagado 1er Sem'!F14</f>
        <v>0</v>
      </c>
      <c r="G14" s="375">
        <f>+'[5]Calculo Coef Actualizado'!G14-'[5]pagado 1er Sem'!G14</f>
        <v>0</v>
      </c>
      <c r="H14" s="375">
        <f>+'[5]Calculo Coef Actualizado'!H14-'[5]pagado 1er Sem'!H14</f>
        <v>0</v>
      </c>
      <c r="I14" s="375">
        <f>+'[5]Calculo Coef Actualizado'!I14-'[5]pagado 1er Sem'!I14</f>
        <v>0</v>
      </c>
      <c r="J14" s="375">
        <f>+'[5]Calculo Coef Actualizado'!J14-'[5]pagado 1er Sem'!J14</f>
        <v>10143.135637103813</v>
      </c>
      <c r="K14" s="375">
        <f>+'[5]Calculo Coef Actualizado'!K14-'[5]pagado 1er Sem'!K14</f>
        <v>0</v>
      </c>
      <c r="L14" s="376">
        <f t="shared" si="1"/>
        <v>-64572.143189925468</v>
      </c>
      <c r="N14" s="374" t="s">
        <v>9</v>
      </c>
      <c r="O14" s="375">
        <f t="shared" si="0"/>
        <v>0</v>
      </c>
      <c r="P14" s="375">
        <f t="shared" si="0"/>
        <v>0</v>
      </c>
      <c r="Q14" s="375">
        <f t="shared" si="0"/>
        <v>-12452.546471171547</v>
      </c>
      <c r="R14" s="375">
        <f t="shared" si="0"/>
        <v>0</v>
      </c>
      <c r="S14" s="375">
        <f t="shared" si="0"/>
        <v>0</v>
      </c>
      <c r="T14" s="375">
        <f t="shared" si="0"/>
        <v>0</v>
      </c>
      <c r="U14" s="375">
        <f t="shared" si="0"/>
        <v>0</v>
      </c>
      <c r="V14" s="375">
        <f t="shared" si="0"/>
        <v>0</v>
      </c>
      <c r="W14" s="375">
        <f t="shared" si="0"/>
        <v>1690.5226061839687</v>
      </c>
      <c r="X14" s="375">
        <f t="shared" si="0"/>
        <v>0</v>
      </c>
      <c r="Y14" s="376">
        <f t="shared" si="2"/>
        <v>-10762.023864987577</v>
      </c>
    </row>
    <row r="15" spans="1:25">
      <c r="A15" s="374" t="s">
        <v>10</v>
      </c>
      <c r="B15" s="375">
        <f>+'[5]Calculo Coef Actualizado'!B15-'[5]pagado 1er Sem'!B15</f>
        <v>-3.5390257835388184E-8</v>
      </c>
      <c r="C15" s="375">
        <f>+'[5]Calculo Coef Actualizado'!C15-'[5]pagado 1er Sem'!C15</f>
        <v>-4.8894435167312622E-9</v>
      </c>
      <c r="D15" s="375">
        <f>+'[5]Calculo Coef Actualizado'!D15-'[5]pagado 1er Sem'!D15</f>
        <v>-1355645.0377055216</v>
      </c>
      <c r="E15" s="375">
        <f>+'[5]Calculo Coef Actualizado'!E15-'[5]pagado 1er Sem'!E15</f>
        <v>-1.0477378964424133E-9</v>
      </c>
      <c r="F15" s="375">
        <f>+'[5]Calculo Coef Actualizado'!F15-'[5]pagado 1er Sem'!F15</f>
        <v>-1.6880221664905548E-9</v>
      </c>
      <c r="G15" s="375">
        <f>+'[5]Calculo Coef Actualizado'!G15-'[5]pagado 1er Sem'!G15</f>
        <v>8.0035533756017685E-11</v>
      </c>
      <c r="H15" s="375">
        <f>+'[5]Calculo Coef Actualizado'!H15-'[5]pagado 1er Sem'!H15</f>
        <v>-9.3132257461547852E-10</v>
      </c>
      <c r="I15" s="375">
        <f>+'[5]Calculo Coef Actualizado'!I15-'[5]pagado 1er Sem'!I15</f>
        <v>-1.964508555829525E-10</v>
      </c>
      <c r="J15" s="375">
        <f>+'[5]Calculo Coef Actualizado'!J15-'[5]pagado 1er Sem'!J15</f>
        <v>82294.871653741924</v>
      </c>
      <c r="K15" s="375">
        <f>+'[5]Calculo Coef Actualizado'!K15-'[5]pagado 1er Sem'!K15</f>
        <v>-4.6566128730773926E-10</v>
      </c>
      <c r="L15" s="376">
        <f t="shared" si="1"/>
        <v>-1273350.1660518243</v>
      </c>
      <c r="N15" s="374" t="s">
        <v>10</v>
      </c>
      <c r="O15" s="375">
        <f t="shared" si="0"/>
        <v>-5.8983763058980303E-9</v>
      </c>
      <c r="P15" s="375">
        <f t="shared" si="0"/>
        <v>-8.149072527885437E-10</v>
      </c>
      <c r="Q15" s="375">
        <f t="shared" si="0"/>
        <v>-225940.83961758693</v>
      </c>
      <c r="R15" s="375">
        <f t="shared" si="0"/>
        <v>-1.7462298274040222E-10</v>
      </c>
      <c r="S15" s="375">
        <f t="shared" si="0"/>
        <v>-2.8133702774842578E-10</v>
      </c>
      <c r="T15" s="375">
        <f t="shared" si="0"/>
        <v>1.3339255626002947E-11</v>
      </c>
      <c r="U15" s="375">
        <f t="shared" si="0"/>
        <v>-1.5522042910257974E-10</v>
      </c>
      <c r="V15" s="375">
        <f t="shared" si="0"/>
        <v>-3.2741809263825417E-11</v>
      </c>
      <c r="W15" s="375">
        <f t="shared" si="0"/>
        <v>13715.81194229032</v>
      </c>
      <c r="X15" s="375">
        <f t="shared" si="0"/>
        <v>-7.7610214551289872E-11</v>
      </c>
      <c r="Y15" s="376">
        <f t="shared" si="2"/>
        <v>-212225.02767530407</v>
      </c>
    </row>
    <row r="16" spans="1:25">
      <c r="A16" s="374" t="s">
        <v>11</v>
      </c>
      <c r="B16" s="375">
        <f>+'[5]Calculo Coef Actualizado'!B16-'[5]pagado 1er Sem'!B16</f>
        <v>0</v>
      </c>
      <c r="C16" s="375">
        <f>+'[5]Calculo Coef Actualizado'!C16-'[5]pagado 1er Sem'!C16</f>
        <v>0</v>
      </c>
      <c r="D16" s="375">
        <f>+'[5]Calculo Coef Actualizado'!D16-'[5]pagado 1er Sem'!D16</f>
        <v>3563722.4992991807</v>
      </c>
      <c r="E16" s="375">
        <f>+'[5]Calculo Coef Actualizado'!E16-'[5]pagado 1er Sem'!E16</f>
        <v>0</v>
      </c>
      <c r="F16" s="375">
        <f>+'[5]Calculo Coef Actualizado'!F16-'[5]pagado 1er Sem'!F16</f>
        <v>0</v>
      </c>
      <c r="G16" s="375">
        <f>+'[5]Calculo Coef Actualizado'!G16-'[5]pagado 1er Sem'!G16</f>
        <v>0</v>
      </c>
      <c r="H16" s="375">
        <f>+'[5]Calculo Coef Actualizado'!H16-'[5]pagado 1er Sem'!H16</f>
        <v>0</v>
      </c>
      <c r="I16" s="375">
        <f>+'[5]Calculo Coef Actualizado'!I16-'[5]pagado 1er Sem'!I16</f>
        <v>0</v>
      </c>
      <c r="J16" s="375">
        <f>+'[5]Calculo Coef Actualizado'!J16-'[5]pagado 1er Sem'!J16</f>
        <v>-21472.982159141218</v>
      </c>
      <c r="K16" s="375">
        <f>+'[5]Calculo Coef Actualizado'!K16-'[5]pagado 1er Sem'!K16</f>
        <v>0</v>
      </c>
      <c r="L16" s="376">
        <f t="shared" si="1"/>
        <v>3542249.5171400392</v>
      </c>
      <c r="N16" s="374" t="s">
        <v>11</v>
      </c>
      <c r="O16" s="375">
        <f t="shared" si="0"/>
        <v>0</v>
      </c>
      <c r="P16" s="375">
        <f t="shared" si="0"/>
        <v>0</v>
      </c>
      <c r="Q16" s="375">
        <f t="shared" si="0"/>
        <v>593953.74988319678</v>
      </c>
      <c r="R16" s="375">
        <f t="shared" si="0"/>
        <v>0</v>
      </c>
      <c r="S16" s="375">
        <f t="shared" si="0"/>
        <v>0</v>
      </c>
      <c r="T16" s="375">
        <f t="shared" si="0"/>
        <v>0</v>
      </c>
      <c r="U16" s="375">
        <f t="shared" si="0"/>
        <v>0</v>
      </c>
      <c r="V16" s="375">
        <f t="shared" si="0"/>
        <v>0</v>
      </c>
      <c r="W16" s="375">
        <f t="shared" si="0"/>
        <v>-3578.8303598568696</v>
      </c>
      <c r="X16" s="375">
        <f t="shared" si="0"/>
        <v>0</v>
      </c>
      <c r="Y16" s="376">
        <f t="shared" si="2"/>
        <v>590374.91952333995</v>
      </c>
    </row>
    <row r="17" spans="1:25">
      <c r="A17" s="374" t="s">
        <v>12</v>
      </c>
      <c r="B17" s="375">
        <f>+'[5]Calculo Coef Actualizado'!B17-'[5]pagado 1er Sem'!B17</f>
        <v>0</v>
      </c>
      <c r="C17" s="375">
        <f>+'[5]Calculo Coef Actualizado'!C17-'[5]pagado 1er Sem'!C17</f>
        <v>0</v>
      </c>
      <c r="D17" s="375">
        <f>+'[5]Calculo Coef Actualizado'!D17-'[5]pagado 1er Sem'!D17</f>
        <v>-541622.78290608828</v>
      </c>
      <c r="E17" s="375">
        <f>+'[5]Calculo Coef Actualizado'!E17-'[5]pagado 1er Sem'!E17</f>
        <v>0</v>
      </c>
      <c r="F17" s="375">
        <f>+'[5]Calculo Coef Actualizado'!F17-'[5]pagado 1er Sem'!F17</f>
        <v>0</v>
      </c>
      <c r="G17" s="375">
        <f>+'[5]Calculo Coef Actualizado'!G17-'[5]pagado 1er Sem'!G17</f>
        <v>0</v>
      </c>
      <c r="H17" s="375">
        <f>+'[5]Calculo Coef Actualizado'!H17-'[5]pagado 1er Sem'!H17</f>
        <v>0</v>
      </c>
      <c r="I17" s="375">
        <f>+'[5]Calculo Coef Actualizado'!I17-'[5]pagado 1er Sem'!I17</f>
        <v>0</v>
      </c>
      <c r="J17" s="375">
        <f>+'[5]Calculo Coef Actualizado'!J17-'[5]pagado 1er Sem'!J17</f>
        <v>-14746.181047439779</v>
      </c>
      <c r="K17" s="375">
        <f>+'[5]Calculo Coef Actualizado'!K17-'[5]pagado 1er Sem'!K17</f>
        <v>0</v>
      </c>
      <c r="L17" s="376">
        <f t="shared" si="1"/>
        <v>-556368.96395352809</v>
      </c>
      <c r="N17" s="374" t="s">
        <v>12</v>
      </c>
      <c r="O17" s="375">
        <f t="shared" si="0"/>
        <v>0</v>
      </c>
      <c r="P17" s="375">
        <f t="shared" si="0"/>
        <v>0</v>
      </c>
      <c r="Q17" s="375">
        <f t="shared" si="0"/>
        <v>-90270.463817681375</v>
      </c>
      <c r="R17" s="375">
        <f t="shared" si="0"/>
        <v>0</v>
      </c>
      <c r="S17" s="375">
        <f t="shared" si="0"/>
        <v>0</v>
      </c>
      <c r="T17" s="375">
        <f t="shared" si="0"/>
        <v>0</v>
      </c>
      <c r="U17" s="375">
        <f t="shared" si="0"/>
        <v>0</v>
      </c>
      <c r="V17" s="375">
        <f t="shared" si="0"/>
        <v>0</v>
      </c>
      <c r="W17" s="375">
        <f t="shared" si="0"/>
        <v>-2457.6968412399633</v>
      </c>
      <c r="X17" s="375">
        <f t="shared" si="0"/>
        <v>0</v>
      </c>
      <c r="Y17" s="376">
        <f t="shared" si="2"/>
        <v>-92728.160658921333</v>
      </c>
    </row>
    <row r="18" spans="1:25">
      <c r="A18" s="374" t="s">
        <v>13</v>
      </c>
      <c r="B18" s="375">
        <f>+'[5]Calculo Coef Actualizado'!B18-'[5]pagado 1er Sem'!B18</f>
        <v>0</v>
      </c>
      <c r="C18" s="375">
        <f>+'[5]Calculo Coef Actualizado'!C18-'[5]pagado 1er Sem'!C18</f>
        <v>-1.862645149230957E-9</v>
      </c>
      <c r="D18" s="375">
        <f>+'[5]Calculo Coef Actualizado'!D18-'[5]pagado 1er Sem'!D18</f>
        <v>-347687.67776507488</v>
      </c>
      <c r="E18" s="375">
        <f>+'[5]Calculo Coef Actualizado'!E18-'[5]pagado 1er Sem'!E18</f>
        <v>0</v>
      </c>
      <c r="F18" s="375">
        <f>+'[5]Calculo Coef Actualizado'!F18-'[5]pagado 1er Sem'!F18</f>
        <v>0</v>
      </c>
      <c r="G18" s="375">
        <f>+'[5]Calculo Coef Actualizado'!G18-'[5]pagado 1er Sem'!G18</f>
        <v>0</v>
      </c>
      <c r="H18" s="375">
        <f>+'[5]Calculo Coef Actualizado'!H18-'[5]pagado 1er Sem'!H18</f>
        <v>0</v>
      </c>
      <c r="I18" s="375">
        <f>+'[5]Calculo Coef Actualizado'!I18-'[5]pagado 1er Sem'!I18</f>
        <v>0</v>
      </c>
      <c r="J18" s="375">
        <f>+'[5]Calculo Coef Actualizado'!J18-'[5]pagado 1er Sem'!J18</f>
        <v>31092.92366131593</v>
      </c>
      <c r="K18" s="375">
        <f>+'[5]Calculo Coef Actualizado'!K18-'[5]pagado 1er Sem'!K18</f>
        <v>0</v>
      </c>
      <c r="L18" s="376">
        <f t="shared" si="1"/>
        <v>-316594.75410376082</v>
      </c>
      <c r="N18" s="374" t="s">
        <v>13</v>
      </c>
      <c r="O18" s="375">
        <f t="shared" si="0"/>
        <v>0</v>
      </c>
      <c r="P18" s="375">
        <f t="shared" si="0"/>
        <v>-3.1044085820515949E-10</v>
      </c>
      <c r="Q18" s="375">
        <f t="shared" si="0"/>
        <v>-57947.94629417915</v>
      </c>
      <c r="R18" s="375">
        <f t="shared" si="0"/>
        <v>0</v>
      </c>
      <c r="S18" s="375">
        <f t="shared" si="0"/>
        <v>0</v>
      </c>
      <c r="T18" s="375">
        <f t="shared" si="0"/>
        <v>0</v>
      </c>
      <c r="U18" s="375">
        <f t="shared" si="0"/>
        <v>0</v>
      </c>
      <c r="V18" s="375">
        <f t="shared" si="0"/>
        <v>0</v>
      </c>
      <c r="W18" s="375">
        <f t="shared" si="0"/>
        <v>5182.1539435526547</v>
      </c>
      <c r="X18" s="375">
        <f t="shared" si="0"/>
        <v>0</v>
      </c>
      <c r="Y18" s="376">
        <f t="shared" si="2"/>
        <v>-52765.792350626805</v>
      </c>
    </row>
    <row r="19" spans="1:25">
      <c r="A19" s="374" t="s">
        <v>14</v>
      </c>
      <c r="B19" s="375">
        <f>+'[5]Calculo Coef Actualizado'!B19-'[5]pagado 1er Sem'!B19</f>
        <v>0</v>
      </c>
      <c r="C19" s="375">
        <f>+'[5]Calculo Coef Actualizado'!C19-'[5]pagado 1er Sem'!C19</f>
        <v>0</v>
      </c>
      <c r="D19" s="375">
        <f>+'[5]Calculo Coef Actualizado'!D19-'[5]pagado 1er Sem'!D19</f>
        <v>-726004.39353838435</v>
      </c>
      <c r="E19" s="375">
        <f>+'[5]Calculo Coef Actualizado'!E19-'[5]pagado 1er Sem'!E19</f>
        <v>0</v>
      </c>
      <c r="F19" s="375">
        <f>+'[5]Calculo Coef Actualizado'!F19-'[5]pagado 1er Sem'!F19</f>
        <v>-4.1909515857696533E-9</v>
      </c>
      <c r="G19" s="375">
        <f>+'[5]Calculo Coef Actualizado'!G19-'[5]pagado 1er Sem'!G19</f>
        <v>0</v>
      </c>
      <c r="H19" s="375">
        <f>+'[5]Calculo Coef Actualizado'!H19-'[5]pagado 1er Sem'!H19</f>
        <v>0</v>
      </c>
      <c r="I19" s="375">
        <f>+'[5]Calculo Coef Actualizado'!I19-'[5]pagado 1er Sem'!I19</f>
        <v>-4.6566128730773926E-10</v>
      </c>
      <c r="J19" s="375">
        <f>+'[5]Calculo Coef Actualizado'!J19-'[5]pagado 1er Sem'!J19</f>
        <v>103531.85401757015</v>
      </c>
      <c r="K19" s="375">
        <f>+'[5]Calculo Coef Actualizado'!K19-'[5]pagado 1er Sem'!K19</f>
        <v>0</v>
      </c>
      <c r="L19" s="376">
        <f t="shared" si="1"/>
        <v>-622472.53952081886</v>
      </c>
      <c r="N19" s="374" t="s">
        <v>14</v>
      </c>
      <c r="O19" s="375">
        <f t="shared" si="0"/>
        <v>0</v>
      </c>
      <c r="P19" s="375">
        <f t="shared" si="0"/>
        <v>0</v>
      </c>
      <c r="Q19" s="375">
        <f t="shared" si="0"/>
        <v>-121000.73225639739</v>
      </c>
      <c r="R19" s="375">
        <f t="shared" si="0"/>
        <v>0</v>
      </c>
      <c r="S19" s="375">
        <f t="shared" si="0"/>
        <v>-6.9849193096160889E-10</v>
      </c>
      <c r="T19" s="375">
        <f t="shared" si="0"/>
        <v>0</v>
      </c>
      <c r="U19" s="375">
        <f t="shared" si="0"/>
        <v>0</v>
      </c>
      <c r="V19" s="375">
        <f t="shared" si="0"/>
        <v>-7.7610214551289872E-11</v>
      </c>
      <c r="W19" s="375">
        <f t="shared" si="0"/>
        <v>17255.309002928359</v>
      </c>
      <c r="X19" s="375">
        <f t="shared" si="0"/>
        <v>0</v>
      </c>
      <c r="Y19" s="376">
        <f t="shared" si="2"/>
        <v>-103745.42325346979</v>
      </c>
    </row>
    <row r="20" spans="1:25">
      <c r="A20" s="374" t="s">
        <v>15</v>
      </c>
      <c r="B20" s="375">
        <f>+'[5]Calculo Coef Actualizado'!B20-'[5]pagado 1er Sem'!B20</f>
        <v>0</v>
      </c>
      <c r="C20" s="375">
        <f>+'[5]Calculo Coef Actualizado'!C20-'[5]pagado 1er Sem'!C20</f>
        <v>0</v>
      </c>
      <c r="D20" s="375">
        <f>+'[5]Calculo Coef Actualizado'!D20-'[5]pagado 1er Sem'!D20</f>
        <v>42383.366589996265</v>
      </c>
      <c r="E20" s="375">
        <f>+'[5]Calculo Coef Actualizado'!E20-'[5]pagado 1er Sem'!E20</f>
        <v>0</v>
      </c>
      <c r="F20" s="375">
        <f>+'[5]Calculo Coef Actualizado'!F20-'[5]pagado 1er Sem'!F20</f>
        <v>0</v>
      </c>
      <c r="G20" s="375">
        <f>+'[5]Calculo Coef Actualizado'!G20-'[5]pagado 1er Sem'!G20</f>
        <v>0</v>
      </c>
      <c r="H20" s="375">
        <f>+'[5]Calculo Coef Actualizado'!H20-'[5]pagado 1er Sem'!H20</f>
        <v>0</v>
      </c>
      <c r="I20" s="375">
        <f>+'[5]Calculo Coef Actualizado'!I20-'[5]pagado 1er Sem'!I20</f>
        <v>0</v>
      </c>
      <c r="J20" s="375">
        <f>+'[5]Calculo Coef Actualizado'!J20-'[5]pagado 1er Sem'!J20</f>
        <v>-49170.1661319587</v>
      </c>
      <c r="K20" s="375">
        <f>+'[5]Calculo Coef Actualizado'!K20-'[5]pagado 1er Sem'!K20</f>
        <v>0</v>
      </c>
      <c r="L20" s="376">
        <f t="shared" si="1"/>
        <v>-6786.7995419624349</v>
      </c>
      <c r="N20" s="374" t="s">
        <v>15</v>
      </c>
      <c r="O20" s="375">
        <f t="shared" si="0"/>
        <v>0</v>
      </c>
      <c r="P20" s="375">
        <f t="shared" si="0"/>
        <v>0</v>
      </c>
      <c r="Q20" s="375">
        <f t="shared" si="0"/>
        <v>7063.8944316660445</v>
      </c>
      <c r="R20" s="375">
        <f t="shared" si="0"/>
        <v>0</v>
      </c>
      <c r="S20" s="375">
        <f t="shared" si="0"/>
        <v>0</v>
      </c>
      <c r="T20" s="375">
        <f t="shared" si="0"/>
        <v>0</v>
      </c>
      <c r="U20" s="375">
        <f t="shared" si="0"/>
        <v>0</v>
      </c>
      <c r="V20" s="375">
        <f t="shared" si="0"/>
        <v>0</v>
      </c>
      <c r="W20" s="375">
        <f t="shared" si="0"/>
        <v>-8195.027688659784</v>
      </c>
      <c r="X20" s="375">
        <f t="shared" si="0"/>
        <v>0</v>
      </c>
      <c r="Y20" s="376">
        <f t="shared" si="2"/>
        <v>-1131.1332569937395</v>
      </c>
    </row>
    <row r="21" spans="1:25">
      <c r="A21" s="374" t="s">
        <v>16</v>
      </c>
      <c r="B21" s="375">
        <f>+'[5]Calculo Coef Actualizado'!B21-'[5]pagado 1er Sem'!B21</f>
        <v>-7.4505805969238281E-9</v>
      </c>
      <c r="C21" s="375">
        <f>+'[5]Calculo Coef Actualizado'!C21-'[5]pagado 1er Sem'!C21</f>
        <v>-1.0477378964424133E-9</v>
      </c>
      <c r="D21" s="375">
        <f>+'[5]Calculo Coef Actualizado'!D21-'[5]pagado 1er Sem'!D21</f>
        <v>-820869.51410534023</v>
      </c>
      <c r="E21" s="375">
        <f>+'[5]Calculo Coef Actualizado'!E21-'[5]pagado 1er Sem'!E21</f>
        <v>-2.3283064365386963E-10</v>
      </c>
      <c r="F21" s="375">
        <f>+'[5]Calculo Coef Actualizado'!F21-'[5]pagado 1er Sem'!F21</f>
        <v>0</v>
      </c>
      <c r="G21" s="375">
        <f>+'[5]Calculo Coef Actualizado'!G21-'[5]pagado 1er Sem'!G21</f>
        <v>0</v>
      </c>
      <c r="H21" s="375">
        <f>+'[5]Calculo Coef Actualizado'!H21-'[5]pagado 1er Sem'!H21</f>
        <v>0</v>
      </c>
      <c r="I21" s="375">
        <f>+'[5]Calculo Coef Actualizado'!I21-'[5]pagado 1er Sem'!I21</f>
        <v>0</v>
      </c>
      <c r="J21" s="375">
        <f>+'[5]Calculo Coef Actualizado'!J21-'[5]pagado 1er Sem'!J21</f>
        <v>30231.93316359583</v>
      </c>
      <c r="K21" s="375">
        <f>+'[5]Calculo Coef Actualizado'!K21-'[5]pagado 1er Sem'!K21</f>
        <v>0</v>
      </c>
      <c r="L21" s="376">
        <f t="shared" si="1"/>
        <v>-790637.58094175311</v>
      </c>
      <c r="N21" s="374" t="s">
        <v>16</v>
      </c>
      <c r="O21" s="375">
        <f t="shared" si="0"/>
        <v>-1.241763432820638E-9</v>
      </c>
      <c r="P21" s="375">
        <f t="shared" si="0"/>
        <v>-1.7462298274040222E-10</v>
      </c>
      <c r="Q21" s="375">
        <f t="shared" si="0"/>
        <v>-136811.58568422336</v>
      </c>
      <c r="R21" s="375">
        <f t="shared" si="0"/>
        <v>-3.8805107275644936E-11</v>
      </c>
      <c r="S21" s="375">
        <f t="shared" si="0"/>
        <v>0</v>
      </c>
      <c r="T21" s="375">
        <f t="shared" si="0"/>
        <v>0</v>
      </c>
      <c r="U21" s="375">
        <f t="shared" si="0"/>
        <v>0</v>
      </c>
      <c r="V21" s="375">
        <f t="shared" si="0"/>
        <v>0</v>
      </c>
      <c r="W21" s="375">
        <f t="shared" si="0"/>
        <v>5038.6555272659716</v>
      </c>
      <c r="X21" s="375">
        <f t="shared" si="0"/>
        <v>0</v>
      </c>
      <c r="Y21" s="376">
        <f t="shared" si="2"/>
        <v>-131772.93015695884</v>
      </c>
    </row>
    <row r="22" spans="1:25">
      <c r="A22" s="374" t="s">
        <v>17</v>
      </c>
      <c r="B22" s="375">
        <f>+'[5]Calculo Coef Actualizado'!B22-'[5]pagado 1er Sem'!B22</f>
        <v>0</v>
      </c>
      <c r="C22" s="375">
        <f>+'[5]Calculo Coef Actualizado'!C22-'[5]pagado 1er Sem'!C22</f>
        <v>0</v>
      </c>
      <c r="D22" s="375">
        <f>+'[5]Calculo Coef Actualizado'!D22-'[5]pagado 1er Sem'!D22</f>
        <v>-475308.75831287575</v>
      </c>
      <c r="E22" s="375">
        <f>+'[5]Calculo Coef Actualizado'!E22-'[5]pagado 1er Sem'!E22</f>
        <v>0</v>
      </c>
      <c r="F22" s="375">
        <f>+'[5]Calculo Coef Actualizado'!F22-'[5]pagado 1er Sem'!F22</f>
        <v>0</v>
      </c>
      <c r="G22" s="375">
        <f>+'[5]Calculo Coef Actualizado'!G22-'[5]pagado 1er Sem'!G22</f>
        <v>0</v>
      </c>
      <c r="H22" s="375">
        <f>+'[5]Calculo Coef Actualizado'!H22-'[5]pagado 1er Sem'!H22</f>
        <v>0</v>
      </c>
      <c r="I22" s="375">
        <f>+'[5]Calculo Coef Actualizado'!I22-'[5]pagado 1er Sem'!I22</f>
        <v>0</v>
      </c>
      <c r="J22" s="375">
        <f>+'[5]Calculo Coef Actualizado'!J22-'[5]pagado 1er Sem'!J22</f>
        <v>-31039.896861670422</v>
      </c>
      <c r="K22" s="375">
        <f>+'[5]Calculo Coef Actualizado'!K22-'[5]pagado 1er Sem'!K22</f>
        <v>0</v>
      </c>
      <c r="L22" s="376">
        <f t="shared" si="1"/>
        <v>-506348.65517454618</v>
      </c>
      <c r="N22" s="374" t="s">
        <v>17</v>
      </c>
      <c r="O22" s="375">
        <f t="shared" ref="O22:X47" si="3">+B22/6</f>
        <v>0</v>
      </c>
      <c r="P22" s="375">
        <f t="shared" si="3"/>
        <v>0</v>
      </c>
      <c r="Q22" s="375">
        <f t="shared" si="3"/>
        <v>-79218.126385479292</v>
      </c>
      <c r="R22" s="375">
        <f t="shared" si="3"/>
        <v>0</v>
      </c>
      <c r="S22" s="375">
        <f t="shared" si="3"/>
        <v>0</v>
      </c>
      <c r="T22" s="375">
        <f t="shared" si="3"/>
        <v>0</v>
      </c>
      <c r="U22" s="375">
        <f t="shared" si="3"/>
        <v>0</v>
      </c>
      <c r="V22" s="375">
        <f t="shared" si="3"/>
        <v>0</v>
      </c>
      <c r="W22" s="375">
        <f t="shared" si="3"/>
        <v>-5173.3161436117371</v>
      </c>
      <c r="X22" s="375">
        <f t="shared" si="3"/>
        <v>0</v>
      </c>
      <c r="Y22" s="376">
        <f t="shared" si="2"/>
        <v>-84391.442529091029</v>
      </c>
    </row>
    <row r="23" spans="1:25">
      <c r="A23" s="374" t="s">
        <v>18</v>
      </c>
      <c r="B23" s="375">
        <f>+'[5]Calculo Coef Actualizado'!B23-'[5]pagado 1er Sem'!B23</f>
        <v>0</v>
      </c>
      <c r="C23" s="375">
        <f>+'[5]Calculo Coef Actualizado'!C23-'[5]pagado 1er Sem'!C23</f>
        <v>0</v>
      </c>
      <c r="D23" s="375">
        <f>+'[5]Calculo Coef Actualizado'!D23-'[5]pagado 1er Sem'!D23</f>
        <v>-116065.77466190932</v>
      </c>
      <c r="E23" s="375">
        <f>+'[5]Calculo Coef Actualizado'!E23-'[5]pagado 1er Sem'!E23</f>
        <v>0</v>
      </c>
      <c r="F23" s="375">
        <f>+'[5]Calculo Coef Actualizado'!F23-'[5]pagado 1er Sem'!F23</f>
        <v>0</v>
      </c>
      <c r="G23" s="375">
        <f>+'[5]Calculo Coef Actualizado'!G23-'[5]pagado 1er Sem'!G23</f>
        <v>0</v>
      </c>
      <c r="H23" s="375">
        <f>+'[5]Calculo Coef Actualizado'!H23-'[5]pagado 1er Sem'!H23</f>
        <v>0</v>
      </c>
      <c r="I23" s="375">
        <f>+'[5]Calculo Coef Actualizado'!I23-'[5]pagado 1er Sem'!I23</f>
        <v>0</v>
      </c>
      <c r="J23" s="375">
        <f>+'[5]Calculo Coef Actualizado'!J23-'[5]pagado 1er Sem'!J23</f>
        <v>113349.45647841413</v>
      </c>
      <c r="K23" s="375">
        <f>+'[5]Calculo Coef Actualizado'!K23-'[5]pagado 1er Sem'!K23</f>
        <v>0</v>
      </c>
      <c r="L23" s="376">
        <f t="shared" si="1"/>
        <v>-2716.3181834951974</v>
      </c>
      <c r="N23" s="374" t="s">
        <v>18</v>
      </c>
      <c r="O23" s="375">
        <f t="shared" si="3"/>
        <v>0</v>
      </c>
      <c r="P23" s="375">
        <f t="shared" si="3"/>
        <v>0</v>
      </c>
      <c r="Q23" s="375">
        <f t="shared" si="3"/>
        <v>-19344.295776984887</v>
      </c>
      <c r="R23" s="375">
        <f t="shared" si="3"/>
        <v>0</v>
      </c>
      <c r="S23" s="375">
        <f t="shared" si="3"/>
        <v>0</v>
      </c>
      <c r="T23" s="375">
        <f t="shared" si="3"/>
        <v>0</v>
      </c>
      <c r="U23" s="375">
        <f t="shared" si="3"/>
        <v>0</v>
      </c>
      <c r="V23" s="375">
        <f t="shared" si="3"/>
        <v>0</v>
      </c>
      <c r="W23" s="375">
        <f t="shared" si="3"/>
        <v>18891.576079735689</v>
      </c>
      <c r="X23" s="375">
        <f t="shared" si="3"/>
        <v>0</v>
      </c>
      <c r="Y23" s="376">
        <f t="shared" si="2"/>
        <v>-452.71969724919836</v>
      </c>
    </row>
    <row r="24" spans="1:25">
      <c r="A24" s="374" t="s">
        <v>19</v>
      </c>
      <c r="B24" s="375">
        <f>+'[5]Calculo Coef Actualizado'!B24-'[5]pagado 1er Sem'!B24</f>
        <v>0</v>
      </c>
      <c r="C24" s="375">
        <f>+'[5]Calculo Coef Actualizado'!C24-'[5]pagado 1er Sem'!C24</f>
        <v>0</v>
      </c>
      <c r="D24" s="375">
        <f>+'[5]Calculo Coef Actualizado'!D24-'[5]pagado 1er Sem'!D24</f>
        <v>-115282.06427430629</v>
      </c>
      <c r="E24" s="375">
        <f>+'[5]Calculo Coef Actualizado'!E24-'[5]pagado 1er Sem'!E24</f>
        <v>0</v>
      </c>
      <c r="F24" s="375">
        <f>+'[5]Calculo Coef Actualizado'!F24-'[5]pagado 1er Sem'!F24</f>
        <v>0</v>
      </c>
      <c r="G24" s="375">
        <f>+'[5]Calculo Coef Actualizado'!G24-'[5]pagado 1er Sem'!G24</f>
        <v>0</v>
      </c>
      <c r="H24" s="375">
        <f>+'[5]Calculo Coef Actualizado'!H24-'[5]pagado 1er Sem'!H24</f>
        <v>0</v>
      </c>
      <c r="I24" s="375">
        <f>+'[5]Calculo Coef Actualizado'!I24-'[5]pagado 1er Sem'!I24</f>
        <v>0</v>
      </c>
      <c r="J24" s="375">
        <f>+'[5]Calculo Coef Actualizado'!J24-'[5]pagado 1er Sem'!J24</f>
        <v>15312.97549083487</v>
      </c>
      <c r="K24" s="375">
        <f>+'[5]Calculo Coef Actualizado'!K24-'[5]pagado 1er Sem'!K24</f>
        <v>0</v>
      </c>
      <c r="L24" s="376">
        <f t="shared" si="1"/>
        <v>-99969.088783471423</v>
      </c>
      <c r="N24" s="374" t="s">
        <v>19</v>
      </c>
      <c r="O24" s="375">
        <f t="shared" si="3"/>
        <v>0</v>
      </c>
      <c r="P24" s="375">
        <f t="shared" si="3"/>
        <v>0</v>
      </c>
      <c r="Q24" s="375">
        <f t="shared" si="3"/>
        <v>-19213.677379051049</v>
      </c>
      <c r="R24" s="375">
        <f t="shared" si="3"/>
        <v>0</v>
      </c>
      <c r="S24" s="375">
        <f t="shared" si="3"/>
        <v>0</v>
      </c>
      <c r="T24" s="375">
        <f t="shared" si="3"/>
        <v>0</v>
      </c>
      <c r="U24" s="375">
        <f t="shared" si="3"/>
        <v>0</v>
      </c>
      <c r="V24" s="375">
        <f t="shared" si="3"/>
        <v>0</v>
      </c>
      <c r="W24" s="375">
        <f t="shared" si="3"/>
        <v>2552.1625818058114</v>
      </c>
      <c r="X24" s="375">
        <f t="shared" si="3"/>
        <v>0</v>
      </c>
      <c r="Y24" s="376">
        <f t="shared" si="2"/>
        <v>-16661.514797245236</v>
      </c>
    </row>
    <row r="25" spans="1:25">
      <c r="A25" s="374" t="s">
        <v>20</v>
      </c>
      <c r="B25" s="375">
        <f>+'[5]Calculo Coef Actualizado'!B25-'[5]pagado 1er Sem'!B25</f>
        <v>0</v>
      </c>
      <c r="C25" s="375">
        <f>+'[5]Calculo Coef Actualizado'!C25-'[5]pagado 1er Sem'!C25</f>
        <v>0</v>
      </c>
      <c r="D25" s="375">
        <f>+'[5]Calculo Coef Actualizado'!D25-'[5]pagado 1er Sem'!D25</f>
        <v>-330655.52942657424</v>
      </c>
      <c r="E25" s="375">
        <f>+'[5]Calculo Coef Actualizado'!E25-'[5]pagado 1er Sem'!E25</f>
        <v>0</v>
      </c>
      <c r="F25" s="375">
        <f>+'[5]Calculo Coef Actualizado'!F25-'[5]pagado 1er Sem'!F25</f>
        <v>0</v>
      </c>
      <c r="G25" s="375">
        <f>+'[5]Calculo Coef Actualizado'!G25-'[5]pagado 1er Sem'!G25</f>
        <v>0</v>
      </c>
      <c r="H25" s="375">
        <f>+'[5]Calculo Coef Actualizado'!H25-'[5]pagado 1er Sem'!H25</f>
        <v>0</v>
      </c>
      <c r="I25" s="375">
        <f>+'[5]Calculo Coef Actualizado'!I25-'[5]pagado 1er Sem'!I25</f>
        <v>0</v>
      </c>
      <c r="J25" s="375">
        <f>+'[5]Calculo Coef Actualizado'!J25-'[5]pagado 1er Sem'!J25</f>
        <v>-111310.77114391513</v>
      </c>
      <c r="K25" s="375">
        <f>+'[5]Calculo Coef Actualizado'!K25-'[5]pagado 1er Sem'!K25</f>
        <v>0</v>
      </c>
      <c r="L25" s="376">
        <f t="shared" si="1"/>
        <v>-441966.30057048937</v>
      </c>
      <c r="N25" s="374" t="s">
        <v>20</v>
      </c>
      <c r="O25" s="375">
        <f t="shared" si="3"/>
        <v>0</v>
      </c>
      <c r="P25" s="375">
        <f t="shared" si="3"/>
        <v>0</v>
      </c>
      <c r="Q25" s="375">
        <f t="shared" si="3"/>
        <v>-55109.254904429043</v>
      </c>
      <c r="R25" s="375">
        <f t="shared" si="3"/>
        <v>0</v>
      </c>
      <c r="S25" s="375">
        <f t="shared" si="3"/>
        <v>0</v>
      </c>
      <c r="T25" s="375">
        <f t="shared" si="3"/>
        <v>0</v>
      </c>
      <c r="U25" s="375">
        <f t="shared" si="3"/>
        <v>0</v>
      </c>
      <c r="V25" s="375">
        <f t="shared" si="3"/>
        <v>0</v>
      </c>
      <c r="W25" s="375">
        <f t="shared" si="3"/>
        <v>-18551.795190652523</v>
      </c>
      <c r="X25" s="375">
        <f t="shared" si="3"/>
        <v>0</v>
      </c>
      <c r="Y25" s="376">
        <f t="shared" si="2"/>
        <v>-73661.050095081562</v>
      </c>
    </row>
    <row r="26" spans="1:25">
      <c r="A26" s="374" t="s">
        <v>21</v>
      </c>
      <c r="B26" s="375">
        <f>+'[5]Calculo Coef Actualizado'!B26-'[5]pagado 1er Sem'!B26</f>
        <v>0</v>
      </c>
      <c r="C26" s="375">
        <f>+'[5]Calculo Coef Actualizado'!C26-'[5]pagado 1er Sem'!C26</f>
        <v>0</v>
      </c>
      <c r="D26" s="375">
        <f>+'[5]Calculo Coef Actualizado'!D26-'[5]pagado 1er Sem'!D26</f>
        <v>-731766.17149658874</v>
      </c>
      <c r="E26" s="375">
        <f>+'[5]Calculo Coef Actualizado'!E26-'[5]pagado 1er Sem'!E26</f>
        <v>0</v>
      </c>
      <c r="F26" s="375">
        <f>+'[5]Calculo Coef Actualizado'!F26-'[5]pagado 1er Sem'!F26</f>
        <v>0</v>
      </c>
      <c r="G26" s="375">
        <f>+'[5]Calculo Coef Actualizado'!G26-'[5]pagado 1er Sem'!G26</f>
        <v>0</v>
      </c>
      <c r="H26" s="375">
        <f>+'[5]Calculo Coef Actualizado'!H26-'[5]pagado 1er Sem'!H26</f>
        <v>0</v>
      </c>
      <c r="I26" s="375">
        <f>+'[5]Calculo Coef Actualizado'!I26-'[5]pagado 1er Sem'!I26</f>
        <v>0</v>
      </c>
      <c r="J26" s="375">
        <f>+'[5]Calculo Coef Actualizado'!J26-'[5]pagado 1er Sem'!J26</f>
        <v>3623.5210018619546</v>
      </c>
      <c r="K26" s="375">
        <f>+'[5]Calculo Coef Actualizado'!K26-'[5]pagado 1er Sem'!K26</f>
        <v>0</v>
      </c>
      <c r="L26" s="376">
        <f t="shared" si="1"/>
        <v>-728142.65049472684</v>
      </c>
      <c r="N26" s="374" t="s">
        <v>21</v>
      </c>
      <c r="O26" s="375">
        <f t="shared" si="3"/>
        <v>0</v>
      </c>
      <c r="P26" s="375">
        <f t="shared" si="3"/>
        <v>0</v>
      </c>
      <c r="Q26" s="375">
        <f t="shared" si="3"/>
        <v>-121961.02858276479</v>
      </c>
      <c r="R26" s="375">
        <f t="shared" si="3"/>
        <v>0</v>
      </c>
      <c r="S26" s="375">
        <f t="shared" si="3"/>
        <v>0</v>
      </c>
      <c r="T26" s="375">
        <f t="shared" si="3"/>
        <v>0</v>
      </c>
      <c r="U26" s="375">
        <f t="shared" si="3"/>
        <v>0</v>
      </c>
      <c r="V26" s="375">
        <f t="shared" si="3"/>
        <v>0</v>
      </c>
      <c r="W26" s="375">
        <f t="shared" si="3"/>
        <v>603.92016697699239</v>
      </c>
      <c r="X26" s="375">
        <f t="shared" si="3"/>
        <v>0</v>
      </c>
      <c r="Y26" s="376">
        <f t="shared" si="2"/>
        <v>-121357.10841578779</v>
      </c>
    </row>
    <row r="27" spans="1:25">
      <c r="A27" s="374" t="s">
        <v>22</v>
      </c>
      <c r="B27" s="375">
        <f>+'[5]Calculo Coef Actualizado'!B27-'[5]pagado 1er Sem'!B27</f>
        <v>-1.257285475730896E-8</v>
      </c>
      <c r="C27" s="375">
        <f>+'[5]Calculo Coef Actualizado'!C27-'[5]pagado 1er Sem'!C27</f>
        <v>-1.7462298274040222E-9</v>
      </c>
      <c r="D27" s="375">
        <f>+'[5]Calculo Coef Actualizado'!D27-'[5]pagado 1er Sem'!D27</f>
        <v>-1257257.5097217003</v>
      </c>
      <c r="E27" s="375">
        <f>+'[5]Calculo Coef Actualizado'!E27-'[5]pagado 1er Sem'!E27</f>
        <v>-3.4924596548080444E-10</v>
      </c>
      <c r="F27" s="375">
        <f>+'[5]Calculo Coef Actualizado'!F27-'[5]pagado 1er Sem'!F27</f>
        <v>-5.8207660913467407E-10</v>
      </c>
      <c r="G27" s="375">
        <f>+'[5]Calculo Coef Actualizado'!G27-'[5]pagado 1er Sem'!G27</f>
        <v>2.9103830456733704E-11</v>
      </c>
      <c r="H27" s="375">
        <f>+'[5]Calculo Coef Actualizado'!H27-'[5]pagado 1er Sem'!H27</f>
        <v>-3.2014213502407074E-10</v>
      </c>
      <c r="I27" s="375">
        <f>+'[5]Calculo Coef Actualizado'!I27-'[5]pagado 1er Sem'!I27</f>
        <v>-6.9121597334742546E-11</v>
      </c>
      <c r="J27" s="375">
        <f>+'[5]Calculo Coef Actualizado'!J27-'[5]pagado 1er Sem'!J27</f>
        <v>25850.093938104659</v>
      </c>
      <c r="K27" s="375">
        <f>+'[5]Calculo Coef Actualizado'!K27-'[5]pagado 1er Sem'!K27</f>
        <v>-1.6007106751203537E-10</v>
      </c>
      <c r="L27" s="376">
        <f t="shared" si="1"/>
        <v>-1231407.4157836114</v>
      </c>
      <c r="N27" s="374" t="s">
        <v>22</v>
      </c>
      <c r="O27" s="375">
        <f t="shared" si="3"/>
        <v>-2.0954757928848267E-9</v>
      </c>
      <c r="P27" s="375">
        <f t="shared" si="3"/>
        <v>-2.9103830456733704E-10</v>
      </c>
      <c r="Q27" s="375">
        <f t="shared" si="3"/>
        <v>-209542.91828695007</v>
      </c>
      <c r="R27" s="375">
        <f t="shared" si="3"/>
        <v>-5.8207660913467407E-11</v>
      </c>
      <c r="S27" s="375">
        <f t="shared" si="3"/>
        <v>-9.701276818911235E-11</v>
      </c>
      <c r="T27" s="375">
        <f t="shared" si="3"/>
        <v>4.850638409455617E-12</v>
      </c>
      <c r="U27" s="375">
        <f t="shared" si="3"/>
        <v>-5.3357022504011788E-11</v>
      </c>
      <c r="V27" s="375">
        <f t="shared" si="3"/>
        <v>-1.152026622245709E-11</v>
      </c>
      <c r="W27" s="375">
        <f t="shared" si="3"/>
        <v>4308.3489896841102</v>
      </c>
      <c r="X27" s="375">
        <f t="shared" si="3"/>
        <v>-2.6678511252005894E-11</v>
      </c>
      <c r="Y27" s="376">
        <f t="shared" si="2"/>
        <v>-205234.56929726858</v>
      </c>
    </row>
    <row r="28" spans="1:25">
      <c r="A28" s="374" t="s">
        <v>23</v>
      </c>
      <c r="B28" s="375">
        <f>+'[5]Calculo Coef Actualizado'!B28-'[5]pagado 1er Sem'!B28</f>
        <v>0</v>
      </c>
      <c r="C28" s="375">
        <f>+'[5]Calculo Coef Actualizado'!C28-'[5]pagado 1er Sem'!C28</f>
        <v>0</v>
      </c>
      <c r="D28" s="375">
        <f>+'[5]Calculo Coef Actualizado'!D28-'[5]pagado 1er Sem'!D28</f>
        <v>383566.22286429157</v>
      </c>
      <c r="E28" s="375">
        <f>+'[5]Calculo Coef Actualizado'!E28-'[5]pagado 1er Sem'!E28</f>
        <v>0</v>
      </c>
      <c r="F28" s="375">
        <f>+'[5]Calculo Coef Actualizado'!F28-'[5]pagado 1er Sem'!F28</f>
        <v>0</v>
      </c>
      <c r="G28" s="375">
        <f>+'[5]Calculo Coef Actualizado'!G28-'[5]pagado 1er Sem'!G28</f>
        <v>0</v>
      </c>
      <c r="H28" s="375">
        <f>+'[5]Calculo Coef Actualizado'!H28-'[5]pagado 1er Sem'!H28</f>
        <v>0</v>
      </c>
      <c r="I28" s="375">
        <f>+'[5]Calculo Coef Actualizado'!I28-'[5]pagado 1er Sem'!I28</f>
        <v>0</v>
      </c>
      <c r="J28" s="375">
        <f>+'[5]Calculo Coef Actualizado'!J28-'[5]pagado 1er Sem'!J28</f>
        <v>4598.0861897408904</v>
      </c>
      <c r="K28" s="375">
        <f>+'[5]Calculo Coef Actualizado'!K28-'[5]pagado 1er Sem'!K28</f>
        <v>0</v>
      </c>
      <c r="L28" s="376">
        <f t="shared" si="1"/>
        <v>388164.30905403243</v>
      </c>
      <c r="N28" s="374" t="s">
        <v>23</v>
      </c>
      <c r="O28" s="375">
        <f t="shared" si="3"/>
        <v>0</v>
      </c>
      <c r="P28" s="375">
        <f t="shared" si="3"/>
        <v>0</v>
      </c>
      <c r="Q28" s="375">
        <f t="shared" si="3"/>
        <v>63927.703810715262</v>
      </c>
      <c r="R28" s="375">
        <f t="shared" si="3"/>
        <v>0</v>
      </c>
      <c r="S28" s="375">
        <f t="shared" si="3"/>
        <v>0</v>
      </c>
      <c r="T28" s="375">
        <f t="shared" si="3"/>
        <v>0</v>
      </c>
      <c r="U28" s="375">
        <f t="shared" si="3"/>
        <v>0</v>
      </c>
      <c r="V28" s="375">
        <f t="shared" si="3"/>
        <v>0</v>
      </c>
      <c r="W28" s="375">
        <f t="shared" si="3"/>
        <v>766.3476982901484</v>
      </c>
      <c r="X28" s="375">
        <f t="shared" si="3"/>
        <v>0</v>
      </c>
      <c r="Y28" s="376">
        <f t="shared" si="2"/>
        <v>64694.05150900541</v>
      </c>
    </row>
    <row r="29" spans="1:25">
      <c r="A29" s="374" t="s">
        <v>24</v>
      </c>
      <c r="B29" s="375">
        <f>+'[5]Calculo Coef Actualizado'!B29-'[5]pagado 1er Sem'!B29</f>
        <v>-6.7055225372314453E-8</v>
      </c>
      <c r="C29" s="375">
        <f>+'[5]Calculo Coef Actualizado'!C29-'[5]pagado 1er Sem'!C29</f>
        <v>-9.3132257461547852E-9</v>
      </c>
      <c r="D29" s="375">
        <f>+'[5]Calculo Coef Actualizado'!D29-'[5]pagado 1er Sem'!D29</f>
        <v>2127023.4987113648</v>
      </c>
      <c r="E29" s="375">
        <f>+'[5]Calculo Coef Actualizado'!E29-'[5]pagado 1er Sem'!E29</f>
        <v>-1.9790604710578918E-9</v>
      </c>
      <c r="F29" s="375">
        <f>+'[5]Calculo Coef Actualizado'!F29-'[5]pagado 1er Sem'!F29</f>
        <v>-3.2596290111541748E-9</v>
      </c>
      <c r="G29" s="375">
        <f>+'[5]Calculo Coef Actualizado'!G29-'[5]pagado 1er Sem'!G29</f>
        <v>1.5279510989785194E-10</v>
      </c>
      <c r="H29" s="375">
        <f>+'[5]Calculo Coef Actualizado'!H29-'[5]pagado 1er Sem'!H29</f>
        <v>-1.7462298274040222E-9</v>
      </c>
      <c r="I29" s="375">
        <f>+'[5]Calculo Coef Actualizado'!I29-'[5]pagado 1er Sem'!I29</f>
        <v>-3.637978807091713E-10</v>
      </c>
      <c r="J29" s="375">
        <f>+'[5]Calculo Coef Actualizado'!J29-'[5]pagado 1er Sem'!J29</f>
        <v>95951.013400319032</v>
      </c>
      <c r="K29" s="375">
        <f>+'[5]Calculo Coef Actualizado'!K29-'[5]pagado 1er Sem'!K29</f>
        <v>-8.7311491370201111E-10</v>
      </c>
      <c r="L29" s="376">
        <f t="shared" si="1"/>
        <v>2222974.5121115991</v>
      </c>
      <c r="N29" s="374" t="s">
        <v>24</v>
      </c>
      <c r="O29" s="375">
        <f t="shared" si="3"/>
        <v>-1.1175870895385742E-8</v>
      </c>
      <c r="P29" s="375">
        <f t="shared" si="3"/>
        <v>-1.5522042910257976E-9</v>
      </c>
      <c r="Q29" s="375">
        <f t="shared" si="3"/>
        <v>354503.91645189415</v>
      </c>
      <c r="R29" s="375">
        <f t="shared" si="3"/>
        <v>-3.2984341184298199E-10</v>
      </c>
      <c r="S29" s="375">
        <f t="shared" si="3"/>
        <v>-5.4327150185902917E-10</v>
      </c>
      <c r="T29" s="375">
        <f t="shared" si="3"/>
        <v>2.5465851649641991E-11</v>
      </c>
      <c r="U29" s="375">
        <f t="shared" si="3"/>
        <v>-2.9103830456733704E-10</v>
      </c>
      <c r="V29" s="375">
        <f t="shared" si="3"/>
        <v>-6.063298011819522E-11</v>
      </c>
      <c r="W29" s="375">
        <f t="shared" si="3"/>
        <v>15991.835566719839</v>
      </c>
      <c r="X29" s="375">
        <f t="shared" si="3"/>
        <v>-1.4551915228366852E-10</v>
      </c>
      <c r="Y29" s="376">
        <f t="shared" si="2"/>
        <v>370495.75201859989</v>
      </c>
    </row>
    <row r="30" spans="1:25">
      <c r="A30" s="374" t="s">
        <v>25</v>
      </c>
      <c r="B30" s="375">
        <f>+'[5]Calculo Coef Actualizado'!B30-'[5]pagado 1er Sem'!B30</f>
        <v>0</v>
      </c>
      <c r="C30" s="375">
        <f>+'[5]Calculo Coef Actualizado'!C30-'[5]pagado 1er Sem'!C30</f>
        <v>0</v>
      </c>
      <c r="D30" s="375">
        <f>+'[5]Calculo Coef Actualizado'!D30-'[5]pagado 1er Sem'!D30</f>
        <v>-361553.86404298712</v>
      </c>
      <c r="E30" s="375">
        <f>+'[5]Calculo Coef Actualizado'!E30-'[5]pagado 1er Sem'!E30</f>
        <v>0</v>
      </c>
      <c r="F30" s="375">
        <f>+'[5]Calculo Coef Actualizado'!F30-'[5]pagado 1er Sem'!F30</f>
        <v>0</v>
      </c>
      <c r="G30" s="375">
        <f>+'[5]Calculo Coef Actualizado'!G30-'[5]pagado 1er Sem'!G30</f>
        <v>0</v>
      </c>
      <c r="H30" s="375">
        <f>+'[5]Calculo Coef Actualizado'!H30-'[5]pagado 1er Sem'!H30</f>
        <v>0</v>
      </c>
      <c r="I30" s="375">
        <f>+'[5]Calculo Coef Actualizado'!I30-'[5]pagado 1er Sem'!I30</f>
        <v>0</v>
      </c>
      <c r="J30" s="375">
        <f>+'[5]Calculo Coef Actualizado'!J30-'[5]pagado 1er Sem'!J30</f>
        <v>-277948.12544025015</v>
      </c>
      <c r="K30" s="375">
        <f>+'[5]Calculo Coef Actualizado'!K30-'[5]pagado 1er Sem'!K30</f>
        <v>0</v>
      </c>
      <c r="L30" s="376">
        <f t="shared" si="1"/>
        <v>-639501.98948323727</v>
      </c>
      <c r="N30" s="374" t="s">
        <v>25</v>
      </c>
      <c r="O30" s="375">
        <f t="shared" si="3"/>
        <v>0</v>
      </c>
      <c r="P30" s="375">
        <f t="shared" si="3"/>
        <v>0</v>
      </c>
      <c r="Q30" s="375">
        <f t="shared" si="3"/>
        <v>-60258.977340497855</v>
      </c>
      <c r="R30" s="375">
        <f t="shared" si="3"/>
        <v>0</v>
      </c>
      <c r="S30" s="375">
        <f t="shared" si="3"/>
        <v>0</v>
      </c>
      <c r="T30" s="375">
        <f t="shared" si="3"/>
        <v>0</v>
      </c>
      <c r="U30" s="375">
        <f t="shared" si="3"/>
        <v>0</v>
      </c>
      <c r="V30" s="375">
        <f t="shared" si="3"/>
        <v>0</v>
      </c>
      <c r="W30" s="375">
        <f t="shared" si="3"/>
        <v>-46324.687573375028</v>
      </c>
      <c r="X30" s="375">
        <f t="shared" si="3"/>
        <v>0</v>
      </c>
      <c r="Y30" s="376">
        <f t="shared" si="2"/>
        <v>-106583.66491387288</v>
      </c>
    </row>
    <row r="31" spans="1:25">
      <c r="A31" s="374" t="s">
        <v>26</v>
      </c>
      <c r="B31" s="375">
        <f>+'[5]Calculo Coef Actualizado'!B31-'[5]pagado 1er Sem'!B31</f>
        <v>0</v>
      </c>
      <c r="C31" s="375">
        <f>+'[5]Calculo Coef Actualizado'!C31-'[5]pagado 1er Sem'!C31</f>
        <v>0</v>
      </c>
      <c r="D31" s="375">
        <f>+'[5]Calculo Coef Actualizado'!D31-'[5]pagado 1er Sem'!D31</f>
        <v>-699177.33364179824</v>
      </c>
      <c r="E31" s="375">
        <f>+'[5]Calculo Coef Actualizado'!E31-'[5]pagado 1er Sem'!E31</f>
        <v>0</v>
      </c>
      <c r="F31" s="375">
        <f>+'[5]Calculo Coef Actualizado'!F31-'[5]pagado 1er Sem'!F31</f>
        <v>0</v>
      </c>
      <c r="G31" s="375">
        <f>+'[5]Calculo Coef Actualizado'!G31-'[5]pagado 1er Sem'!G31</f>
        <v>0</v>
      </c>
      <c r="H31" s="375">
        <f>+'[5]Calculo Coef Actualizado'!H31-'[5]pagado 1er Sem'!H31</f>
        <v>0</v>
      </c>
      <c r="I31" s="375">
        <f>+'[5]Calculo Coef Actualizado'!I31-'[5]pagado 1er Sem'!I31</f>
        <v>0</v>
      </c>
      <c r="J31" s="375">
        <f>+'[5]Calculo Coef Actualizado'!J31-'[5]pagado 1er Sem'!J31</f>
        <v>-14682.962342052197</v>
      </c>
      <c r="K31" s="375">
        <f>+'[5]Calculo Coef Actualizado'!K31-'[5]pagado 1er Sem'!K31</f>
        <v>0</v>
      </c>
      <c r="L31" s="376">
        <f t="shared" si="1"/>
        <v>-713860.29598385049</v>
      </c>
      <c r="N31" s="374" t="s">
        <v>26</v>
      </c>
      <c r="O31" s="375">
        <f t="shared" si="3"/>
        <v>0</v>
      </c>
      <c r="P31" s="375">
        <f t="shared" si="3"/>
        <v>0</v>
      </c>
      <c r="Q31" s="375">
        <f t="shared" si="3"/>
        <v>-116529.55560696637</v>
      </c>
      <c r="R31" s="375">
        <f t="shared" si="3"/>
        <v>0</v>
      </c>
      <c r="S31" s="375">
        <f t="shared" si="3"/>
        <v>0</v>
      </c>
      <c r="T31" s="375">
        <f t="shared" si="3"/>
        <v>0</v>
      </c>
      <c r="U31" s="375">
        <f t="shared" si="3"/>
        <v>0</v>
      </c>
      <c r="V31" s="375">
        <f t="shared" si="3"/>
        <v>0</v>
      </c>
      <c r="W31" s="375">
        <f t="shared" si="3"/>
        <v>-2447.1603903420328</v>
      </c>
      <c r="X31" s="375">
        <f t="shared" si="3"/>
        <v>0</v>
      </c>
      <c r="Y31" s="376">
        <f t="shared" si="2"/>
        <v>-118976.71599730841</v>
      </c>
    </row>
    <row r="32" spans="1:25">
      <c r="A32" s="374" t="s">
        <v>27</v>
      </c>
      <c r="B32" s="375">
        <f>+'[5]Calculo Coef Actualizado'!B32-'[5]pagado 1er Sem'!B32</f>
        <v>0</v>
      </c>
      <c r="C32" s="375">
        <f>+'[5]Calculo Coef Actualizado'!C32-'[5]pagado 1er Sem'!C32</f>
        <v>0</v>
      </c>
      <c r="D32" s="375">
        <f>+'[5]Calculo Coef Actualizado'!D32-'[5]pagado 1er Sem'!D32</f>
        <v>323291.21727896389</v>
      </c>
      <c r="E32" s="375">
        <f>+'[5]Calculo Coef Actualizado'!E32-'[5]pagado 1er Sem'!E32</f>
        <v>0</v>
      </c>
      <c r="F32" s="375">
        <f>+'[5]Calculo Coef Actualizado'!F32-'[5]pagado 1er Sem'!F32</f>
        <v>0</v>
      </c>
      <c r="G32" s="375">
        <f>+'[5]Calculo Coef Actualizado'!G32-'[5]pagado 1er Sem'!G32</f>
        <v>0</v>
      </c>
      <c r="H32" s="375">
        <f>+'[5]Calculo Coef Actualizado'!H32-'[5]pagado 1er Sem'!H32</f>
        <v>0</v>
      </c>
      <c r="I32" s="375">
        <f>+'[5]Calculo Coef Actualizado'!I32-'[5]pagado 1er Sem'!I32</f>
        <v>0</v>
      </c>
      <c r="J32" s="375">
        <f>+'[5]Calculo Coef Actualizado'!J32-'[5]pagado 1er Sem'!J32</f>
        <v>-35618.603205986728</v>
      </c>
      <c r="K32" s="375">
        <f>+'[5]Calculo Coef Actualizado'!K32-'[5]pagado 1er Sem'!K32</f>
        <v>0</v>
      </c>
      <c r="L32" s="376">
        <f t="shared" si="1"/>
        <v>287672.61407297716</v>
      </c>
      <c r="N32" s="374" t="s">
        <v>27</v>
      </c>
      <c r="O32" s="375">
        <f t="shared" si="3"/>
        <v>0</v>
      </c>
      <c r="P32" s="375">
        <f t="shared" si="3"/>
        <v>0</v>
      </c>
      <c r="Q32" s="375">
        <f t="shared" si="3"/>
        <v>53881.869546493981</v>
      </c>
      <c r="R32" s="375">
        <f t="shared" si="3"/>
        <v>0</v>
      </c>
      <c r="S32" s="375">
        <f t="shared" si="3"/>
        <v>0</v>
      </c>
      <c r="T32" s="375">
        <f t="shared" si="3"/>
        <v>0</v>
      </c>
      <c r="U32" s="375">
        <f t="shared" si="3"/>
        <v>0</v>
      </c>
      <c r="V32" s="375">
        <f t="shared" si="3"/>
        <v>0</v>
      </c>
      <c r="W32" s="375">
        <f t="shared" si="3"/>
        <v>-5936.4338676644547</v>
      </c>
      <c r="X32" s="375">
        <f t="shared" si="3"/>
        <v>0</v>
      </c>
      <c r="Y32" s="376">
        <f t="shared" si="2"/>
        <v>47945.435678829526</v>
      </c>
    </row>
    <row r="33" spans="1:25">
      <c r="A33" s="374" t="s">
        <v>28</v>
      </c>
      <c r="B33" s="375">
        <f>+'[5]Calculo Coef Actualizado'!B33-'[5]pagado 1er Sem'!B33</f>
        <v>0</v>
      </c>
      <c r="C33" s="375">
        <f>+'[5]Calculo Coef Actualizado'!C33-'[5]pagado 1er Sem'!C33</f>
        <v>0</v>
      </c>
      <c r="D33" s="375">
        <f>+'[5]Calculo Coef Actualizado'!D33-'[5]pagado 1er Sem'!D33</f>
        <v>399576.78210931225</v>
      </c>
      <c r="E33" s="375">
        <f>+'[5]Calculo Coef Actualizado'!E33-'[5]pagado 1er Sem'!E33</f>
        <v>0</v>
      </c>
      <c r="F33" s="375">
        <f>+'[5]Calculo Coef Actualizado'!F33-'[5]pagado 1er Sem'!F33</f>
        <v>0</v>
      </c>
      <c r="G33" s="375">
        <f>+'[5]Calculo Coef Actualizado'!G33-'[5]pagado 1er Sem'!G33</f>
        <v>0</v>
      </c>
      <c r="H33" s="375">
        <f>+'[5]Calculo Coef Actualizado'!H33-'[5]pagado 1er Sem'!H33</f>
        <v>0</v>
      </c>
      <c r="I33" s="375">
        <f>+'[5]Calculo Coef Actualizado'!I33-'[5]pagado 1er Sem'!I33</f>
        <v>0</v>
      </c>
      <c r="J33" s="375">
        <f>+'[5]Calculo Coef Actualizado'!J33-'[5]pagado 1er Sem'!J33</f>
        <v>-31262.942592289452</v>
      </c>
      <c r="K33" s="375">
        <f>+'[5]Calculo Coef Actualizado'!K33-'[5]pagado 1er Sem'!K33</f>
        <v>0</v>
      </c>
      <c r="L33" s="376">
        <f t="shared" si="1"/>
        <v>368313.83951702277</v>
      </c>
      <c r="N33" s="374" t="s">
        <v>28</v>
      </c>
      <c r="O33" s="375">
        <f t="shared" si="3"/>
        <v>0</v>
      </c>
      <c r="P33" s="375">
        <f t="shared" si="3"/>
        <v>0</v>
      </c>
      <c r="Q33" s="375">
        <f t="shared" si="3"/>
        <v>66596.130351552041</v>
      </c>
      <c r="R33" s="375">
        <f t="shared" si="3"/>
        <v>0</v>
      </c>
      <c r="S33" s="375">
        <f t="shared" si="3"/>
        <v>0</v>
      </c>
      <c r="T33" s="375">
        <f t="shared" si="3"/>
        <v>0</v>
      </c>
      <c r="U33" s="375">
        <f t="shared" si="3"/>
        <v>0</v>
      </c>
      <c r="V33" s="375">
        <f t="shared" si="3"/>
        <v>0</v>
      </c>
      <c r="W33" s="375">
        <f t="shared" si="3"/>
        <v>-5210.4904320482419</v>
      </c>
      <c r="X33" s="375">
        <f t="shared" si="3"/>
        <v>0</v>
      </c>
      <c r="Y33" s="376">
        <f t="shared" si="2"/>
        <v>61385.639919503796</v>
      </c>
    </row>
    <row r="34" spans="1:25">
      <c r="A34" s="374" t="s">
        <v>29</v>
      </c>
      <c r="B34" s="375">
        <f>+'[5]Calculo Coef Actualizado'!B34-'[5]pagado 1er Sem'!B34</f>
        <v>0</v>
      </c>
      <c r="C34" s="375">
        <f>+'[5]Calculo Coef Actualizado'!C34-'[5]pagado 1er Sem'!C34</f>
        <v>0</v>
      </c>
      <c r="D34" s="375">
        <f>+'[5]Calculo Coef Actualizado'!D34-'[5]pagado 1er Sem'!D34</f>
        <v>118700.98606201215</v>
      </c>
      <c r="E34" s="375">
        <f>+'[5]Calculo Coef Actualizado'!E34-'[5]pagado 1er Sem'!E34</f>
        <v>0</v>
      </c>
      <c r="F34" s="375">
        <f>+'[5]Calculo Coef Actualizado'!F34-'[5]pagado 1er Sem'!F34</f>
        <v>0</v>
      </c>
      <c r="G34" s="375">
        <f>+'[5]Calculo Coef Actualizado'!G34-'[5]pagado 1er Sem'!G34</f>
        <v>0</v>
      </c>
      <c r="H34" s="375">
        <f>+'[5]Calculo Coef Actualizado'!H34-'[5]pagado 1er Sem'!H34</f>
        <v>0</v>
      </c>
      <c r="I34" s="375">
        <f>+'[5]Calculo Coef Actualizado'!I34-'[5]pagado 1er Sem'!I34</f>
        <v>0</v>
      </c>
      <c r="J34" s="375">
        <f>+'[5]Calculo Coef Actualizado'!J34-'[5]pagado 1er Sem'!J34</f>
        <v>-13775.221724326067</v>
      </c>
      <c r="K34" s="375">
        <f>+'[5]Calculo Coef Actualizado'!K34-'[5]pagado 1er Sem'!K34</f>
        <v>0</v>
      </c>
      <c r="L34" s="376">
        <f t="shared" si="1"/>
        <v>104925.76433768608</v>
      </c>
      <c r="N34" s="374" t="s">
        <v>29</v>
      </c>
      <c r="O34" s="375">
        <f t="shared" si="3"/>
        <v>0</v>
      </c>
      <c r="P34" s="375">
        <f t="shared" si="3"/>
        <v>0</v>
      </c>
      <c r="Q34" s="375">
        <f t="shared" si="3"/>
        <v>19783.497677002026</v>
      </c>
      <c r="R34" s="375">
        <f t="shared" si="3"/>
        <v>0</v>
      </c>
      <c r="S34" s="375">
        <f t="shared" si="3"/>
        <v>0</v>
      </c>
      <c r="T34" s="375">
        <f t="shared" si="3"/>
        <v>0</v>
      </c>
      <c r="U34" s="375">
        <f t="shared" si="3"/>
        <v>0</v>
      </c>
      <c r="V34" s="375">
        <f t="shared" si="3"/>
        <v>0</v>
      </c>
      <c r="W34" s="375">
        <f t="shared" si="3"/>
        <v>-2295.8702873876778</v>
      </c>
      <c r="X34" s="375">
        <f t="shared" si="3"/>
        <v>0</v>
      </c>
      <c r="Y34" s="376">
        <f t="shared" si="2"/>
        <v>17487.627389614347</v>
      </c>
    </row>
    <row r="35" spans="1:25">
      <c r="A35" s="374" t="s">
        <v>30</v>
      </c>
      <c r="B35" s="375">
        <f>+'[5]Calculo Coef Actualizado'!B35-'[5]pagado 1er Sem'!B35</f>
        <v>-2.6077032089233398E-8</v>
      </c>
      <c r="C35" s="375">
        <f>+'[5]Calculo Coef Actualizado'!C35-'[5]pagado 1er Sem'!C35</f>
        <v>-3.4924596548080444E-9</v>
      </c>
      <c r="D35" s="375">
        <f>+'[5]Calculo Coef Actualizado'!D35-'[5]pagado 1er Sem'!D35</f>
        <v>405316.70828373753</v>
      </c>
      <c r="E35" s="375">
        <f>+'[5]Calculo Coef Actualizado'!E35-'[5]pagado 1er Sem'!E35</f>
        <v>-7.5669959187507629E-10</v>
      </c>
      <c r="F35" s="375">
        <f>+'[5]Calculo Coef Actualizado'!F35-'[5]pagado 1er Sem'!F35</f>
        <v>-1.280568540096283E-9</v>
      </c>
      <c r="G35" s="375">
        <f>+'[5]Calculo Coef Actualizado'!G35-'[5]pagado 1er Sem'!G35</f>
        <v>6.184563972055912E-11</v>
      </c>
      <c r="H35" s="375">
        <f>+'[5]Calculo Coef Actualizado'!H35-'[5]pagado 1er Sem'!H35</f>
        <v>-6.9849193096160889E-10</v>
      </c>
      <c r="I35" s="375">
        <f>+'[5]Calculo Coef Actualizado'!I35-'[5]pagado 1er Sem'!I35</f>
        <v>-1.4551915228366852E-10</v>
      </c>
      <c r="J35" s="375">
        <f>+'[5]Calculo Coef Actualizado'!J35-'[5]pagado 1er Sem'!J35</f>
        <v>25490.836248541687</v>
      </c>
      <c r="K35" s="375">
        <f>+'[5]Calculo Coef Actualizado'!K35-'[5]pagado 1er Sem'!K35</f>
        <v>-3.3469405025243759E-10</v>
      </c>
      <c r="L35" s="376">
        <f t="shared" si="1"/>
        <v>430807.54453224654</v>
      </c>
      <c r="N35" s="374" t="s">
        <v>30</v>
      </c>
      <c r="O35" s="375">
        <f t="shared" si="3"/>
        <v>-4.3461720148722333E-9</v>
      </c>
      <c r="P35" s="375">
        <f t="shared" si="3"/>
        <v>-5.8207660913467407E-10</v>
      </c>
      <c r="Q35" s="375">
        <f t="shared" si="3"/>
        <v>67552.784713956251</v>
      </c>
      <c r="R35" s="375">
        <f t="shared" si="3"/>
        <v>-1.2611659864584604E-10</v>
      </c>
      <c r="S35" s="375">
        <f t="shared" si="3"/>
        <v>-2.1342809001604715E-10</v>
      </c>
      <c r="T35" s="375">
        <f t="shared" si="3"/>
        <v>1.0307606620093187E-11</v>
      </c>
      <c r="U35" s="375">
        <f t="shared" si="3"/>
        <v>-1.1641532182693481E-10</v>
      </c>
      <c r="V35" s="375">
        <f t="shared" si="3"/>
        <v>-2.4253192047278087E-11</v>
      </c>
      <c r="W35" s="375">
        <f t="shared" si="3"/>
        <v>4248.4727080902812</v>
      </c>
      <c r="X35" s="375">
        <f t="shared" si="3"/>
        <v>-5.5782341708739601E-11</v>
      </c>
      <c r="Y35" s="376">
        <f t="shared" si="2"/>
        <v>71801.257422041061</v>
      </c>
    </row>
    <row r="36" spans="1:25">
      <c r="A36" s="374" t="s">
        <v>31</v>
      </c>
      <c r="B36" s="375">
        <f>+'[5]Calculo Coef Actualizado'!B36-'[5]pagado 1er Sem'!B36</f>
        <v>0</v>
      </c>
      <c r="C36" s="375">
        <f>+'[5]Calculo Coef Actualizado'!C36-'[5]pagado 1er Sem'!C36</f>
        <v>0</v>
      </c>
      <c r="D36" s="375">
        <f>+'[5]Calculo Coef Actualizado'!D36-'[5]pagado 1er Sem'!D36</f>
        <v>0</v>
      </c>
      <c r="E36" s="375">
        <f>+'[5]Calculo Coef Actualizado'!E36-'[5]pagado 1er Sem'!E36</f>
        <v>0</v>
      </c>
      <c r="F36" s="375">
        <f>+'[5]Calculo Coef Actualizado'!F36-'[5]pagado 1er Sem'!F36</f>
        <v>0</v>
      </c>
      <c r="G36" s="375">
        <f>+'[5]Calculo Coef Actualizado'!G36-'[5]pagado 1er Sem'!G36</f>
        <v>0</v>
      </c>
      <c r="H36" s="375">
        <f>+'[5]Calculo Coef Actualizado'!H36-'[5]pagado 1er Sem'!H36</f>
        <v>0</v>
      </c>
      <c r="I36" s="375">
        <f>+'[5]Calculo Coef Actualizado'!I36-'[5]pagado 1er Sem'!I36</f>
        <v>0</v>
      </c>
      <c r="J36" s="375">
        <f>+'[5]Calculo Coef Actualizado'!J36-'[5]pagado 1er Sem'!J36</f>
        <v>113115.72696529329</v>
      </c>
      <c r="K36" s="375">
        <f>+'[5]Calculo Coef Actualizado'!K36-'[5]pagado 1er Sem'!K36</f>
        <v>0</v>
      </c>
      <c r="L36" s="376">
        <f t="shared" si="1"/>
        <v>113115.72696529329</v>
      </c>
      <c r="N36" s="374" t="s">
        <v>31</v>
      </c>
      <c r="O36" s="375">
        <f t="shared" si="3"/>
        <v>0</v>
      </c>
      <c r="P36" s="375">
        <f t="shared" si="3"/>
        <v>0</v>
      </c>
      <c r="Q36" s="375">
        <f t="shared" si="3"/>
        <v>0</v>
      </c>
      <c r="R36" s="375">
        <f t="shared" si="3"/>
        <v>0</v>
      </c>
      <c r="S36" s="375">
        <f t="shared" si="3"/>
        <v>0</v>
      </c>
      <c r="T36" s="375">
        <f t="shared" si="3"/>
        <v>0</v>
      </c>
      <c r="U36" s="375">
        <f t="shared" si="3"/>
        <v>0</v>
      </c>
      <c r="V36" s="375">
        <f t="shared" si="3"/>
        <v>0</v>
      </c>
      <c r="W36" s="375">
        <f t="shared" si="3"/>
        <v>18852.621160882216</v>
      </c>
      <c r="X36" s="375">
        <f t="shared" si="3"/>
        <v>0</v>
      </c>
      <c r="Y36" s="376">
        <f t="shared" si="2"/>
        <v>18852.621160882216</v>
      </c>
    </row>
    <row r="37" spans="1:25">
      <c r="A37" s="374" t="s">
        <v>32</v>
      </c>
      <c r="B37" s="375">
        <f>+'[5]Calculo Coef Actualizado'!B37-'[5]pagado 1er Sem'!B37</f>
        <v>0</v>
      </c>
      <c r="C37" s="375">
        <f>+'[5]Calculo Coef Actualizado'!C37-'[5]pagado 1er Sem'!C37</f>
        <v>0</v>
      </c>
      <c r="D37" s="375">
        <f>+'[5]Calculo Coef Actualizado'!D37-'[5]pagado 1er Sem'!D37</f>
        <v>-594171.73573832796</v>
      </c>
      <c r="E37" s="375">
        <f>+'[5]Calculo Coef Actualizado'!E37-'[5]pagado 1er Sem'!E37</f>
        <v>0</v>
      </c>
      <c r="F37" s="375">
        <f>+'[5]Calculo Coef Actualizado'!F37-'[5]pagado 1er Sem'!F37</f>
        <v>0</v>
      </c>
      <c r="G37" s="375">
        <f>+'[5]Calculo Coef Actualizado'!G37-'[5]pagado 1er Sem'!G37</f>
        <v>0</v>
      </c>
      <c r="H37" s="375">
        <f>+'[5]Calculo Coef Actualizado'!H37-'[5]pagado 1er Sem'!H37</f>
        <v>0</v>
      </c>
      <c r="I37" s="375">
        <f>+'[5]Calculo Coef Actualizado'!I37-'[5]pagado 1er Sem'!I37</f>
        <v>0</v>
      </c>
      <c r="J37" s="375">
        <f>+'[5]Calculo Coef Actualizado'!J37-'[5]pagado 1er Sem'!J37</f>
        <v>-29597.936778108546</v>
      </c>
      <c r="K37" s="375">
        <f>+'[5]Calculo Coef Actualizado'!K37-'[5]pagado 1er Sem'!K37</f>
        <v>0</v>
      </c>
      <c r="L37" s="376">
        <f t="shared" si="1"/>
        <v>-623769.67251643655</v>
      </c>
      <c r="N37" s="374" t="s">
        <v>32</v>
      </c>
      <c r="O37" s="375">
        <f t="shared" si="3"/>
        <v>0</v>
      </c>
      <c r="P37" s="375">
        <f t="shared" si="3"/>
        <v>0</v>
      </c>
      <c r="Q37" s="375">
        <f t="shared" si="3"/>
        <v>-99028.62262305466</v>
      </c>
      <c r="R37" s="375">
        <f t="shared" si="3"/>
        <v>0</v>
      </c>
      <c r="S37" s="375">
        <f t="shared" si="3"/>
        <v>0</v>
      </c>
      <c r="T37" s="375">
        <f t="shared" si="3"/>
        <v>0</v>
      </c>
      <c r="U37" s="375">
        <f t="shared" si="3"/>
        <v>0</v>
      </c>
      <c r="V37" s="375">
        <f t="shared" si="3"/>
        <v>0</v>
      </c>
      <c r="W37" s="375">
        <f t="shared" si="3"/>
        <v>-4932.9894630180906</v>
      </c>
      <c r="X37" s="375">
        <f t="shared" si="3"/>
        <v>0</v>
      </c>
      <c r="Y37" s="376">
        <f t="shared" si="2"/>
        <v>-103961.61208607275</v>
      </c>
    </row>
    <row r="38" spans="1:25">
      <c r="A38" s="374" t="s">
        <v>33</v>
      </c>
      <c r="B38" s="375">
        <f>+'[5]Calculo Coef Actualizado'!B38-'[5]pagado 1er Sem'!B38</f>
        <v>0</v>
      </c>
      <c r="C38" s="375">
        <f>+'[5]Calculo Coef Actualizado'!C38-'[5]pagado 1er Sem'!C38</f>
        <v>0</v>
      </c>
      <c r="D38" s="375">
        <f>+'[5]Calculo Coef Actualizado'!D38-'[5]pagado 1er Sem'!D38</f>
        <v>-206766.53474938567</v>
      </c>
      <c r="E38" s="375">
        <f>+'[5]Calculo Coef Actualizado'!E38-'[5]pagado 1er Sem'!E38</f>
        <v>0</v>
      </c>
      <c r="F38" s="375">
        <f>+'[5]Calculo Coef Actualizado'!F38-'[5]pagado 1er Sem'!F38</f>
        <v>0</v>
      </c>
      <c r="G38" s="375">
        <f>+'[5]Calculo Coef Actualizado'!G38-'[5]pagado 1er Sem'!G38</f>
        <v>0</v>
      </c>
      <c r="H38" s="375">
        <f>+'[5]Calculo Coef Actualizado'!H38-'[5]pagado 1er Sem'!H38</f>
        <v>0</v>
      </c>
      <c r="I38" s="375">
        <f>+'[5]Calculo Coef Actualizado'!I38-'[5]pagado 1er Sem'!I38</f>
        <v>0</v>
      </c>
      <c r="J38" s="375">
        <f>+'[5]Calculo Coef Actualizado'!J38-'[5]pagado 1er Sem'!J38</f>
        <v>-11529.238162005553</v>
      </c>
      <c r="K38" s="375">
        <f>+'[5]Calculo Coef Actualizado'!K38-'[5]pagado 1er Sem'!K38</f>
        <v>0</v>
      </c>
      <c r="L38" s="376">
        <f t="shared" si="1"/>
        <v>-218295.77291139122</v>
      </c>
      <c r="N38" s="374" t="s">
        <v>33</v>
      </c>
      <c r="O38" s="375">
        <f t="shared" si="3"/>
        <v>0</v>
      </c>
      <c r="P38" s="375">
        <f t="shared" si="3"/>
        <v>0</v>
      </c>
      <c r="Q38" s="375">
        <f t="shared" si="3"/>
        <v>-34461.089124897611</v>
      </c>
      <c r="R38" s="375">
        <f t="shared" si="3"/>
        <v>0</v>
      </c>
      <c r="S38" s="375">
        <f t="shared" si="3"/>
        <v>0</v>
      </c>
      <c r="T38" s="375">
        <f t="shared" si="3"/>
        <v>0</v>
      </c>
      <c r="U38" s="375">
        <f t="shared" si="3"/>
        <v>0</v>
      </c>
      <c r="V38" s="375">
        <f t="shared" si="3"/>
        <v>0</v>
      </c>
      <c r="W38" s="375">
        <f t="shared" si="3"/>
        <v>-1921.5396936675922</v>
      </c>
      <c r="X38" s="375">
        <f t="shared" si="3"/>
        <v>0</v>
      </c>
      <c r="Y38" s="376">
        <f t="shared" si="2"/>
        <v>-36382.628818565201</v>
      </c>
    </row>
    <row r="39" spans="1:25">
      <c r="A39" s="374" t="s">
        <v>34</v>
      </c>
      <c r="B39" s="375">
        <f>+'[5]Calculo Coef Actualizado'!B39-'[5]pagado 1er Sem'!B39</f>
        <v>0</v>
      </c>
      <c r="C39" s="375">
        <f>+'[5]Calculo Coef Actualizado'!C39-'[5]pagado 1er Sem'!C39</f>
        <v>0</v>
      </c>
      <c r="D39" s="375">
        <f>+'[5]Calculo Coef Actualizado'!D39-'[5]pagado 1er Sem'!D39</f>
        <v>-3517398.0282832556</v>
      </c>
      <c r="E39" s="375">
        <f>+'[5]Calculo Coef Actualizado'!E39-'[5]pagado 1er Sem'!E39</f>
        <v>0</v>
      </c>
      <c r="F39" s="375">
        <f>+'[5]Calculo Coef Actualizado'!F39-'[5]pagado 1er Sem'!F39</f>
        <v>0</v>
      </c>
      <c r="G39" s="375">
        <f>+'[5]Calculo Coef Actualizado'!G39-'[5]pagado 1er Sem'!G39</f>
        <v>0</v>
      </c>
      <c r="H39" s="375">
        <f>+'[5]Calculo Coef Actualizado'!H39-'[5]pagado 1er Sem'!H39</f>
        <v>0</v>
      </c>
      <c r="I39" s="375">
        <f>+'[5]Calculo Coef Actualizado'!I39-'[5]pagado 1er Sem'!I39</f>
        <v>0</v>
      </c>
      <c r="J39" s="375">
        <f>+'[5]Calculo Coef Actualizado'!J39-'[5]pagado 1er Sem'!J39</f>
        <v>-38332.968518898168</v>
      </c>
      <c r="K39" s="375">
        <f>+'[5]Calculo Coef Actualizado'!K39-'[5]pagado 1er Sem'!K39</f>
        <v>0</v>
      </c>
      <c r="L39" s="376">
        <f t="shared" si="1"/>
        <v>-3555730.996802154</v>
      </c>
      <c r="N39" s="374" t="s">
        <v>34</v>
      </c>
      <c r="O39" s="375">
        <f t="shared" si="3"/>
        <v>0</v>
      </c>
      <c r="P39" s="375">
        <f t="shared" si="3"/>
        <v>0</v>
      </c>
      <c r="Q39" s="375">
        <f t="shared" si="3"/>
        <v>-586233.00471387594</v>
      </c>
      <c r="R39" s="375">
        <f t="shared" si="3"/>
        <v>0</v>
      </c>
      <c r="S39" s="375">
        <f t="shared" si="3"/>
        <v>0</v>
      </c>
      <c r="T39" s="375">
        <f t="shared" si="3"/>
        <v>0</v>
      </c>
      <c r="U39" s="375">
        <f t="shared" si="3"/>
        <v>0</v>
      </c>
      <c r="V39" s="375">
        <f t="shared" si="3"/>
        <v>0</v>
      </c>
      <c r="W39" s="375">
        <f t="shared" si="3"/>
        <v>-6388.8280864830276</v>
      </c>
      <c r="X39" s="375">
        <f t="shared" si="3"/>
        <v>0</v>
      </c>
      <c r="Y39" s="376">
        <f t="shared" si="2"/>
        <v>-592621.832800359</v>
      </c>
    </row>
    <row r="40" spans="1:25">
      <c r="A40" s="374" t="s">
        <v>35</v>
      </c>
      <c r="B40" s="375">
        <f>+'[5]Calculo Coef Actualizado'!B40-'[5]pagado 1er Sem'!B40</f>
        <v>0</v>
      </c>
      <c r="C40" s="375">
        <f>+'[5]Calculo Coef Actualizado'!C40-'[5]pagado 1er Sem'!C40</f>
        <v>0</v>
      </c>
      <c r="D40" s="375">
        <f>+'[5]Calculo Coef Actualizado'!D40-'[5]pagado 1er Sem'!D40</f>
        <v>-146236.28688375652</v>
      </c>
      <c r="E40" s="375">
        <f>+'[5]Calculo Coef Actualizado'!E40-'[5]pagado 1er Sem'!E40</f>
        <v>0</v>
      </c>
      <c r="F40" s="375">
        <f>+'[5]Calculo Coef Actualizado'!F40-'[5]pagado 1er Sem'!F40</f>
        <v>0</v>
      </c>
      <c r="G40" s="375">
        <f>+'[5]Calculo Coef Actualizado'!G40-'[5]pagado 1er Sem'!G40</f>
        <v>0</v>
      </c>
      <c r="H40" s="375">
        <f>+'[5]Calculo Coef Actualizado'!H40-'[5]pagado 1er Sem'!H40</f>
        <v>0</v>
      </c>
      <c r="I40" s="375">
        <f>+'[5]Calculo Coef Actualizado'!I40-'[5]pagado 1er Sem'!I40</f>
        <v>0</v>
      </c>
      <c r="J40" s="375">
        <f>+'[5]Calculo Coef Actualizado'!J40-'[5]pagado 1er Sem'!J40</f>
        <v>-77996.765976069059</v>
      </c>
      <c r="K40" s="375">
        <f>+'[5]Calculo Coef Actualizado'!K40-'[5]pagado 1er Sem'!K40</f>
        <v>0</v>
      </c>
      <c r="L40" s="376">
        <f t="shared" si="1"/>
        <v>-224233.05285982558</v>
      </c>
      <c r="N40" s="374" t="s">
        <v>35</v>
      </c>
      <c r="O40" s="375">
        <f t="shared" si="3"/>
        <v>0</v>
      </c>
      <c r="P40" s="375">
        <f t="shared" si="3"/>
        <v>0</v>
      </c>
      <c r="Q40" s="375">
        <f t="shared" si="3"/>
        <v>-24372.714480626088</v>
      </c>
      <c r="R40" s="375">
        <f t="shared" si="3"/>
        <v>0</v>
      </c>
      <c r="S40" s="375">
        <f t="shared" si="3"/>
        <v>0</v>
      </c>
      <c r="T40" s="375">
        <f t="shared" si="3"/>
        <v>0</v>
      </c>
      <c r="U40" s="375">
        <f t="shared" si="3"/>
        <v>0</v>
      </c>
      <c r="V40" s="375">
        <f t="shared" si="3"/>
        <v>0</v>
      </c>
      <c r="W40" s="375">
        <f t="shared" si="3"/>
        <v>-12999.46099601151</v>
      </c>
      <c r="X40" s="375">
        <f t="shared" si="3"/>
        <v>0</v>
      </c>
      <c r="Y40" s="376">
        <f t="shared" si="2"/>
        <v>-37372.175476637596</v>
      </c>
    </row>
    <row r="41" spans="1:25">
      <c r="A41" s="374" t="s">
        <v>36</v>
      </c>
      <c r="B41" s="375">
        <f>+'[5]Calculo Coef Actualizado'!B41-'[5]pagado 1er Sem'!B41</f>
        <v>-7.2643160820007324E-8</v>
      </c>
      <c r="C41" s="375">
        <f>+'[5]Calculo Coef Actualizado'!C41-'[5]pagado 1er Sem'!C41</f>
        <v>-9.5460563898086548E-9</v>
      </c>
      <c r="D41" s="375">
        <f>+'[5]Calculo Coef Actualizado'!D41-'[5]pagado 1er Sem'!D41</f>
        <v>-21836.133719290199</v>
      </c>
      <c r="E41" s="375">
        <f>+'[5]Calculo Coef Actualizado'!E41-'[5]pagado 1er Sem'!E41</f>
        <v>-2.0954757928848267E-9</v>
      </c>
      <c r="F41" s="375">
        <f>+'[5]Calculo Coef Actualizado'!F41-'[5]pagado 1er Sem'!F41</f>
        <v>-3.3760443329811096E-9</v>
      </c>
      <c r="G41" s="375">
        <f>+'[5]Calculo Coef Actualizado'!G41-'[5]pagado 1er Sem'!G41</f>
        <v>1.6370904631912708E-10</v>
      </c>
      <c r="H41" s="375">
        <f>+'[5]Calculo Coef Actualizado'!H41-'[5]pagado 1er Sem'!H41</f>
        <v>-1.8044374883174896E-9</v>
      </c>
      <c r="I41" s="375">
        <f>+'[5]Calculo Coef Actualizado'!I41-'[5]pagado 1er Sem'!I41</f>
        <v>-3.92901711165905E-10</v>
      </c>
      <c r="J41" s="375">
        <f>+'[5]Calculo Coef Actualizado'!J41-'[5]pagado 1er Sem'!J41</f>
        <v>75003.652298476256</v>
      </c>
      <c r="K41" s="375">
        <f>+'[5]Calculo Coef Actualizado'!K41-'[5]pagado 1er Sem'!K41</f>
        <v>-9.0221874415874481E-10</v>
      </c>
      <c r="L41" s="376">
        <f t="shared" si="1"/>
        <v>53167.518579095457</v>
      </c>
      <c r="N41" s="374" t="s">
        <v>36</v>
      </c>
      <c r="O41" s="375">
        <f t="shared" si="3"/>
        <v>-1.2107193470001221E-8</v>
      </c>
      <c r="P41" s="375">
        <f t="shared" si="3"/>
        <v>-1.5910093983014424E-9</v>
      </c>
      <c r="Q41" s="375">
        <f t="shared" si="3"/>
        <v>-3639.3556198817</v>
      </c>
      <c r="R41" s="375">
        <f t="shared" si="3"/>
        <v>-3.4924596548080444E-10</v>
      </c>
      <c r="S41" s="375">
        <f t="shared" si="3"/>
        <v>-5.6267405549685157E-10</v>
      </c>
      <c r="T41" s="375">
        <f t="shared" si="3"/>
        <v>2.7284841053187847E-11</v>
      </c>
      <c r="U41" s="375">
        <f t="shared" si="3"/>
        <v>-3.0073958138624829E-10</v>
      </c>
      <c r="V41" s="375">
        <f t="shared" si="3"/>
        <v>-6.5483618527650833E-11</v>
      </c>
      <c r="W41" s="375">
        <f t="shared" si="3"/>
        <v>12500.608716412709</v>
      </c>
      <c r="X41" s="375">
        <f t="shared" si="3"/>
        <v>-1.5036979069312414E-10</v>
      </c>
      <c r="Y41" s="376">
        <f t="shared" si="2"/>
        <v>8861.2530965159094</v>
      </c>
    </row>
    <row r="42" spans="1:25">
      <c r="A42" s="374" t="s">
        <v>37</v>
      </c>
      <c r="B42" s="375">
        <f>+'[5]Calculo Coef Actualizado'!B42-'[5]pagado 1er Sem'!B42</f>
        <v>0</v>
      </c>
      <c r="C42" s="375">
        <f>+'[5]Calculo Coef Actualizado'!C42-'[5]pagado 1er Sem'!C42</f>
        <v>0</v>
      </c>
      <c r="D42" s="375">
        <f>+'[5]Calculo Coef Actualizado'!D42-'[5]pagado 1er Sem'!D42</f>
        <v>813088.30440665316</v>
      </c>
      <c r="E42" s="375">
        <f>+'[5]Calculo Coef Actualizado'!E42-'[5]pagado 1er Sem'!E42</f>
        <v>0</v>
      </c>
      <c r="F42" s="375">
        <f>+'[5]Calculo Coef Actualizado'!F42-'[5]pagado 1er Sem'!F42</f>
        <v>0</v>
      </c>
      <c r="G42" s="375">
        <f>+'[5]Calculo Coef Actualizado'!G42-'[5]pagado 1er Sem'!G42</f>
        <v>0</v>
      </c>
      <c r="H42" s="375">
        <f>+'[5]Calculo Coef Actualizado'!H42-'[5]pagado 1er Sem'!H42</f>
        <v>0</v>
      </c>
      <c r="I42" s="375">
        <f>+'[5]Calculo Coef Actualizado'!I42-'[5]pagado 1er Sem'!I42</f>
        <v>0</v>
      </c>
      <c r="J42" s="375">
        <f>+'[5]Calculo Coef Actualizado'!J42-'[5]pagado 1er Sem'!J42</f>
        <v>-8814.5636296678858</v>
      </c>
      <c r="K42" s="375">
        <f>+'[5]Calculo Coef Actualizado'!K42-'[5]pagado 1er Sem'!K42</f>
        <v>0</v>
      </c>
      <c r="L42" s="376">
        <f t="shared" si="1"/>
        <v>804273.7407769853</v>
      </c>
      <c r="N42" s="374" t="s">
        <v>37</v>
      </c>
      <c r="O42" s="375">
        <f t="shared" si="3"/>
        <v>0</v>
      </c>
      <c r="P42" s="375">
        <f t="shared" si="3"/>
        <v>0</v>
      </c>
      <c r="Q42" s="375">
        <f t="shared" si="3"/>
        <v>135514.71740110885</v>
      </c>
      <c r="R42" s="375">
        <f t="shared" si="3"/>
        <v>0</v>
      </c>
      <c r="S42" s="375">
        <f t="shared" si="3"/>
        <v>0</v>
      </c>
      <c r="T42" s="375">
        <f t="shared" si="3"/>
        <v>0</v>
      </c>
      <c r="U42" s="375">
        <f t="shared" si="3"/>
        <v>0</v>
      </c>
      <c r="V42" s="375">
        <f t="shared" si="3"/>
        <v>0</v>
      </c>
      <c r="W42" s="375">
        <f t="shared" si="3"/>
        <v>-1469.0939382779809</v>
      </c>
      <c r="X42" s="375">
        <f t="shared" si="3"/>
        <v>0</v>
      </c>
      <c r="Y42" s="376">
        <f t="shared" si="2"/>
        <v>134045.62346283087</v>
      </c>
    </row>
    <row r="43" spans="1:25">
      <c r="A43" s="374" t="s">
        <v>38</v>
      </c>
      <c r="B43" s="375">
        <f>+'[5]Calculo Coef Actualizado'!B43-'[5]pagado 1er Sem'!B43</f>
        <v>0</v>
      </c>
      <c r="C43" s="375">
        <f>+'[5]Calculo Coef Actualizado'!C43-'[5]pagado 1er Sem'!C43</f>
        <v>0</v>
      </c>
      <c r="D43" s="375">
        <f>+'[5]Calculo Coef Actualizado'!D43-'[5]pagado 1er Sem'!D43</f>
        <v>943418.069986491</v>
      </c>
      <c r="E43" s="375">
        <f>+'[5]Calculo Coef Actualizado'!E43-'[5]pagado 1er Sem'!E43</f>
        <v>0</v>
      </c>
      <c r="F43" s="375">
        <f>+'[5]Calculo Coef Actualizado'!F43-'[5]pagado 1er Sem'!F43</f>
        <v>0</v>
      </c>
      <c r="G43" s="375">
        <f>+'[5]Calculo Coef Actualizado'!G43-'[5]pagado 1er Sem'!G43</f>
        <v>0</v>
      </c>
      <c r="H43" s="375">
        <f>+'[5]Calculo Coef Actualizado'!H43-'[5]pagado 1er Sem'!H43</f>
        <v>0</v>
      </c>
      <c r="I43" s="375">
        <f>+'[5]Calculo Coef Actualizado'!I43-'[5]pagado 1er Sem'!I43</f>
        <v>0</v>
      </c>
      <c r="J43" s="375">
        <f>+'[5]Calculo Coef Actualizado'!J43-'[5]pagado 1er Sem'!J43</f>
        <v>-1035.3987255548127</v>
      </c>
      <c r="K43" s="375">
        <f>+'[5]Calculo Coef Actualizado'!K43-'[5]pagado 1er Sem'!K43</f>
        <v>0</v>
      </c>
      <c r="L43" s="376">
        <f t="shared" si="1"/>
        <v>942382.67126093619</v>
      </c>
      <c r="N43" s="374" t="s">
        <v>38</v>
      </c>
      <c r="O43" s="375">
        <f t="shared" si="3"/>
        <v>0</v>
      </c>
      <c r="P43" s="375">
        <f t="shared" si="3"/>
        <v>0</v>
      </c>
      <c r="Q43" s="375">
        <f t="shared" si="3"/>
        <v>157236.3449977485</v>
      </c>
      <c r="R43" s="375">
        <f t="shared" si="3"/>
        <v>0</v>
      </c>
      <c r="S43" s="375">
        <f t="shared" si="3"/>
        <v>0</v>
      </c>
      <c r="T43" s="375">
        <f t="shared" si="3"/>
        <v>0</v>
      </c>
      <c r="U43" s="375">
        <f t="shared" si="3"/>
        <v>0</v>
      </c>
      <c r="V43" s="375">
        <f t="shared" si="3"/>
        <v>0</v>
      </c>
      <c r="W43" s="375">
        <f t="shared" si="3"/>
        <v>-172.56645425913544</v>
      </c>
      <c r="X43" s="375">
        <f t="shared" si="3"/>
        <v>0</v>
      </c>
      <c r="Y43" s="376">
        <f t="shared" si="2"/>
        <v>157063.77854348937</v>
      </c>
    </row>
    <row r="44" spans="1:25">
      <c r="A44" s="374" t="s">
        <v>39</v>
      </c>
      <c r="B44" s="375">
        <f>+'[5]Calculo Coef Actualizado'!B44-'[5]pagado 1er Sem'!B44</f>
        <v>0</v>
      </c>
      <c r="C44" s="375">
        <f>+'[5]Calculo Coef Actualizado'!C44-'[5]pagado 1er Sem'!C44</f>
        <v>0</v>
      </c>
      <c r="D44" s="375">
        <f>+'[5]Calculo Coef Actualizado'!D44-'[5]pagado 1er Sem'!D44</f>
        <v>0</v>
      </c>
      <c r="E44" s="375">
        <f>+'[5]Calculo Coef Actualizado'!E44-'[5]pagado 1er Sem'!E44</f>
        <v>0</v>
      </c>
      <c r="F44" s="375">
        <f>+'[5]Calculo Coef Actualizado'!F44-'[5]pagado 1er Sem'!F44</f>
        <v>0</v>
      </c>
      <c r="G44" s="375">
        <f>+'[5]Calculo Coef Actualizado'!G44-'[5]pagado 1er Sem'!G44</f>
        <v>0</v>
      </c>
      <c r="H44" s="375">
        <f>+'[5]Calculo Coef Actualizado'!H44-'[5]pagado 1er Sem'!H44</f>
        <v>0</v>
      </c>
      <c r="I44" s="375">
        <f>+'[5]Calculo Coef Actualizado'!I44-'[5]pagado 1er Sem'!I44</f>
        <v>0</v>
      </c>
      <c r="J44" s="375">
        <f>+'[5]Calculo Coef Actualizado'!J44-'[5]pagado 1er Sem'!J44</f>
        <v>-62751.207127146423</v>
      </c>
      <c r="K44" s="375">
        <f>+'[5]Calculo Coef Actualizado'!K44-'[5]pagado 1er Sem'!K44</f>
        <v>0</v>
      </c>
      <c r="L44" s="376">
        <f t="shared" si="1"/>
        <v>-62751.207127146423</v>
      </c>
      <c r="N44" s="374" t="s">
        <v>39</v>
      </c>
      <c r="O44" s="375">
        <f t="shared" si="3"/>
        <v>0</v>
      </c>
      <c r="P44" s="375">
        <f t="shared" si="3"/>
        <v>0</v>
      </c>
      <c r="Q44" s="375">
        <f t="shared" si="3"/>
        <v>0</v>
      </c>
      <c r="R44" s="375">
        <f t="shared" si="3"/>
        <v>0</v>
      </c>
      <c r="S44" s="375">
        <f t="shared" si="3"/>
        <v>0</v>
      </c>
      <c r="T44" s="375">
        <f t="shared" si="3"/>
        <v>0</v>
      </c>
      <c r="U44" s="375">
        <f t="shared" si="3"/>
        <v>0</v>
      </c>
      <c r="V44" s="375">
        <f t="shared" si="3"/>
        <v>0</v>
      </c>
      <c r="W44" s="375">
        <f t="shared" si="3"/>
        <v>-10458.53452119107</v>
      </c>
      <c r="X44" s="375">
        <f t="shared" si="3"/>
        <v>0</v>
      </c>
      <c r="Y44" s="376">
        <f t="shared" si="2"/>
        <v>-10458.53452119107</v>
      </c>
    </row>
    <row r="45" spans="1:25">
      <c r="A45" s="374" t="s">
        <v>40</v>
      </c>
      <c r="B45" s="375">
        <f>+'[5]Calculo Coef Actualizado'!B45-'[5]pagado 1er Sem'!B45</f>
        <v>-2.7939677238464355E-8</v>
      </c>
      <c r="C45" s="375">
        <f>+'[5]Calculo Coef Actualizado'!C45-'[5]pagado 1er Sem'!C45</f>
        <v>-3.9581209421157837E-9</v>
      </c>
      <c r="D45" s="375">
        <f>+'[5]Calculo Coef Actualizado'!D45-'[5]pagado 1er Sem'!D45</f>
        <v>45180.081345803803</v>
      </c>
      <c r="E45" s="375">
        <f>+'[5]Calculo Coef Actualizado'!E45-'[5]pagado 1er Sem'!E45</f>
        <v>-8.149072527885437E-10</v>
      </c>
      <c r="F45" s="375">
        <f>+'[5]Calculo Coef Actualizado'!F45-'[5]pagado 1er Sem'!F45</f>
        <v>-1.3678800314664841E-9</v>
      </c>
      <c r="G45" s="375">
        <f>+'[5]Calculo Coef Actualizado'!G45-'[5]pagado 1er Sem'!G45</f>
        <v>6.730260793119669E-11</v>
      </c>
      <c r="H45" s="375">
        <f>+'[5]Calculo Coef Actualizado'!H45-'[5]pagado 1er Sem'!H45</f>
        <v>-7.4214767664670944E-10</v>
      </c>
      <c r="I45" s="375">
        <f>+'[5]Calculo Coef Actualizado'!I45-'[5]pagado 1er Sem'!I45</f>
        <v>-1.5643308870494366E-10</v>
      </c>
      <c r="J45" s="375">
        <f>+'[5]Calculo Coef Actualizado'!J45-'[5]pagado 1er Sem'!J45</f>
        <v>37433.950645635909</v>
      </c>
      <c r="K45" s="375">
        <f>+'[5]Calculo Coef Actualizado'!K45-'[5]pagado 1er Sem'!K45</f>
        <v>-3.7107383832335472E-10</v>
      </c>
      <c r="L45" s="376">
        <f t="shared" si="1"/>
        <v>82614.031991404423</v>
      </c>
      <c r="N45" s="374" t="s">
        <v>40</v>
      </c>
      <c r="O45" s="375">
        <f t="shared" si="3"/>
        <v>-4.6566128730773926E-9</v>
      </c>
      <c r="P45" s="375">
        <f t="shared" si="3"/>
        <v>-6.5968682368596398E-10</v>
      </c>
      <c r="Q45" s="375">
        <f t="shared" si="3"/>
        <v>7530.0135576339671</v>
      </c>
      <c r="R45" s="375">
        <f t="shared" si="3"/>
        <v>-1.3581787546475729E-10</v>
      </c>
      <c r="S45" s="375">
        <f t="shared" si="3"/>
        <v>-2.27980005244414E-10</v>
      </c>
      <c r="T45" s="375">
        <f t="shared" si="3"/>
        <v>1.1217101321866115E-11</v>
      </c>
      <c r="U45" s="375">
        <f t="shared" si="3"/>
        <v>-1.2369127944111824E-10</v>
      </c>
      <c r="V45" s="375">
        <f t="shared" si="3"/>
        <v>-2.6072181450823944E-11</v>
      </c>
      <c r="W45" s="375">
        <f t="shared" si="3"/>
        <v>6238.9917742726511</v>
      </c>
      <c r="X45" s="375">
        <f t="shared" si="3"/>
        <v>-6.184563972055912E-11</v>
      </c>
      <c r="Y45" s="376">
        <f t="shared" si="2"/>
        <v>13769.005331900738</v>
      </c>
    </row>
    <row r="46" spans="1:25">
      <c r="A46" s="374" t="s">
        <v>41</v>
      </c>
      <c r="B46" s="375">
        <f>+'[5]Calculo Coef Actualizado'!B46-'[5]pagado 1er Sem'!B46</f>
        <v>-2.9802322387695313E-8</v>
      </c>
      <c r="C46" s="375">
        <f>+'[5]Calculo Coef Actualizado'!C46-'[5]pagado 1er Sem'!C46</f>
        <v>-3.7252902984619141E-9</v>
      </c>
      <c r="D46" s="375">
        <f>+'[5]Calculo Coef Actualizado'!D46-'[5]pagado 1er Sem'!D46</f>
        <v>605399.88290828932</v>
      </c>
      <c r="E46" s="375">
        <f>+'[5]Calculo Coef Actualizado'!E46-'[5]pagado 1er Sem'!E46</f>
        <v>0</v>
      </c>
      <c r="F46" s="375">
        <f>+'[5]Calculo Coef Actualizado'!F46-'[5]pagado 1er Sem'!F46</f>
        <v>-1.280568540096283E-9</v>
      </c>
      <c r="G46" s="375">
        <f>+'[5]Calculo Coef Actualizado'!G46-'[5]pagado 1er Sem'!G46</f>
        <v>6.5483618527650833E-11</v>
      </c>
      <c r="H46" s="375">
        <f>+'[5]Calculo Coef Actualizado'!H46-'[5]pagado 1er Sem'!H46</f>
        <v>0</v>
      </c>
      <c r="I46" s="375">
        <f>+'[5]Calculo Coef Actualizado'!I46-'[5]pagado 1er Sem'!I46</f>
        <v>-1.6007106751203537E-10</v>
      </c>
      <c r="J46" s="375">
        <f>+'[5]Calculo Coef Actualizado'!J46-'[5]pagado 1er Sem'!J46</f>
        <v>66777.75852397806</v>
      </c>
      <c r="K46" s="375">
        <f>+'[5]Calculo Coef Actualizado'!K46-'[5]pagado 1er Sem'!K46</f>
        <v>0</v>
      </c>
      <c r="L46" s="376">
        <f t="shared" si="1"/>
        <v>672177.64143223257</v>
      </c>
      <c r="N46" s="374" t="s">
        <v>41</v>
      </c>
      <c r="O46" s="375">
        <f t="shared" si="3"/>
        <v>-4.9670537312825518E-9</v>
      </c>
      <c r="P46" s="375">
        <f t="shared" si="3"/>
        <v>-6.2088171641031898E-10</v>
      </c>
      <c r="Q46" s="375">
        <f t="shared" si="3"/>
        <v>100899.98048471489</v>
      </c>
      <c r="R46" s="375">
        <f t="shared" si="3"/>
        <v>0</v>
      </c>
      <c r="S46" s="375">
        <f t="shared" si="3"/>
        <v>-2.1342809001604715E-10</v>
      </c>
      <c r="T46" s="375">
        <f t="shared" si="3"/>
        <v>1.0913936421275139E-11</v>
      </c>
      <c r="U46" s="375">
        <f t="shared" si="3"/>
        <v>0</v>
      </c>
      <c r="V46" s="375">
        <f t="shared" si="3"/>
        <v>-2.6678511252005894E-11</v>
      </c>
      <c r="W46" s="375">
        <f t="shared" si="3"/>
        <v>11129.626420663009</v>
      </c>
      <c r="X46" s="375">
        <f t="shared" si="3"/>
        <v>0</v>
      </c>
      <c r="Y46" s="376">
        <f t="shared" si="2"/>
        <v>112029.60690537209</v>
      </c>
    </row>
    <row r="47" spans="1:25">
      <c r="A47" s="374" t="s">
        <v>42</v>
      </c>
      <c r="B47" s="375">
        <f>+'[5]Calculo Coef Actualizado'!B47-'[5]pagado 1er Sem'!B47</f>
        <v>0</v>
      </c>
      <c r="C47" s="375">
        <f>+'[5]Calculo Coef Actualizado'!C47-'[5]pagado 1er Sem'!C47</f>
        <v>0</v>
      </c>
      <c r="D47" s="375">
        <f>+'[5]Calculo Coef Actualizado'!D47-'[5]pagado 1er Sem'!D47</f>
        <v>-1644609.0589142493</v>
      </c>
      <c r="E47" s="375">
        <f>+'[5]Calculo Coef Actualizado'!E47-'[5]pagado 1er Sem'!E47</f>
        <v>0</v>
      </c>
      <c r="F47" s="375">
        <f>+'[5]Calculo Coef Actualizado'!F47-'[5]pagado 1er Sem'!F47</f>
        <v>0</v>
      </c>
      <c r="G47" s="375">
        <f>+'[5]Calculo Coef Actualizado'!G47-'[5]pagado 1er Sem'!G47</f>
        <v>0</v>
      </c>
      <c r="H47" s="375">
        <f>+'[5]Calculo Coef Actualizado'!H47-'[5]pagado 1er Sem'!H47</f>
        <v>0</v>
      </c>
      <c r="I47" s="375">
        <f>+'[5]Calculo Coef Actualizado'!I47-'[5]pagado 1er Sem'!I47</f>
        <v>0</v>
      </c>
      <c r="J47" s="375">
        <f>+'[5]Calculo Coef Actualizado'!J47-'[5]pagado 1er Sem'!J47</f>
        <v>16160.249121626926</v>
      </c>
      <c r="K47" s="375">
        <f>+'[5]Calculo Coef Actualizado'!K47-'[5]pagado 1er Sem'!K47</f>
        <v>0</v>
      </c>
      <c r="L47" s="376">
        <f t="shared" si="1"/>
        <v>-1628448.8097926225</v>
      </c>
      <c r="N47" s="374" t="s">
        <v>42</v>
      </c>
      <c r="O47" s="375">
        <f t="shared" si="3"/>
        <v>0</v>
      </c>
      <c r="P47" s="375">
        <f t="shared" si="3"/>
        <v>0</v>
      </c>
      <c r="Q47" s="375">
        <f t="shared" si="3"/>
        <v>-274101.50981904153</v>
      </c>
      <c r="R47" s="375">
        <f t="shared" si="3"/>
        <v>0</v>
      </c>
      <c r="S47" s="375">
        <f t="shared" si="3"/>
        <v>0</v>
      </c>
      <c r="T47" s="375">
        <f t="shared" ref="T47:X56" si="4">+G47/6</f>
        <v>0</v>
      </c>
      <c r="U47" s="375">
        <f t="shared" si="4"/>
        <v>0</v>
      </c>
      <c r="V47" s="375">
        <f t="shared" si="4"/>
        <v>0</v>
      </c>
      <c r="W47" s="375">
        <f t="shared" si="4"/>
        <v>2693.3748536044877</v>
      </c>
      <c r="X47" s="375">
        <f t="shared" si="4"/>
        <v>0</v>
      </c>
      <c r="Y47" s="376">
        <f t="shared" si="2"/>
        <v>-271408.13496543706</v>
      </c>
    </row>
    <row r="48" spans="1:25">
      <c r="A48" s="374" t="s">
        <v>43</v>
      </c>
      <c r="B48" s="375">
        <f>+'[5]Calculo Coef Actualizado'!B48-'[5]pagado 1er Sem'!B48</f>
        <v>0</v>
      </c>
      <c r="C48" s="375">
        <f>+'[5]Calculo Coef Actualizado'!C48-'[5]pagado 1er Sem'!C48</f>
        <v>0</v>
      </c>
      <c r="D48" s="375">
        <f>+'[5]Calculo Coef Actualizado'!D48-'[5]pagado 1er Sem'!D48</f>
        <v>-924928.64037517225</v>
      </c>
      <c r="E48" s="375">
        <f>+'[5]Calculo Coef Actualizado'!E48-'[5]pagado 1er Sem'!E48</f>
        <v>0</v>
      </c>
      <c r="F48" s="375">
        <f>+'[5]Calculo Coef Actualizado'!F48-'[5]pagado 1er Sem'!F48</f>
        <v>0</v>
      </c>
      <c r="G48" s="375">
        <f>+'[5]Calculo Coef Actualizado'!G48-'[5]pagado 1er Sem'!G48</f>
        <v>0</v>
      </c>
      <c r="H48" s="375">
        <f>+'[5]Calculo Coef Actualizado'!H48-'[5]pagado 1er Sem'!H48</f>
        <v>0</v>
      </c>
      <c r="I48" s="375">
        <f>+'[5]Calculo Coef Actualizado'!I48-'[5]pagado 1er Sem'!I48</f>
        <v>0</v>
      </c>
      <c r="J48" s="375">
        <f>+'[5]Calculo Coef Actualizado'!J48-'[5]pagado 1er Sem'!J48</f>
        <v>-35322.548723956905</v>
      </c>
      <c r="K48" s="375">
        <f>+'[5]Calculo Coef Actualizado'!K48-'[5]pagado 1er Sem'!K48</f>
        <v>0</v>
      </c>
      <c r="L48" s="376">
        <f t="shared" si="1"/>
        <v>-960251.18909912917</v>
      </c>
      <c r="N48" s="374" t="s">
        <v>43</v>
      </c>
      <c r="O48" s="375">
        <f t="shared" ref="O48:S56" si="5">+B48/6</f>
        <v>0</v>
      </c>
      <c r="P48" s="375">
        <f t="shared" si="5"/>
        <v>0</v>
      </c>
      <c r="Q48" s="375">
        <f t="shared" si="5"/>
        <v>-154154.77339586205</v>
      </c>
      <c r="R48" s="375">
        <f t="shared" si="5"/>
        <v>0</v>
      </c>
      <c r="S48" s="375">
        <f t="shared" si="5"/>
        <v>0</v>
      </c>
      <c r="T48" s="375">
        <f t="shared" si="4"/>
        <v>0</v>
      </c>
      <c r="U48" s="375">
        <f t="shared" si="4"/>
        <v>0</v>
      </c>
      <c r="V48" s="375">
        <f t="shared" si="4"/>
        <v>0</v>
      </c>
      <c r="W48" s="375">
        <f t="shared" si="4"/>
        <v>-5887.0914539928172</v>
      </c>
      <c r="X48" s="375">
        <f t="shared" si="4"/>
        <v>0</v>
      </c>
      <c r="Y48" s="376">
        <f t="shared" si="2"/>
        <v>-160041.86484985487</v>
      </c>
    </row>
    <row r="49" spans="1:25">
      <c r="A49" s="374" t="s">
        <v>44</v>
      </c>
      <c r="B49" s="375">
        <f>+'[5]Calculo Coef Actualizado'!B49-'[5]pagado 1er Sem'!B49</f>
        <v>0</v>
      </c>
      <c r="C49" s="375">
        <f>+'[5]Calculo Coef Actualizado'!C49-'[5]pagado 1er Sem'!C49</f>
        <v>0</v>
      </c>
      <c r="D49" s="375">
        <f>+'[5]Calculo Coef Actualizado'!D49-'[5]pagado 1er Sem'!D49</f>
        <v>-1392294.7967292597</v>
      </c>
      <c r="E49" s="375">
        <f>+'[5]Calculo Coef Actualizado'!E49-'[5]pagado 1er Sem'!E49</f>
        <v>0</v>
      </c>
      <c r="F49" s="375">
        <f>+'[5]Calculo Coef Actualizado'!F49-'[5]pagado 1er Sem'!F49</f>
        <v>0</v>
      </c>
      <c r="G49" s="375">
        <f>+'[5]Calculo Coef Actualizado'!G49-'[5]pagado 1er Sem'!G49</f>
        <v>0</v>
      </c>
      <c r="H49" s="375">
        <f>+'[5]Calculo Coef Actualizado'!H49-'[5]pagado 1er Sem'!H49</f>
        <v>0</v>
      </c>
      <c r="I49" s="375">
        <f>+'[5]Calculo Coef Actualizado'!I49-'[5]pagado 1er Sem'!I49</f>
        <v>0</v>
      </c>
      <c r="J49" s="375">
        <f>+'[5]Calculo Coef Actualizado'!J49-'[5]pagado 1er Sem'!J49</f>
        <v>853.71280723402742</v>
      </c>
      <c r="K49" s="375">
        <f>+'[5]Calculo Coef Actualizado'!K49-'[5]pagado 1er Sem'!K49</f>
        <v>0</v>
      </c>
      <c r="L49" s="376">
        <f t="shared" si="1"/>
        <v>-1391441.0839220257</v>
      </c>
      <c r="N49" s="374" t="s">
        <v>44</v>
      </c>
      <c r="O49" s="375">
        <f t="shared" si="5"/>
        <v>0</v>
      </c>
      <c r="P49" s="375">
        <f t="shared" si="5"/>
        <v>0</v>
      </c>
      <c r="Q49" s="375">
        <f t="shared" si="5"/>
        <v>-232049.13278820994</v>
      </c>
      <c r="R49" s="375">
        <f t="shared" si="5"/>
        <v>0</v>
      </c>
      <c r="S49" s="375">
        <f t="shared" si="5"/>
        <v>0</v>
      </c>
      <c r="T49" s="375">
        <f t="shared" si="4"/>
        <v>0</v>
      </c>
      <c r="U49" s="375">
        <f t="shared" si="4"/>
        <v>0</v>
      </c>
      <c r="V49" s="375">
        <f t="shared" si="4"/>
        <v>0</v>
      </c>
      <c r="W49" s="375">
        <f t="shared" si="4"/>
        <v>142.2854678723379</v>
      </c>
      <c r="X49" s="375">
        <f t="shared" si="4"/>
        <v>0</v>
      </c>
      <c r="Y49" s="376">
        <f t="shared" si="2"/>
        <v>-231906.84732033761</v>
      </c>
    </row>
    <row r="50" spans="1:25">
      <c r="A50" s="374" t="s">
        <v>45</v>
      </c>
      <c r="B50" s="375">
        <f>+'[5]Calculo Coef Actualizado'!B50-'[5]pagado 1er Sem'!B50</f>
        <v>0</v>
      </c>
      <c r="C50" s="375">
        <f>+'[5]Calculo Coef Actualizado'!C50-'[5]pagado 1er Sem'!C50</f>
        <v>0</v>
      </c>
      <c r="D50" s="375">
        <f>+'[5]Calculo Coef Actualizado'!D50-'[5]pagado 1er Sem'!D50</f>
        <v>-104611.1887723566</v>
      </c>
      <c r="E50" s="375">
        <f>+'[5]Calculo Coef Actualizado'!E50-'[5]pagado 1er Sem'!E50</f>
        <v>0</v>
      </c>
      <c r="F50" s="375">
        <f>+'[5]Calculo Coef Actualizado'!F50-'[5]pagado 1er Sem'!F50</f>
        <v>0</v>
      </c>
      <c r="G50" s="375">
        <f>+'[5]Calculo Coef Actualizado'!G50-'[5]pagado 1er Sem'!G50</f>
        <v>0</v>
      </c>
      <c r="H50" s="375">
        <f>+'[5]Calculo Coef Actualizado'!H50-'[5]pagado 1er Sem'!H50</f>
        <v>0</v>
      </c>
      <c r="I50" s="375">
        <f>+'[5]Calculo Coef Actualizado'!I50-'[5]pagado 1er Sem'!I50</f>
        <v>0</v>
      </c>
      <c r="J50" s="375">
        <f>+'[5]Calculo Coef Actualizado'!J50-'[5]pagado 1er Sem'!J50</f>
        <v>33435.520858106669</v>
      </c>
      <c r="K50" s="375">
        <f>+'[5]Calculo Coef Actualizado'!K50-'[5]pagado 1er Sem'!K50</f>
        <v>0</v>
      </c>
      <c r="L50" s="376">
        <f t="shared" si="1"/>
        <v>-71175.667914249934</v>
      </c>
      <c r="N50" s="374" t="s">
        <v>45</v>
      </c>
      <c r="O50" s="375">
        <f t="shared" si="5"/>
        <v>0</v>
      </c>
      <c r="P50" s="375">
        <f t="shared" si="5"/>
        <v>0</v>
      </c>
      <c r="Q50" s="375">
        <f t="shared" si="5"/>
        <v>-17435.198128726101</v>
      </c>
      <c r="R50" s="375">
        <f t="shared" si="5"/>
        <v>0</v>
      </c>
      <c r="S50" s="375">
        <f t="shared" si="5"/>
        <v>0</v>
      </c>
      <c r="T50" s="375">
        <f t="shared" si="4"/>
        <v>0</v>
      </c>
      <c r="U50" s="375">
        <f t="shared" si="4"/>
        <v>0</v>
      </c>
      <c r="V50" s="375">
        <f t="shared" si="4"/>
        <v>0</v>
      </c>
      <c r="W50" s="375">
        <f t="shared" si="4"/>
        <v>5572.5868096844451</v>
      </c>
      <c r="X50" s="375">
        <f t="shared" si="4"/>
        <v>0</v>
      </c>
      <c r="Y50" s="376">
        <f t="shared" si="2"/>
        <v>-11862.611319041654</v>
      </c>
    </row>
    <row r="51" spans="1:25">
      <c r="A51" s="374" t="s">
        <v>46</v>
      </c>
      <c r="B51" s="375">
        <f>+'[5]Calculo Coef Actualizado'!B51-'[5]pagado 1er Sem'!B51</f>
        <v>0</v>
      </c>
      <c r="C51" s="375">
        <f>+'[5]Calculo Coef Actualizado'!C51-'[5]pagado 1er Sem'!C51</f>
        <v>0</v>
      </c>
      <c r="D51" s="375">
        <f>+'[5]Calculo Coef Actualizado'!D51-'[5]pagado 1er Sem'!D51</f>
        <v>627173.85204850603</v>
      </c>
      <c r="E51" s="375">
        <f>+'[5]Calculo Coef Actualizado'!E51-'[5]pagado 1er Sem'!E51</f>
        <v>0</v>
      </c>
      <c r="F51" s="375">
        <f>+'[5]Calculo Coef Actualizado'!F51-'[5]pagado 1er Sem'!F51</f>
        <v>0</v>
      </c>
      <c r="G51" s="375">
        <f>+'[5]Calculo Coef Actualizado'!G51-'[5]pagado 1er Sem'!G51</f>
        <v>0</v>
      </c>
      <c r="H51" s="375">
        <f>+'[5]Calculo Coef Actualizado'!H51-'[5]pagado 1er Sem'!H51</f>
        <v>0</v>
      </c>
      <c r="I51" s="375">
        <f>+'[5]Calculo Coef Actualizado'!I51-'[5]pagado 1er Sem'!I51</f>
        <v>0</v>
      </c>
      <c r="J51" s="375">
        <f>+'[5]Calculo Coef Actualizado'!J51-'[5]pagado 1er Sem'!J51</f>
        <v>11267.260215716437</v>
      </c>
      <c r="K51" s="375">
        <f>+'[5]Calculo Coef Actualizado'!K51-'[5]pagado 1er Sem'!K51</f>
        <v>0</v>
      </c>
      <c r="L51" s="376">
        <f t="shared" si="1"/>
        <v>638441.11226422247</v>
      </c>
      <c r="N51" s="374" t="s">
        <v>46</v>
      </c>
      <c r="O51" s="375">
        <f t="shared" si="5"/>
        <v>0</v>
      </c>
      <c r="P51" s="375">
        <f t="shared" si="5"/>
        <v>0</v>
      </c>
      <c r="Q51" s="375">
        <f t="shared" si="5"/>
        <v>104528.97534141767</v>
      </c>
      <c r="R51" s="375">
        <f t="shared" si="5"/>
        <v>0</v>
      </c>
      <c r="S51" s="375">
        <f t="shared" si="5"/>
        <v>0</v>
      </c>
      <c r="T51" s="375">
        <f t="shared" si="4"/>
        <v>0</v>
      </c>
      <c r="U51" s="375">
        <f t="shared" si="4"/>
        <v>0</v>
      </c>
      <c r="V51" s="375">
        <f t="shared" si="4"/>
        <v>0</v>
      </c>
      <c r="W51" s="375">
        <f t="shared" si="4"/>
        <v>1877.8767026194062</v>
      </c>
      <c r="X51" s="375">
        <f t="shared" si="4"/>
        <v>0</v>
      </c>
      <c r="Y51" s="376">
        <f t="shared" si="2"/>
        <v>106406.85204403708</v>
      </c>
    </row>
    <row r="52" spans="1:25">
      <c r="A52" s="374" t="s">
        <v>47</v>
      </c>
      <c r="B52" s="375">
        <f>+'[5]Calculo Coef Actualizado'!B52-'[5]pagado 1er Sem'!B52</f>
        <v>0</v>
      </c>
      <c r="C52" s="375">
        <f>+'[5]Calculo Coef Actualizado'!C52-'[5]pagado 1er Sem'!C52</f>
        <v>0</v>
      </c>
      <c r="D52" s="375">
        <f>+'[5]Calculo Coef Actualizado'!D52-'[5]pagado 1er Sem'!D52</f>
        <v>-120510.50404844806</v>
      </c>
      <c r="E52" s="375">
        <f>+'[5]Calculo Coef Actualizado'!E52-'[5]pagado 1er Sem'!E52</f>
        <v>0</v>
      </c>
      <c r="F52" s="375">
        <f>+'[5]Calculo Coef Actualizado'!F52-'[5]pagado 1er Sem'!F52</f>
        <v>0</v>
      </c>
      <c r="G52" s="375">
        <f>+'[5]Calculo Coef Actualizado'!G52-'[5]pagado 1er Sem'!G52</f>
        <v>0</v>
      </c>
      <c r="H52" s="375">
        <f>+'[5]Calculo Coef Actualizado'!H52-'[5]pagado 1er Sem'!H52</f>
        <v>0</v>
      </c>
      <c r="I52" s="375">
        <f>+'[5]Calculo Coef Actualizado'!I52-'[5]pagado 1er Sem'!I52</f>
        <v>0</v>
      </c>
      <c r="J52" s="375">
        <f>+'[5]Calculo Coef Actualizado'!J52-'[5]pagado 1er Sem'!J52</f>
        <v>-150261.55378709408</v>
      </c>
      <c r="K52" s="375">
        <f>+'[5]Calculo Coef Actualizado'!K52-'[5]pagado 1er Sem'!K52</f>
        <v>0</v>
      </c>
      <c r="L52" s="376">
        <f t="shared" si="1"/>
        <v>-270772.05783554213</v>
      </c>
      <c r="N52" s="374" t="s">
        <v>47</v>
      </c>
      <c r="O52" s="375">
        <f t="shared" si="5"/>
        <v>0</v>
      </c>
      <c r="P52" s="375">
        <f t="shared" si="5"/>
        <v>0</v>
      </c>
      <c r="Q52" s="375">
        <f t="shared" si="5"/>
        <v>-20085.084008074675</v>
      </c>
      <c r="R52" s="375">
        <f t="shared" si="5"/>
        <v>0</v>
      </c>
      <c r="S52" s="375">
        <f t="shared" si="5"/>
        <v>0</v>
      </c>
      <c r="T52" s="375">
        <f t="shared" si="4"/>
        <v>0</v>
      </c>
      <c r="U52" s="375">
        <f t="shared" si="4"/>
        <v>0</v>
      </c>
      <c r="V52" s="375">
        <f t="shared" si="4"/>
        <v>0</v>
      </c>
      <c r="W52" s="375">
        <f t="shared" si="4"/>
        <v>-25043.592297849013</v>
      </c>
      <c r="X52" s="375">
        <f t="shared" si="4"/>
        <v>0</v>
      </c>
      <c r="Y52" s="376">
        <f t="shared" si="2"/>
        <v>-45128.676305923684</v>
      </c>
    </row>
    <row r="53" spans="1:25">
      <c r="A53" s="374" t="s">
        <v>48</v>
      </c>
      <c r="B53" s="375">
        <f>+'[5]Calculo Coef Actualizado'!B53-'[5]pagado 1er Sem'!B53</f>
        <v>0</v>
      </c>
      <c r="C53" s="375">
        <f>+'[5]Calculo Coef Actualizado'!C53-'[5]pagado 1er Sem'!C53</f>
        <v>0</v>
      </c>
      <c r="D53" s="375">
        <f>+'[5]Calculo Coef Actualizado'!D53-'[5]pagado 1er Sem'!D53</f>
        <v>-112687.56705060136</v>
      </c>
      <c r="E53" s="375">
        <f>+'[5]Calculo Coef Actualizado'!E53-'[5]pagado 1er Sem'!E53</f>
        <v>0</v>
      </c>
      <c r="F53" s="375">
        <f>+'[5]Calculo Coef Actualizado'!F53-'[5]pagado 1er Sem'!F53</f>
        <v>0</v>
      </c>
      <c r="G53" s="375">
        <f>+'[5]Calculo Coef Actualizado'!G53-'[5]pagado 1er Sem'!G53</f>
        <v>0</v>
      </c>
      <c r="H53" s="375">
        <f>+'[5]Calculo Coef Actualizado'!H53-'[5]pagado 1er Sem'!H53</f>
        <v>0</v>
      </c>
      <c r="I53" s="375">
        <f>+'[5]Calculo Coef Actualizado'!I53-'[5]pagado 1er Sem'!I53</f>
        <v>0</v>
      </c>
      <c r="J53" s="375">
        <f>+'[5]Calculo Coef Actualizado'!J53-'[5]pagado 1er Sem'!J53</f>
        <v>-30925.985110220034</v>
      </c>
      <c r="K53" s="375">
        <f>+'[5]Calculo Coef Actualizado'!K53-'[5]pagado 1er Sem'!K53</f>
        <v>0</v>
      </c>
      <c r="L53" s="376">
        <f t="shared" si="1"/>
        <v>-143613.55216082139</v>
      </c>
      <c r="N53" s="374" t="s">
        <v>48</v>
      </c>
      <c r="O53" s="375">
        <f t="shared" si="5"/>
        <v>0</v>
      </c>
      <c r="P53" s="375">
        <f t="shared" si="5"/>
        <v>0</v>
      </c>
      <c r="Q53" s="375">
        <f t="shared" si="5"/>
        <v>-18781.261175100226</v>
      </c>
      <c r="R53" s="375">
        <f t="shared" si="5"/>
        <v>0</v>
      </c>
      <c r="S53" s="375">
        <f t="shared" si="5"/>
        <v>0</v>
      </c>
      <c r="T53" s="375">
        <f t="shared" si="4"/>
        <v>0</v>
      </c>
      <c r="U53" s="375">
        <f t="shared" si="4"/>
        <v>0</v>
      </c>
      <c r="V53" s="375">
        <f t="shared" si="4"/>
        <v>0</v>
      </c>
      <c r="W53" s="375">
        <f t="shared" si="4"/>
        <v>-5154.3308517033392</v>
      </c>
      <c r="X53" s="375">
        <f t="shared" si="4"/>
        <v>0</v>
      </c>
      <c r="Y53" s="376">
        <f t="shared" si="2"/>
        <v>-23935.592026803566</v>
      </c>
    </row>
    <row r="54" spans="1:25">
      <c r="A54" s="374" t="s">
        <v>49</v>
      </c>
      <c r="B54" s="375">
        <f>+'[5]Calculo Coef Actualizado'!B54-'[5]pagado 1er Sem'!B54</f>
        <v>0</v>
      </c>
      <c r="C54" s="375">
        <f>+'[5]Calculo Coef Actualizado'!C54-'[5]pagado 1er Sem'!C54</f>
        <v>0</v>
      </c>
      <c r="D54" s="375">
        <f>+'[5]Calculo Coef Actualizado'!D54-'[5]pagado 1er Sem'!D54</f>
        <v>316953.22447803337</v>
      </c>
      <c r="E54" s="375">
        <f>+'[5]Calculo Coef Actualizado'!E54-'[5]pagado 1er Sem'!E54</f>
        <v>0</v>
      </c>
      <c r="F54" s="375">
        <f>+'[5]Calculo Coef Actualizado'!F54-'[5]pagado 1er Sem'!F54</f>
        <v>0</v>
      </c>
      <c r="G54" s="375">
        <f>+'[5]Calculo Coef Actualizado'!G54-'[5]pagado 1er Sem'!G54</f>
        <v>0</v>
      </c>
      <c r="H54" s="375">
        <f>+'[5]Calculo Coef Actualizado'!H54-'[5]pagado 1er Sem'!H54</f>
        <v>0</v>
      </c>
      <c r="I54" s="375">
        <f>+'[5]Calculo Coef Actualizado'!I54-'[5]pagado 1er Sem'!I54</f>
        <v>0</v>
      </c>
      <c r="J54" s="375">
        <f>+'[5]Calculo Coef Actualizado'!J54-'[5]pagado 1er Sem'!J54</f>
        <v>41687.556431731675</v>
      </c>
      <c r="K54" s="375">
        <f>+'[5]Calculo Coef Actualizado'!K54-'[5]pagado 1er Sem'!K54</f>
        <v>0</v>
      </c>
      <c r="L54" s="376">
        <f t="shared" si="1"/>
        <v>358640.78090976505</v>
      </c>
      <c r="N54" s="374" t="s">
        <v>49</v>
      </c>
      <c r="O54" s="375">
        <f t="shared" si="5"/>
        <v>0</v>
      </c>
      <c r="P54" s="375">
        <f t="shared" si="5"/>
        <v>0</v>
      </c>
      <c r="Q54" s="375">
        <f t="shared" si="5"/>
        <v>52825.537413005564</v>
      </c>
      <c r="R54" s="375">
        <f t="shared" si="5"/>
        <v>0</v>
      </c>
      <c r="S54" s="375">
        <f t="shared" si="5"/>
        <v>0</v>
      </c>
      <c r="T54" s="375">
        <f t="shared" si="4"/>
        <v>0</v>
      </c>
      <c r="U54" s="375">
        <f t="shared" si="4"/>
        <v>0</v>
      </c>
      <c r="V54" s="375">
        <f t="shared" si="4"/>
        <v>0</v>
      </c>
      <c r="W54" s="375">
        <f t="shared" si="4"/>
        <v>6947.9260719552794</v>
      </c>
      <c r="X54" s="375">
        <f t="shared" si="4"/>
        <v>0</v>
      </c>
      <c r="Y54" s="376">
        <f t="shared" si="2"/>
        <v>59773.463484960841</v>
      </c>
    </row>
    <row r="55" spans="1:25">
      <c r="A55" s="374" t="s">
        <v>50</v>
      </c>
      <c r="B55" s="375">
        <f>+'[5]Calculo Coef Actualizado'!B55-'[5]pagado 1er Sem'!B55</f>
        <v>-2.9802322387695313E-8</v>
      </c>
      <c r="C55" s="375">
        <f>+'[5]Calculo Coef Actualizado'!C55-'[5]pagado 1er Sem'!C55</f>
        <v>-3.9581209421157837E-9</v>
      </c>
      <c r="D55" s="375">
        <f>+'[5]Calculo Coef Actualizado'!D55-'[5]pagado 1er Sem'!D55</f>
        <v>637830.56534978049</v>
      </c>
      <c r="E55" s="375">
        <f>+'[5]Calculo Coef Actualizado'!E55-'[5]pagado 1er Sem'!E55</f>
        <v>-8.440110832452774E-10</v>
      </c>
      <c r="F55" s="375">
        <f>+'[5]Calculo Coef Actualizado'!F55-'[5]pagado 1er Sem'!F55</f>
        <v>-1.3387762010097504E-9</v>
      </c>
      <c r="G55" s="375">
        <f>+'[5]Calculo Coef Actualizado'!G55-'[5]pagado 1er Sem'!G55</f>
        <v>6.9121597334742546E-11</v>
      </c>
      <c r="H55" s="375">
        <f>+'[5]Calculo Coef Actualizado'!H55-'[5]pagado 1er Sem'!H55</f>
        <v>-7.8580342233181E-10</v>
      </c>
      <c r="I55" s="375">
        <f>+'[5]Calculo Coef Actualizado'!I55-'[5]pagado 1er Sem'!I55</f>
        <v>-1.6007106751203537E-10</v>
      </c>
      <c r="J55" s="375">
        <f>+'[5]Calculo Coef Actualizado'!J55-'[5]pagado 1er Sem'!J55</f>
        <v>46278.861971259124</v>
      </c>
      <c r="K55" s="375">
        <f>+'[5]Calculo Coef Actualizado'!K55-'[5]pagado 1er Sem'!K55</f>
        <v>-3.7834979593753815E-10</v>
      </c>
      <c r="L55" s="376">
        <f t="shared" si="1"/>
        <v>684109.42732100259</v>
      </c>
      <c r="N55" s="374" t="s">
        <v>50</v>
      </c>
      <c r="O55" s="375">
        <f t="shared" si="5"/>
        <v>-4.9670537312825518E-9</v>
      </c>
      <c r="P55" s="375">
        <f t="shared" si="5"/>
        <v>-6.5968682368596398E-10</v>
      </c>
      <c r="Q55" s="375">
        <f t="shared" si="5"/>
        <v>106305.09422496341</v>
      </c>
      <c r="R55" s="375">
        <f t="shared" si="5"/>
        <v>-1.4066851387421289E-10</v>
      </c>
      <c r="S55" s="375">
        <f t="shared" si="5"/>
        <v>-2.231293668349584E-10</v>
      </c>
      <c r="T55" s="375">
        <f t="shared" si="4"/>
        <v>1.152026622245709E-11</v>
      </c>
      <c r="U55" s="375">
        <f t="shared" si="4"/>
        <v>-1.3096723705530167E-10</v>
      </c>
      <c r="V55" s="375">
        <f t="shared" si="4"/>
        <v>-2.6678511252005894E-11</v>
      </c>
      <c r="W55" s="375">
        <f t="shared" si="4"/>
        <v>7713.143661876521</v>
      </c>
      <c r="X55" s="375">
        <f t="shared" si="4"/>
        <v>-6.305829932292302E-11</v>
      </c>
      <c r="Y55" s="376">
        <f t="shared" si="2"/>
        <v>114018.23788683373</v>
      </c>
    </row>
    <row r="56" spans="1:25" ht="13.5" thickBot="1">
      <c r="A56" s="374" t="s">
        <v>51</v>
      </c>
      <c r="B56" s="375">
        <f>+'[5]Calculo Coef Actualizado'!B56-'[5]pagado 1er Sem'!B56</f>
        <v>0</v>
      </c>
      <c r="C56" s="375">
        <f>+'[5]Calculo Coef Actualizado'!C56-'[5]pagado 1er Sem'!C56</f>
        <v>0</v>
      </c>
      <c r="D56" s="375">
        <f>+'[5]Calculo Coef Actualizado'!D56-'[5]pagado 1er Sem'!D56</f>
        <v>-172018.29445200833</v>
      </c>
      <c r="E56" s="375">
        <f>+'[5]Calculo Coef Actualizado'!E56-'[5]pagado 1er Sem'!E56</f>
        <v>0</v>
      </c>
      <c r="F56" s="375">
        <f>+'[5]Calculo Coef Actualizado'!F56-'[5]pagado 1er Sem'!F56</f>
        <v>0</v>
      </c>
      <c r="G56" s="375">
        <f>+'[5]Calculo Coef Actualizado'!G56-'[5]pagado 1er Sem'!G56</f>
        <v>0</v>
      </c>
      <c r="H56" s="375">
        <f>+'[5]Calculo Coef Actualizado'!H56-'[5]pagado 1er Sem'!H56</f>
        <v>0</v>
      </c>
      <c r="I56" s="375">
        <f>+'[5]Calculo Coef Actualizado'!I56-'[5]pagado 1er Sem'!I56</f>
        <v>0</v>
      </c>
      <c r="J56" s="375">
        <f>+'[5]Calculo Coef Actualizado'!J56-'[5]pagado 1er Sem'!J56</f>
        <v>24488.658881197407</v>
      </c>
      <c r="K56" s="375">
        <f>+'[5]Calculo Coef Actualizado'!K56-'[5]pagado 1er Sem'!K56</f>
        <v>0</v>
      </c>
      <c r="L56" s="376">
        <f t="shared" si="1"/>
        <v>-147529.63557081093</v>
      </c>
      <c r="N56" s="374" t="s">
        <v>51</v>
      </c>
      <c r="O56" s="375">
        <f t="shared" si="5"/>
        <v>0</v>
      </c>
      <c r="P56" s="375">
        <f t="shared" si="5"/>
        <v>0</v>
      </c>
      <c r="Q56" s="375">
        <f t="shared" si="5"/>
        <v>-28669.715742001386</v>
      </c>
      <c r="R56" s="375">
        <f t="shared" si="5"/>
        <v>0</v>
      </c>
      <c r="S56" s="375">
        <f t="shared" si="5"/>
        <v>0</v>
      </c>
      <c r="T56" s="375">
        <f t="shared" si="4"/>
        <v>0</v>
      </c>
      <c r="U56" s="375">
        <f t="shared" si="4"/>
        <v>0</v>
      </c>
      <c r="V56" s="375">
        <f t="shared" si="4"/>
        <v>0</v>
      </c>
      <c r="W56" s="375">
        <f t="shared" si="4"/>
        <v>4081.4431468662347</v>
      </c>
      <c r="X56" s="375">
        <f t="shared" si="4"/>
        <v>0</v>
      </c>
      <c r="Y56" s="376">
        <f t="shared" si="2"/>
        <v>-24588.272595135153</v>
      </c>
    </row>
    <row r="57" spans="1:25" ht="14.25" thickTop="1" thickBot="1">
      <c r="A57" s="377" t="s">
        <v>52</v>
      </c>
      <c r="B57" s="378">
        <f t="shared" ref="B57:E57" si="6">SUM(B6:B56)</f>
        <v>-3.3574178814888E-7</v>
      </c>
      <c r="C57" s="378">
        <f t="shared" si="6"/>
        <v>-4.71482053399086E-8</v>
      </c>
      <c r="D57" s="378">
        <f t="shared" si="6"/>
        <v>7.7299773693084717E-8</v>
      </c>
      <c r="E57" s="378">
        <f t="shared" si="6"/>
        <v>-8.9057721197605133E-9</v>
      </c>
      <c r="F57" s="378">
        <f>SUM(F6:F56)</f>
        <v>-2.0227162167429924E-8</v>
      </c>
      <c r="G57" s="378">
        <f t="shared" ref="G57:L57" si="7">SUM(G6:G56)</f>
        <v>7.8216544352471828E-10</v>
      </c>
      <c r="H57" s="378">
        <f t="shared" si="7"/>
        <v>-8.047209121286869E-9</v>
      </c>
      <c r="I57" s="378">
        <f t="shared" si="7"/>
        <v>-2.3246684577316046E-9</v>
      </c>
      <c r="J57" s="378">
        <f t="shared" si="7"/>
        <v>-9.9999901503906585E-3</v>
      </c>
      <c r="K57" s="378">
        <f t="shared" si="7"/>
        <v>-3.9945007301867008E-9</v>
      </c>
      <c r="L57" s="379">
        <f t="shared" si="7"/>
        <v>-1.000034116441384E-2</v>
      </c>
      <c r="N57" s="377" t="s">
        <v>52</v>
      </c>
      <c r="O57" s="378">
        <f t="shared" ref="O57:R57" si="8">SUM(O6:O56)</f>
        <v>-5.595696469148001E-8</v>
      </c>
      <c r="P57" s="378">
        <f t="shared" si="8"/>
        <v>-7.8580342233181E-9</v>
      </c>
      <c r="Q57" s="378">
        <f t="shared" si="8"/>
        <v>1.2627424439415336E-8</v>
      </c>
      <c r="R57" s="378">
        <f t="shared" si="8"/>
        <v>-1.4842953532934189E-9</v>
      </c>
      <c r="S57" s="378">
        <f>SUM(S6:S56)</f>
        <v>-3.3711936945716535E-9</v>
      </c>
      <c r="T57" s="378">
        <f t="shared" ref="T57:Y57" si="9">SUM(T6:T56)</f>
        <v>1.303609072541197E-10</v>
      </c>
      <c r="U57" s="378">
        <f t="shared" si="9"/>
        <v>-1.3412015202144782E-9</v>
      </c>
      <c r="V57" s="378">
        <f t="shared" si="9"/>
        <v>-3.8744474295526743E-10</v>
      </c>
      <c r="W57" s="378">
        <f t="shared" si="9"/>
        <v>-1.6666650221850432E-3</v>
      </c>
      <c r="X57" s="378">
        <f t="shared" si="9"/>
        <v>-6.6575012169778347E-10</v>
      </c>
      <c r="Y57" s="379">
        <f t="shared" si="9"/>
        <v>-1.6667235249769874E-3</v>
      </c>
    </row>
    <row r="58" spans="1:25" ht="13.5" thickTop="1">
      <c r="A58" s="380"/>
      <c r="B58" s="380"/>
      <c r="C58" s="380"/>
      <c r="D58" s="380"/>
      <c r="E58" s="380"/>
      <c r="F58" s="380"/>
      <c r="G58" s="380"/>
      <c r="H58" s="380"/>
      <c r="I58" s="380"/>
      <c r="J58" s="380"/>
      <c r="K58" s="380"/>
      <c r="L58" s="380"/>
    </row>
    <row r="59" spans="1:25">
      <c r="A59" s="381" t="s">
        <v>124</v>
      </c>
      <c r="B59" s="381"/>
      <c r="C59" s="381"/>
      <c r="D59" s="381"/>
      <c r="E59" s="381"/>
    </row>
    <row r="60" spans="1:25">
      <c r="A60" s="382"/>
    </row>
    <row r="61" spans="1:25">
      <c r="A61" s="382"/>
    </row>
    <row r="62" spans="1:25" ht="16.5" customHeight="1"/>
  </sheetData>
  <mergeCells count="8">
    <mergeCell ref="A4:L4"/>
    <mergeCell ref="N4:Y4"/>
    <mergeCell ref="A1:L1"/>
    <mergeCell ref="N1:Y1"/>
    <mergeCell ref="A2:L2"/>
    <mergeCell ref="N2:Y2"/>
    <mergeCell ref="A3:L3"/>
    <mergeCell ref="N3:Y3"/>
  </mergeCells>
  <printOptions horizontalCentered="1"/>
  <pageMargins left="0.39370078740157483" right="0.39370078740157483" top="0.47244094488188981" bottom="0.15748031496062992" header="0.15748031496062992" footer="0.15748031496062992"/>
  <pageSetup scale="75" orientation="landscape" r:id="rId1"/>
  <headerFooter alignWithMargins="0">
    <oddHeader>&amp;L&amp;"Arial,Negrita"ANEXO IV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W54"/>
  <sheetViews>
    <sheetView showGridLines="0" topLeftCell="K1" zoomScale="136" zoomScaleNormal="136" zoomScaleSheetLayoutView="100" workbookViewId="0">
      <selection activeCell="W15" sqref="W15"/>
    </sheetView>
  </sheetViews>
  <sheetFormatPr baseColWidth="10" defaultColWidth="11.42578125" defaultRowHeight="12.75"/>
  <cols>
    <col min="1" max="1" width="28" style="16" customWidth="1"/>
    <col min="2" max="11" width="14.28515625" style="63" customWidth="1"/>
    <col min="12" max="12" width="11.42578125" style="75"/>
    <col min="13" max="13" width="32" style="16" customWidth="1"/>
    <col min="14" max="16384" width="11.42578125" style="16"/>
  </cols>
  <sheetData>
    <row r="1" spans="1:23" ht="27" thickTop="1" thickBot="1">
      <c r="A1" s="18" t="s">
        <v>0</v>
      </c>
      <c r="B1" s="59" t="s">
        <v>111</v>
      </c>
      <c r="C1" s="59" t="s">
        <v>149</v>
      </c>
      <c r="D1" s="74" t="s">
        <v>148</v>
      </c>
      <c r="E1" s="59" t="s">
        <v>113</v>
      </c>
      <c r="F1" s="59" t="s">
        <v>132</v>
      </c>
      <c r="G1" s="59" t="s">
        <v>126</v>
      </c>
      <c r="H1" s="59" t="s">
        <v>145</v>
      </c>
      <c r="I1" s="59" t="s">
        <v>146</v>
      </c>
      <c r="J1" s="59" t="s">
        <v>175</v>
      </c>
      <c r="K1" s="60" t="s">
        <v>53</v>
      </c>
      <c r="M1" s="18" t="s">
        <v>0</v>
      </c>
      <c r="N1" s="59" t="s">
        <v>111</v>
      </c>
      <c r="O1" s="59" t="s">
        <v>149</v>
      </c>
      <c r="P1" s="74" t="s">
        <v>148</v>
      </c>
      <c r="Q1" s="59" t="s">
        <v>113</v>
      </c>
      <c r="R1" s="59" t="s">
        <v>132</v>
      </c>
      <c r="S1" s="59" t="s">
        <v>126</v>
      </c>
      <c r="T1" s="59" t="s">
        <v>145</v>
      </c>
      <c r="U1" s="59" t="s">
        <v>146</v>
      </c>
      <c r="V1" s="59" t="s">
        <v>175</v>
      </c>
      <c r="W1" s="60" t="s">
        <v>53</v>
      </c>
    </row>
    <row r="2" spans="1:23" ht="13.5" thickTop="1">
      <c r="A2" s="19" t="s">
        <v>1</v>
      </c>
      <c r="B2" s="76" t="e">
        <f>+'[6]1er Sem coef act'!B2-'[6]1er Sem distribuido'!B2</f>
        <v>#REF!</v>
      </c>
      <c r="C2" s="76" t="e">
        <f>+'[6]1er Sem coef act'!C2-'[6]1er Sem distribuido'!C2</f>
        <v>#REF!</v>
      </c>
      <c r="D2" s="76" t="e">
        <f>+'[6]1er Sem coef act'!D2-'[6]1er Sem distribuido'!D2</f>
        <v>#REF!</v>
      </c>
      <c r="E2" s="76" t="e">
        <f>+'[6]1er Sem coef act'!E2-'[6]1er Sem distribuido'!E2</f>
        <v>#REF!</v>
      </c>
      <c r="F2" s="76" t="e">
        <f>+'[6]1er Sem coef act'!F2-'[6]1er Sem distribuido'!F2</f>
        <v>#REF!</v>
      </c>
      <c r="G2" s="76" t="e">
        <f>+'[6]1er Sem coef act'!G2-'[6]1er Sem distribuido'!G2</f>
        <v>#REF!</v>
      </c>
      <c r="H2" s="76" t="e">
        <f>+'[6]1er Sem coef act'!H2-'[6]1er Sem distribuido'!H2</f>
        <v>#REF!</v>
      </c>
      <c r="I2" s="76" t="e">
        <f>+'[6]1er Sem coef act'!I2-'[6]1er Sem distribuido'!I2</f>
        <v>#REF!</v>
      </c>
      <c r="J2" s="76" t="e">
        <f>+'[6]1er Sem coef act'!J2-'[6]1er Sem distribuido'!J2</f>
        <v>#REF!</v>
      </c>
      <c r="K2" s="77" t="e">
        <f t="shared" ref="K2:K52" si="0">SUM(B2:J2)</f>
        <v>#REF!</v>
      </c>
      <c r="M2" s="19" t="s">
        <v>1</v>
      </c>
      <c r="N2" s="76">
        <v>0</v>
      </c>
      <c r="O2" s="76">
        <v>0</v>
      </c>
      <c r="P2" s="76">
        <f>(-751624.504116406/6)</f>
        <v>-125270.75068606767</v>
      </c>
      <c r="Q2" s="76">
        <v>0</v>
      </c>
      <c r="R2" s="76">
        <v>0</v>
      </c>
      <c r="S2" s="76">
        <v>0</v>
      </c>
      <c r="T2" s="76">
        <v>0</v>
      </c>
      <c r="U2" s="76">
        <v>0</v>
      </c>
      <c r="V2" s="76">
        <f>(-49.5233118287942/6)</f>
        <v>-8.2538853047990326</v>
      </c>
      <c r="W2" s="77">
        <v>-751674.02742823481</v>
      </c>
    </row>
    <row r="3" spans="1:23">
      <c r="A3" s="19" t="s">
        <v>2</v>
      </c>
      <c r="B3" s="76" t="e">
        <f>+'[6]1er Sem coef act'!B3-'[6]1er Sem distribuido'!B3</f>
        <v>#REF!</v>
      </c>
      <c r="C3" s="76" t="e">
        <f>+'[6]1er Sem coef act'!C3-'[6]1er Sem distribuido'!C3</f>
        <v>#REF!</v>
      </c>
      <c r="D3" s="76" t="e">
        <f>+'[6]1er Sem coef act'!D3-'[6]1er Sem distribuido'!D3</f>
        <v>#REF!</v>
      </c>
      <c r="E3" s="76" t="e">
        <f>+'[6]1er Sem coef act'!E3-'[6]1er Sem distribuido'!E3</f>
        <v>#REF!</v>
      </c>
      <c r="F3" s="76" t="e">
        <f>+'[6]1er Sem coef act'!F3-'[6]1er Sem distribuido'!F3</f>
        <v>#REF!</v>
      </c>
      <c r="G3" s="76" t="e">
        <f>+'[6]1er Sem coef act'!G3-'[6]1er Sem distribuido'!G3</f>
        <v>#REF!</v>
      </c>
      <c r="H3" s="76" t="e">
        <f>+'[6]1er Sem coef act'!H3-'[6]1er Sem distribuido'!H3</f>
        <v>#REF!</v>
      </c>
      <c r="I3" s="76" t="e">
        <f>+'[6]1er Sem coef act'!I3-'[6]1er Sem distribuido'!I3</f>
        <v>#REF!</v>
      </c>
      <c r="J3" s="76" t="e">
        <f>+'[6]1er Sem coef act'!J3-'[6]1er Sem distribuido'!J3</f>
        <v>#REF!</v>
      </c>
      <c r="K3" s="77" t="e">
        <f t="shared" si="0"/>
        <v>#REF!</v>
      </c>
      <c r="M3" s="19" t="s">
        <v>2</v>
      </c>
      <c r="N3" s="76">
        <v>0</v>
      </c>
      <c r="O3" s="76">
        <v>0</v>
      </c>
      <c r="P3" s="76">
        <f>(429946.316578855/6)</f>
        <v>71657.719429809164</v>
      </c>
      <c r="Q3" s="76">
        <v>0</v>
      </c>
      <c r="R3" s="76">
        <v>0</v>
      </c>
      <c r="S3" s="76">
        <v>0</v>
      </c>
      <c r="T3" s="76">
        <v>0</v>
      </c>
      <c r="U3" s="76">
        <v>0</v>
      </c>
      <c r="V3" s="76">
        <f>(688.590111504964/6)</f>
        <v>114.76501858416067</v>
      </c>
      <c r="W3" s="77">
        <v>430634.90669036022</v>
      </c>
    </row>
    <row r="4" spans="1:23">
      <c r="A4" s="19" t="s">
        <v>242</v>
      </c>
      <c r="B4" s="76" t="e">
        <f>+'[6]1er Sem coef act'!B4-'[6]1er Sem distribuido'!B4</f>
        <v>#REF!</v>
      </c>
      <c r="C4" s="76" t="e">
        <f>+'[6]1er Sem coef act'!C4-'[6]1er Sem distribuido'!C4</f>
        <v>#REF!</v>
      </c>
      <c r="D4" s="76" t="e">
        <f>+'[6]1er Sem coef act'!D4-'[6]1er Sem distribuido'!D4</f>
        <v>#REF!</v>
      </c>
      <c r="E4" s="76" t="e">
        <f>+'[6]1er Sem coef act'!E4-'[6]1er Sem distribuido'!E4</f>
        <v>#REF!</v>
      </c>
      <c r="F4" s="76" t="e">
        <f>+'[6]1er Sem coef act'!F4-'[6]1er Sem distribuido'!F4</f>
        <v>#REF!</v>
      </c>
      <c r="G4" s="76" t="e">
        <f>+'[6]1er Sem coef act'!G4-'[6]1er Sem distribuido'!G4</f>
        <v>#REF!</v>
      </c>
      <c r="H4" s="76" t="e">
        <f>+'[6]1er Sem coef act'!H4-'[6]1er Sem distribuido'!H4</f>
        <v>#REF!</v>
      </c>
      <c r="I4" s="76" t="e">
        <f>+'[6]1er Sem coef act'!I4-'[6]1er Sem distribuido'!I4</f>
        <v>#REF!</v>
      </c>
      <c r="J4" s="76" t="e">
        <f>+'[6]1er Sem coef act'!J4-'[6]1er Sem distribuido'!J4</f>
        <v>#REF!</v>
      </c>
      <c r="K4" s="77" t="e">
        <f t="shared" si="0"/>
        <v>#REF!</v>
      </c>
      <c r="M4" s="19" t="s">
        <v>242</v>
      </c>
      <c r="N4" s="76">
        <v>0</v>
      </c>
      <c r="O4" s="76">
        <v>0</v>
      </c>
      <c r="P4" s="76">
        <f>(1593133.38480329/6)</f>
        <v>265522.23080054834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f>(137.276240081977/6)</f>
        <v>22.879373346996164</v>
      </c>
      <c r="W4" s="77">
        <v>1593270.6610433715</v>
      </c>
    </row>
    <row r="5" spans="1:23">
      <c r="A5" s="19" t="s">
        <v>4</v>
      </c>
      <c r="B5" s="76" t="e">
        <f>+'[6]1er Sem coef act'!B5-'[6]1er Sem distribuido'!B5</f>
        <v>#REF!</v>
      </c>
      <c r="C5" s="76" t="e">
        <f>+'[6]1er Sem coef act'!C5-'[6]1er Sem distribuido'!C5</f>
        <v>#REF!</v>
      </c>
      <c r="D5" s="76" t="e">
        <f>+'[6]1er Sem coef act'!D5-'[6]1er Sem distribuido'!D5</f>
        <v>#REF!</v>
      </c>
      <c r="E5" s="76" t="e">
        <f>+'[6]1er Sem coef act'!E5-'[6]1er Sem distribuido'!E5</f>
        <v>#REF!</v>
      </c>
      <c r="F5" s="76" t="e">
        <f>+'[6]1er Sem coef act'!F5-'[6]1er Sem distribuido'!F5</f>
        <v>#REF!</v>
      </c>
      <c r="G5" s="76" t="e">
        <f>+'[6]1er Sem coef act'!G5-'[6]1er Sem distribuido'!G5</f>
        <v>#REF!</v>
      </c>
      <c r="H5" s="76" t="e">
        <f>+'[6]1er Sem coef act'!H5-'[6]1er Sem distribuido'!H5</f>
        <v>#REF!</v>
      </c>
      <c r="I5" s="76" t="e">
        <f>+'[6]1er Sem coef act'!I5-'[6]1er Sem distribuido'!I5</f>
        <v>#REF!</v>
      </c>
      <c r="J5" s="76" t="e">
        <f>+'[6]1er Sem coef act'!J5-'[6]1er Sem distribuido'!J5</f>
        <v>#REF!</v>
      </c>
      <c r="K5" s="77" t="e">
        <f t="shared" si="0"/>
        <v>#REF!</v>
      </c>
      <c r="M5" s="19" t="s">
        <v>4</v>
      </c>
      <c r="N5" s="76">
        <v>0</v>
      </c>
      <c r="O5" s="76">
        <v>4.1909515857696533E-9</v>
      </c>
      <c r="P5" s="76">
        <f>(-17180.8354262514/6)</f>
        <v>-2863.4725710419002</v>
      </c>
      <c r="Q5" s="76">
        <v>0</v>
      </c>
      <c r="R5" s="76">
        <v>0</v>
      </c>
      <c r="S5" s="76">
        <v>7.2759576141834259E-11</v>
      </c>
      <c r="T5" s="76">
        <v>0</v>
      </c>
      <c r="U5" s="76">
        <v>0</v>
      </c>
      <c r="V5" s="76">
        <f>(20912.6376491142/6)</f>
        <v>3485.4396081856999</v>
      </c>
      <c r="W5" s="77">
        <v>3731.8022228671034</v>
      </c>
    </row>
    <row r="6" spans="1:23">
      <c r="A6" s="19" t="s">
        <v>5</v>
      </c>
      <c r="B6" s="76" t="e">
        <f>+'[6]1er Sem coef act'!B6-'[6]1er Sem distribuido'!B6</f>
        <v>#REF!</v>
      </c>
      <c r="C6" s="76" t="e">
        <f>+'[6]1er Sem coef act'!C6-'[6]1er Sem distribuido'!C6</f>
        <v>#REF!</v>
      </c>
      <c r="D6" s="76" t="e">
        <f>+'[6]1er Sem coef act'!D6-'[6]1er Sem distribuido'!D6</f>
        <v>#REF!</v>
      </c>
      <c r="E6" s="76" t="e">
        <f>+'[6]1er Sem coef act'!E6-'[6]1er Sem distribuido'!E6</f>
        <v>#REF!</v>
      </c>
      <c r="F6" s="76" t="e">
        <f>+'[6]1er Sem coef act'!F6-'[6]1er Sem distribuido'!F6</f>
        <v>#REF!</v>
      </c>
      <c r="G6" s="76" t="e">
        <f>+'[6]1er Sem coef act'!G6-'[6]1er Sem distribuido'!G6</f>
        <v>#REF!</v>
      </c>
      <c r="H6" s="76" t="e">
        <f>+'[6]1er Sem coef act'!H6-'[6]1er Sem distribuido'!H6</f>
        <v>#REF!</v>
      </c>
      <c r="I6" s="76" t="e">
        <f>+'[6]1er Sem coef act'!I6-'[6]1er Sem distribuido'!I6</f>
        <v>#REF!</v>
      </c>
      <c r="J6" s="76" t="e">
        <f>+'[6]1er Sem coef act'!J6-'[6]1er Sem distribuido'!J6</f>
        <v>#REF!</v>
      </c>
      <c r="K6" s="77" t="e">
        <f t="shared" si="0"/>
        <v>#REF!</v>
      </c>
      <c r="M6" s="19" t="s">
        <v>5</v>
      </c>
      <c r="N6" s="76">
        <v>0</v>
      </c>
      <c r="O6" s="76">
        <v>0</v>
      </c>
      <c r="P6" s="76">
        <f>(-275183.21096846/6)</f>
        <v>-45863.868494743336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f>(-1236.31296374631/6)</f>
        <v>-206.05216062438501</v>
      </c>
      <c r="W6" s="77">
        <v>-276419.52393220592</v>
      </c>
    </row>
    <row r="7" spans="1:23">
      <c r="A7" s="19" t="s">
        <v>6</v>
      </c>
      <c r="B7" s="76" t="e">
        <f>+'[6]1er Sem coef act'!B7-'[6]1er Sem distribuido'!B7</f>
        <v>#REF!</v>
      </c>
      <c r="C7" s="76" t="e">
        <f>+'[6]1er Sem coef act'!C7-'[6]1er Sem distribuido'!C7</f>
        <v>#REF!</v>
      </c>
      <c r="D7" s="76" t="e">
        <f>+'[6]1er Sem coef act'!D7-'[6]1er Sem distribuido'!D7</f>
        <v>#REF!</v>
      </c>
      <c r="E7" s="76" t="e">
        <f>+'[6]1er Sem coef act'!E7-'[6]1er Sem distribuido'!E7</f>
        <v>#REF!</v>
      </c>
      <c r="F7" s="76" t="e">
        <f>+'[6]1er Sem coef act'!F7-'[6]1er Sem distribuido'!F7</f>
        <v>#REF!</v>
      </c>
      <c r="G7" s="76" t="e">
        <f>+'[6]1er Sem coef act'!G7-'[6]1er Sem distribuido'!G7</f>
        <v>#REF!</v>
      </c>
      <c r="H7" s="76" t="e">
        <f>+'[6]1er Sem coef act'!H7-'[6]1er Sem distribuido'!H7</f>
        <v>#REF!</v>
      </c>
      <c r="I7" s="76" t="e">
        <f>+'[6]1er Sem coef act'!I7-'[6]1er Sem distribuido'!I7</f>
        <v>#REF!</v>
      </c>
      <c r="J7" s="76" t="e">
        <f>+'[6]1er Sem coef act'!J7-'[6]1er Sem distribuido'!J7</f>
        <v>#REF!</v>
      </c>
      <c r="K7" s="77" t="e">
        <f t="shared" si="0"/>
        <v>#REF!</v>
      </c>
      <c r="M7" s="19" t="s">
        <v>6</v>
      </c>
      <c r="N7" s="76">
        <v>3.5762786865234375E-7</v>
      </c>
      <c r="O7" s="76">
        <v>5.5879354476928711E-8</v>
      </c>
      <c r="P7" s="76">
        <f>(-425177.449357113/6)</f>
        <v>-70862.908226185493</v>
      </c>
      <c r="Q7" s="76">
        <v>1.3038516044616699E-8</v>
      </c>
      <c r="R7" s="76">
        <v>2.0489096641540527E-8</v>
      </c>
      <c r="S7" s="76">
        <v>1.0477378964424133E-9</v>
      </c>
      <c r="T7" s="76">
        <v>9.3132257461547852E-9</v>
      </c>
      <c r="U7" s="76">
        <v>2.3283064365386963E-9</v>
      </c>
      <c r="V7" s="76">
        <f>(254659.352042157/6)</f>
        <v>42443.225340359502</v>
      </c>
      <c r="W7" s="77">
        <v>-170518.09731449594</v>
      </c>
    </row>
    <row r="8" spans="1:23">
      <c r="A8" s="19" t="s">
        <v>7</v>
      </c>
      <c r="B8" s="76" t="e">
        <f>+'[6]1er Sem coef act'!B8-'[6]1er Sem distribuido'!B8</f>
        <v>#REF!</v>
      </c>
      <c r="C8" s="76" t="e">
        <f>+'[6]1er Sem coef act'!C8-'[6]1er Sem distribuido'!C8</f>
        <v>#REF!</v>
      </c>
      <c r="D8" s="76" t="e">
        <f>+'[6]1er Sem coef act'!D8-'[6]1er Sem distribuido'!D8</f>
        <v>#REF!</v>
      </c>
      <c r="E8" s="76" t="e">
        <f>+'[6]1er Sem coef act'!E8-'[6]1er Sem distribuido'!E8</f>
        <v>#REF!</v>
      </c>
      <c r="F8" s="76" t="e">
        <f>+'[6]1er Sem coef act'!F8-'[6]1er Sem distribuido'!F8</f>
        <v>#REF!</v>
      </c>
      <c r="G8" s="76" t="e">
        <f>+'[6]1er Sem coef act'!G8-'[6]1er Sem distribuido'!G8</f>
        <v>#REF!</v>
      </c>
      <c r="H8" s="76" t="e">
        <f>+'[6]1er Sem coef act'!H8-'[6]1er Sem distribuido'!H8</f>
        <v>#REF!</v>
      </c>
      <c r="I8" s="76" t="e">
        <f>+'[6]1er Sem coef act'!I8-'[6]1er Sem distribuido'!I8</f>
        <v>#REF!</v>
      </c>
      <c r="J8" s="76" t="e">
        <f>+'[6]1er Sem coef act'!J8-'[6]1er Sem distribuido'!J8</f>
        <v>#REF!</v>
      </c>
      <c r="K8" s="77" t="e">
        <f t="shared" si="0"/>
        <v>#REF!</v>
      </c>
      <c r="M8" s="19" t="s">
        <v>7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f>(2830.50816723111/6)</f>
        <v>471.75136120518499</v>
      </c>
      <c r="W8" s="77">
        <v>2830.5081672311062</v>
      </c>
    </row>
    <row r="9" spans="1:23">
      <c r="A9" s="19" t="s">
        <v>8</v>
      </c>
      <c r="B9" s="76" t="e">
        <f>+'[6]1er Sem coef act'!B9-'[6]1er Sem distribuido'!B9</f>
        <v>#REF!</v>
      </c>
      <c r="C9" s="76" t="e">
        <f>+'[6]1er Sem coef act'!C9-'[6]1er Sem distribuido'!C9</f>
        <v>#REF!</v>
      </c>
      <c r="D9" s="76" t="e">
        <f>+'[6]1er Sem coef act'!D9-'[6]1er Sem distribuido'!D9</f>
        <v>#REF!</v>
      </c>
      <c r="E9" s="76" t="e">
        <f>+'[6]1er Sem coef act'!E9-'[6]1er Sem distribuido'!E9</f>
        <v>#REF!</v>
      </c>
      <c r="F9" s="76" t="e">
        <f>+'[6]1er Sem coef act'!F9-'[6]1er Sem distribuido'!F9</f>
        <v>#REF!</v>
      </c>
      <c r="G9" s="76" t="e">
        <f>+'[6]1er Sem coef act'!G9-'[6]1er Sem distribuido'!G9</f>
        <v>#REF!</v>
      </c>
      <c r="H9" s="76" t="e">
        <f>+'[6]1er Sem coef act'!H9-'[6]1er Sem distribuido'!H9</f>
        <v>#REF!</v>
      </c>
      <c r="I9" s="76" t="e">
        <f>+'[6]1er Sem coef act'!I9-'[6]1er Sem distribuido'!I9</f>
        <v>#REF!</v>
      </c>
      <c r="J9" s="76" t="e">
        <f>+'[6]1er Sem coef act'!J9-'[6]1er Sem distribuido'!J9</f>
        <v>#REF!</v>
      </c>
      <c r="K9" s="77" t="e">
        <f t="shared" si="0"/>
        <v>#REF!</v>
      </c>
      <c r="M9" s="19" t="s">
        <v>8</v>
      </c>
      <c r="N9" s="76">
        <v>0</v>
      </c>
      <c r="O9" s="76">
        <v>0</v>
      </c>
      <c r="P9" s="76">
        <f>(1156048.80239411/6)</f>
        <v>192674.80039901834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f>(1460.95238753285/6)</f>
        <v>243.49206458880835</v>
      </c>
      <c r="W9" s="77">
        <v>1157509.7547816415</v>
      </c>
    </row>
    <row r="10" spans="1:23">
      <c r="A10" s="19" t="s">
        <v>9</v>
      </c>
      <c r="B10" s="76" t="e">
        <f>+'[6]1er Sem coef act'!B10-'[6]1er Sem distribuido'!B10</f>
        <v>#REF!</v>
      </c>
      <c r="C10" s="76" t="e">
        <f>+'[6]1er Sem coef act'!C10-'[6]1er Sem distribuido'!C10</f>
        <v>#REF!</v>
      </c>
      <c r="D10" s="76" t="e">
        <f>+'[6]1er Sem coef act'!D10-'[6]1er Sem distribuido'!D10</f>
        <v>#REF!</v>
      </c>
      <c r="E10" s="76" t="e">
        <f>+'[6]1er Sem coef act'!E10-'[6]1er Sem distribuido'!E10</f>
        <v>#REF!</v>
      </c>
      <c r="F10" s="76" t="e">
        <f>+'[6]1er Sem coef act'!F10-'[6]1er Sem distribuido'!F10</f>
        <v>#REF!</v>
      </c>
      <c r="G10" s="76" t="e">
        <f>+'[6]1er Sem coef act'!G10-'[6]1er Sem distribuido'!G10</f>
        <v>#REF!</v>
      </c>
      <c r="H10" s="76" t="e">
        <f>+'[6]1er Sem coef act'!H10-'[6]1er Sem distribuido'!H10</f>
        <v>#REF!</v>
      </c>
      <c r="I10" s="76" t="e">
        <f>+'[6]1er Sem coef act'!I10-'[6]1er Sem distribuido'!I10</f>
        <v>#REF!</v>
      </c>
      <c r="J10" s="76" t="e">
        <f>+'[6]1er Sem coef act'!J10-'[6]1er Sem distribuido'!J10</f>
        <v>#REF!</v>
      </c>
      <c r="K10" s="77" t="e">
        <f t="shared" si="0"/>
        <v>#REF!</v>
      </c>
      <c r="M10" s="19" t="s">
        <v>9</v>
      </c>
      <c r="N10" s="76">
        <v>0</v>
      </c>
      <c r="O10" s="76">
        <v>0</v>
      </c>
      <c r="P10" s="76">
        <f>(-676548.752738139/6)</f>
        <v>-112758.1254563565</v>
      </c>
      <c r="Q10" s="76">
        <v>0</v>
      </c>
      <c r="R10" s="76">
        <v>0</v>
      </c>
      <c r="S10" s="76">
        <v>0</v>
      </c>
      <c r="T10" s="76">
        <v>0</v>
      </c>
      <c r="U10" s="76">
        <v>0</v>
      </c>
      <c r="V10" s="76">
        <f>(-6182.26334804412/6)</f>
        <v>-1030.37722467402</v>
      </c>
      <c r="W10" s="77">
        <v>-682731.01608618349</v>
      </c>
    </row>
    <row r="11" spans="1:23">
      <c r="A11" s="19" t="s">
        <v>10</v>
      </c>
      <c r="B11" s="76" t="e">
        <f>+'[6]1er Sem coef act'!B11-'[6]1er Sem distribuido'!B11</f>
        <v>#REF!</v>
      </c>
      <c r="C11" s="76" t="e">
        <f>+'[6]1er Sem coef act'!C11-'[6]1er Sem distribuido'!C11</f>
        <v>#REF!</v>
      </c>
      <c r="D11" s="76" t="e">
        <f>+'[6]1er Sem coef act'!D11-'[6]1er Sem distribuido'!D11</f>
        <v>#REF!</v>
      </c>
      <c r="E11" s="76" t="e">
        <f>+'[6]1er Sem coef act'!E11-'[6]1er Sem distribuido'!E11</f>
        <v>#REF!</v>
      </c>
      <c r="F11" s="76" t="e">
        <f>+'[6]1er Sem coef act'!F11-'[6]1er Sem distribuido'!F11</f>
        <v>#REF!</v>
      </c>
      <c r="G11" s="76" t="e">
        <f>+'[6]1er Sem coef act'!G11-'[6]1er Sem distribuido'!G11</f>
        <v>#REF!</v>
      </c>
      <c r="H11" s="76" t="e">
        <f>+'[6]1er Sem coef act'!H11-'[6]1er Sem distribuido'!H11</f>
        <v>#REF!</v>
      </c>
      <c r="I11" s="76" t="e">
        <f>+'[6]1er Sem coef act'!I11-'[6]1er Sem distribuido'!I11</f>
        <v>#REF!</v>
      </c>
      <c r="J11" s="76" t="e">
        <f>+'[6]1er Sem coef act'!J11-'[6]1er Sem distribuido'!J11</f>
        <v>#REF!</v>
      </c>
      <c r="K11" s="77" t="e">
        <f t="shared" si="0"/>
        <v>#REF!</v>
      </c>
      <c r="M11" s="19" t="s">
        <v>10</v>
      </c>
      <c r="N11" s="76">
        <v>0</v>
      </c>
      <c r="O11" s="76">
        <v>0</v>
      </c>
      <c r="P11" s="76">
        <f>(1337596.65948047/6)</f>
        <v>222932.77658007832</v>
      </c>
      <c r="Q11" s="76">
        <v>2.9103830456733704E-10</v>
      </c>
      <c r="R11" s="76">
        <v>5.8207660913467407E-10</v>
      </c>
      <c r="S11" s="76">
        <v>0</v>
      </c>
      <c r="T11" s="76">
        <v>2.6193447411060333E-10</v>
      </c>
      <c r="U11" s="76">
        <v>5.8207660913467407E-11</v>
      </c>
      <c r="V11" s="76">
        <f>(6677.74926069751/6)</f>
        <v>1112.9582101162516</v>
      </c>
      <c r="W11" s="77">
        <v>1344274.4087411717</v>
      </c>
    </row>
    <row r="12" spans="1:23">
      <c r="A12" s="19" t="s">
        <v>11</v>
      </c>
      <c r="B12" s="76" t="e">
        <f>+'[6]1er Sem coef act'!B12-'[6]1er Sem distribuido'!B12</f>
        <v>#REF!</v>
      </c>
      <c r="C12" s="76" t="e">
        <f>+'[6]1er Sem coef act'!C12-'[6]1er Sem distribuido'!C12</f>
        <v>#REF!</v>
      </c>
      <c r="D12" s="76" t="e">
        <f>+'[6]1er Sem coef act'!D12-'[6]1er Sem distribuido'!D12</f>
        <v>#REF!</v>
      </c>
      <c r="E12" s="76" t="e">
        <f>+'[6]1er Sem coef act'!E12-'[6]1er Sem distribuido'!E12</f>
        <v>#REF!</v>
      </c>
      <c r="F12" s="76" t="e">
        <f>+'[6]1er Sem coef act'!F12-'[6]1er Sem distribuido'!F12</f>
        <v>#REF!</v>
      </c>
      <c r="G12" s="76" t="e">
        <f>+'[6]1er Sem coef act'!G12-'[6]1er Sem distribuido'!G12</f>
        <v>#REF!</v>
      </c>
      <c r="H12" s="76" t="e">
        <f>+'[6]1er Sem coef act'!H12-'[6]1er Sem distribuido'!H12</f>
        <v>#REF!</v>
      </c>
      <c r="I12" s="76" t="e">
        <f>+'[6]1er Sem coef act'!I12-'[6]1er Sem distribuido'!I12</f>
        <v>#REF!</v>
      </c>
      <c r="J12" s="76" t="e">
        <f>+'[6]1er Sem coef act'!J12-'[6]1er Sem distribuido'!J12</f>
        <v>#REF!</v>
      </c>
      <c r="K12" s="77" t="e">
        <f t="shared" si="0"/>
        <v>#REF!</v>
      </c>
      <c r="M12" s="19" t="s">
        <v>11</v>
      </c>
      <c r="N12" s="76">
        <v>0</v>
      </c>
      <c r="O12" s="76">
        <v>0</v>
      </c>
      <c r="P12" s="76">
        <f>(-3479361.47247573/6)</f>
        <v>-579893.57874595502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f>(-29805.267626765/6)</f>
        <v>-4967.5446044608334</v>
      </c>
      <c r="W12" s="77">
        <v>-3509166.7401024923</v>
      </c>
    </row>
    <row r="13" spans="1:23">
      <c r="A13" s="19" t="s">
        <v>12</v>
      </c>
      <c r="B13" s="76" t="e">
        <f>+'[6]1er Sem coef act'!B13-'[6]1er Sem distribuido'!B13</f>
        <v>#REF!</v>
      </c>
      <c r="C13" s="76" t="e">
        <f>+'[6]1er Sem coef act'!C13-'[6]1er Sem distribuido'!C13</f>
        <v>#REF!</v>
      </c>
      <c r="D13" s="76" t="e">
        <f>+'[6]1er Sem coef act'!D13-'[6]1er Sem distribuido'!D13</f>
        <v>#REF!</v>
      </c>
      <c r="E13" s="76" t="e">
        <f>+'[6]1er Sem coef act'!E13-'[6]1er Sem distribuido'!E13</f>
        <v>#REF!</v>
      </c>
      <c r="F13" s="76" t="e">
        <f>+'[6]1er Sem coef act'!F13-'[6]1er Sem distribuido'!F13</f>
        <v>#REF!</v>
      </c>
      <c r="G13" s="76" t="e">
        <f>+'[6]1er Sem coef act'!G13-'[6]1er Sem distribuido'!G13</f>
        <v>#REF!</v>
      </c>
      <c r="H13" s="76" t="e">
        <f>+'[6]1er Sem coef act'!H13-'[6]1er Sem distribuido'!H13</f>
        <v>#REF!</v>
      </c>
      <c r="I13" s="76" t="e">
        <f>+'[6]1er Sem coef act'!I13-'[6]1er Sem distribuido'!I13</f>
        <v>#REF!</v>
      </c>
      <c r="J13" s="76" t="e">
        <f>+'[6]1er Sem coef act'!J13-'[6]1er Sem distribuido'!J13</f>
        <v>#REF!</v>
      </c>
      <c r="K13" s="77" t="e">
        <f t="shared" si="0"/>
        <v>#REF!</v>
      </c>
      <c r="M13" s="19" t="s">
        <v>12</v>
      </c>
      <c r="N13" s="76">
        <v>0</v>
      </c>
      <c r="O13" s="76">
        <v>0</v>
      </c>
      <c r="P13" s="76">
        <f>(682103.562508308/6)</f>
        <v>113683.927084718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f>(1078.24124767451/6)</f>
        <v>179.70687461241835</v>
      </c>
      <c r="W13" s="77">
        <v>683181.80375598208</v>
      </c>
    </row>
    <row r="14" spans="1:23">
      <c r="A14" s="19" t="s">
        <v>13</v>
      </c>
      <c r="B14" s="76" t="e">
        <f>+'[6]1er Sem coef act'!B14-'[6]1er Sem distribuido'!B14</f>
        <v>#REF!</v>
      </c>
      <c r="C14" s="76" t="e">
        <f>+'[6]1er Sem coef act'!C14-'[6]1er Sem distribuido'!C14</f>
        <v>#REF!</v>
      </c>
      <c r="D14" s="76" t="e">
        <f>+'[6]1er Sem coef act'!D14-'[6]1er Sem distribuido'!D14</f>
        <v>#REF!</v>
      </c>
      <c r="E14" s="76" t="e">
        <f>+'[6]1er Sem coef act'!E14-'[6]1er Sem distribuido'!E14</f>
        <v>#REF!</v>
      </c>
      <c r="F14" s="76" t="e">
        <f>+'[6]1er Sem coef act'!F14-'[6]1er Sem distribuido'!F14</f>
        <v>#REF!</v>
      </c>
      <c r="G14" s="76" t="e">
        <f>+'[6]1er Sem coef act'!G14-'[6]1er Sem distribuido'!G14</f>
        <v>#REF!</v>
      </c>
      <c r="H14" s="76" t="e">
        <f>+'[6]1er Sem coef act'!H14-'[6]1er Sem distribuido'!H14</f>
        <v>#REF!</v>
      </c>
      <c r="I14" s="76" t="e">
        <f>+'[6]1er Sem coef act'!I14-'[6]1er Sem distribuido'!I14</f>
        <v>#REF!</v>
      </c>
      <c r="J14" s="76" t="e">
        <f>+'[6]1er Sem coef act'!J14-'[6]1er Sem distribuido'!J14</f>
        <v>#REF!</v>
      </c>
      <c r="K14" s="77" t="e">
        <f t="shared" si="0"/>
        <v>#REF!</v>
      </c>
      <c r="M14" s="19" t="s">
        <v>13</v>
      </c>
      <c r="N14" s="76">
        <v>0</v>
      </c>
      <c r="O14" s="76">
        <v>0</v>
      </c>
      <c r="P14" s="76">
        <f>(60866.6962344662/6)</f>
        <v>10144.449372411034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f>(4092.77655500022/6)</f>
        <v>682.12942583336996</v>
      </c>
      <c r="W14" s="77">
        <v>64959.472789466497</v>
      </c>
    </row>
    <row r="15" spans="1:23">
      <c r="A15" s="19" t="s">
        <v>14</v>
      </c>
      <c r="B15" s="76" t="e">
        <f>+'[6]1er Sem coef act'!B15-'[6]1er Sem distribuido'!B15</f>
        <v>#REF!</v>
      </c>
      <c r="C15" s="76" t="e">
        <f>+'[6]1er Sem coef act'!C15-'[6]1er Sem distribuido'!C15</f>
        <v>#REF!</v>
      </c>
      <c r="D15" s="76" t="e">
        <f>+'[6]1er Sem coef act'!D15-'[6]1er Sem distribuido'!D15</f>
        <v>#REF!</v>
      </c>
      <c r="E15" s="76" t="e">
        <f>+'[6]1er Sem coef act'!E15-'[6]1er Sem distribuido'!E15</f>
        <v>#REF!</v>
      </c>
      <c r="F15" s="76" t="e">
        <f>+'[6]1er Sem coef act'!F15-'[6]1er Sem distribuido'!F15</f>
        <v>#REF!</v>
      </c>
      <c r="G15" s="76" t="e">
        <f>+'[6]1er Sem coef act'!G15-'[6]1er Sem distribuido'!G15</f>
        <v>#REF!</v>
      </c>
      <c r="H15" s="76" t="e">
        <f>+'[6]1er Sem coef act'!H15-'[6]1er Sem distribuido'!H15</f>
        <v>#REF!</v>
      </c>
      <c r="I15" s="76" t="e">
        <f>+'[6]1er Sem coef act'!I15-'[6]1er Sem distribuido'!I15</f>
        <v>#REF!</v>
      </c>
      <c r="J15" s="76" t="e">
        <f>+'[6]1er Sem coef act'!J15-'[6]1er Sem distribuido'!J15</f>
        <v>#REF!</v>
      </c>
      <c r="K15" s="77" t="e">
        <f t="shared" si="0"/>
        <v>#REF!</v>
      </c>
      <c r="M15" s="19" t="s">
        <v>14</v>
      </c>
      <c r="N15" s="76">
        <v>0</v>
      </c>
      <c r="O15" s="76">
        <v>0</v>
      </c>
      <c r="P15" s="76">
        <f>(1090570.81724013/6)</f>
        <v>181761.80287335499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f>(242.682346421526/6)</f>
        <v>40.447057736921003</v>
      </c>
      <c r="W15" s="77">
        <v>1090813.4995865545</v>
      </c>
    </row>
    <row r="16" spans="1:23">
      <c r="A16" s="19" t="s">
        <v>15</v>
      </c>
      <c r="B16" s="76" t="e">
        <f>+'[6]1er Sem coef act'!B16-'[6]1er Sem distribuido'!B16</f>
        <v>#REF!</v>
      </c>
      <c r="C16" s="76" t="e">
        <f>+'[6]1er Sem coef act'!C16-'[6]1er Sem distribuido'!C16</f>
        <v>#REF!</v>
      </c>
      <c r="D16" s="76" t="e">
        <f>+'[6]1er Sem coef act'!D16-'[6]1er Sem distribuido'!D16</f>
        <v>#REF!</v>
      </c>
      <c r="E16" s="76" t="e">
        <f>+'[6]1er Sem coef act'!E16-'[6]1er Sem distribuido'!E16</f>
        <v>#REF!</v>
      </c>
      <c r="F16" s="76" t="e">
        <f>+'[6]1er Sem coef act'!F16-'[6]1er Sem distribuido'!F16</f>
        <v>#REF!</v>
      </c>
      <c r="G16" s="76" t="e">
        <f>+'[6]1er Sem coef act'!G16-'[6]1er Sem distribuido'!G16</f>
        <v>#REF!</v>
      </c>
      <c r="H16" s="76" t="e">
        <f>+'[6]1er Sem coef act'!H16-'[6]1er Sem distribuido'!H16</f>
        <v>#REF!</v>
      </c>
      <c r="I16" s="76" t="e">
        <f>+'[6]1er Sem coef act'!I16-'[6]1er Sem distribuido'!I16</f>
        <v>#REF!</v>
      </c>
      <c r="J16" s="76" t="e">
        <f>+'[6]1er Sem coef act'!J16-'[6]1er Sem distribuido'!J16</f>
        <v>#REF!</v>
      </c>
      <c r="K16" s="77" t="e">
        <f t="shared" si="0"/>
        <v>#REF!</v>
      </c>
      <c r="M16" s="19" t="s">
        <v>15</v>
      </c>
      <c r="N16" s="76">
        <v>0</v>
      </c>
      <c r="O16" s="76">
        <v>0</v>
      </c>
      <c r="P16" s="76">
        <f>(-2988106.96987732/6)</f>
        <v>-498017.82831288665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f>(-192.709598534828/6)</f>
        <v>-32.118266422471329</v>
      </c>
      <c r="W16" s="77">
        <v>-2988299.6794758555</v>
      </c>
    </row>
    <row r="17" spans="1:23">
      <c r="A17" s="19" t="s">
        <v>16</v>
      </c>
      <c r="B17" s="76" t="e">
        <f>+'[6]1er Sem coef act'!B17-'[6]1er Sem distribuido'!B17</f>
        <v>#REF!</v>
      </c>
      <c r="C17" s="76" t="e">
        <f>+'[6]1er Sem coef act'!C17-'[6]1er Sem distribuido'!C17</f>
        <v>#REF!</v>
      </c>
      <c r="D17" s="76" t="e">
        <f>+'[6]1er Sem coef act'!D17-'[6]1er Sem distribuido'!D17</f>
        <v>#REF!</v>
      </c>
      <c r="E17" s="76" t="e">
        <f>+'[6]1er Sem coef act'!E17-'[6]1er Sem distribuido'!E17</f>
        <v>#REF!</v>
      </c>
      <c r="F17" s="76" t="e">
        <f>+'[6]1er Sem coef act'!F17-'[6]1er Sem distribuido'!F17</f>
        <v>#REF!</v>
      </c>
      <c r="G17" s="76" t="e">
        <f>+'[6]1er Sem coef act'!G17-'[6]1er Sem distribuido'!G17</f>
        <v>#REF!</v>
      </c>
      <c r="H17" s="76" t="e">
        <f>+'[6]1er Sem coef act'!H17-'[6]1er Sem distribuido'!H17</f>
        <v>#REF!</v>
      </c>
      <c r="I17" s="76" t="e">
        <f>+'[6]1er Sem coef act'!I17-'[6]1er Sem distribuido'!I17</f>
        <v>#REF!</v>
      </c>
      <c r="J17" s="76" t="e">
        <f>+'[6]1er Sem coef act'!J17-'[6]1er Sem distribuido'!J17</f>
        <v>#REF!</v>
      </c>
      <c r="K17" s="77" t="e">
        <f t="shared" si="0"/>
        <v>#REF!</v>
      </c>
      <c r="M17" s="19" t="s">
        <v>16</v>
      </c>
      <c r="N17" s="76">
        <v>0</v>
      </c>
      <c r="O17" s="76">
        <v>0</v>
      </c>
      <c r="P17" s="76">
        <f>(-109788.293873443/6)</f>
        <v>-18298.048978907169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f>(688.047597858684/6)</f>
        <v>114.67459964311399</v>
      </c>
      <c r="W17" s="77">
        <v>-109100.24627558459</v>
      </c>
    </row>
    <row r="18" spans="1:23">
      <c r="A18" s="19" t="s">
        <v>17</v>
      </c>
      <c r="B18" s="76" t="e">
        <f>+'[6]1er Sem coef act'!B18-'[6]1er Sem distribuido'!B18</f>
        <v>#REF!</v>
      </c>
      <c r="C18" s="76" t="e">
        <f>+'[6]1er Sem coef act'!C18-'[6]1er Sem distribuido'!C18</f>
        <v>#REF!</v>
      </c>
      <c r="D18" s="76" t="e">
        <f>+'[6]1er Sem coef act'!D18-'[6]1er Sem distribuido'!D18</f>
        <v>#REF!</v>
      </c>
      <c r="E18" s="76" t="e">
        <f>+'[6]1er Sem coef act'!E18-'[6]1er Sem distribuido'!E18</f>
        <v>#REF!</v>
      </c>
      <c r="F18" s="76" t="e">
        <f>+'[6]1er Sem coef act'!F18-'[6]1er Sem distribuido'!F18</f>
        <v>#REF!</v>
      </c>
      <c r="G18" s="76" t="e">
        <f>+'[6]1er Sem coef act'!G18-'[6]1er Sem distribuido'!G18</f>
        <v>#REF!</v>
      </c>
      <c r="H18" s="76" t="e">
        <f>+'[6]1er Sem coef act'!H18-'[6]1er Sem distribuido'!H18</f>
        <v>#REF!</v>
      </c>
      <c r="I18" s="76" t="e">
        <f>+'[6]1er Sem coef act'!I18-'[6]1er Sem distribuido'!I18</f>
        <v>#REF!</v>
      </c>
      <c r="J18" s="76" t="e">
        <f>+'[6]1er Sem coef act'!J18-'[6]1er Sem distribuido'!J18</f>
        <v>#REF!</v>
      </c>
      <c r="K18" s="77" t="e">
        <f t="shared" si="0"/>
        <v>#REF!</v>
      </c>
      <c r="M18" s="19" t="s">
        <v>17</v>
      </c>
      <c r="N18" s="76">
        <v>0</v>
      </c>
      <c r="O18" s="76">
        <v>0</v>
      </c>
      <c r="P18" s="76">
        <f>(-1369871.77591246/6)</f>
        <v>-228311.96265207665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f>(303.989069943549/6)</f>
        <v>50.664844990591497</v>
      </c>
      <c r="W18" s="77">
        <v>-1369567.7868425178</v>
      </c>
    </row>
    <row r="19" spans="1:23">
      <c r="A19" s="19" t="s">
        <v>18</v>
      </c>
      <c r="B19" s="76" t="e">
        <f>+'[6]1er Sem coef act'!B19-'[6]1er Sem distribuido'!B19</f>
        <v>#REF!</v>
      </c>
      <c r="C19" s="76" t="e">
        <f>+'[6]1er Sem coef act'!C19-'[6]1er Sem distribuido'!C19</f>
        <v>#REF!</v>
      </c>
      <c r="D19" s="76" t="e">
        <f>+'[6]1er Sem coef act'!D19-'[6]1er Sem distribuido'!D19</f>
        <v>#REF!</v>
      </c>
      <c r="E19" s="76" t="e">
        <f>+'[6]1er Sem coef act'!E19-'[6]1er Sem distribuido'!E19</f>
        <v>#REF!</v>
      </c>
      <c r="F19" s="76" t="e">
        <f>+'[6]1er Sem coef act'!F19-'[6]1er Sem distribuido'!F19</f>
        <v>#REF!</v>
      </c>
      <c r="G19" s="76" t="e">
        <f>+'[6]1er Sem coef act'!G19-'[6]1er Sem distribuido'!G19</f>
        <v>#REF!</v>
      </c>
      <c r="H19" s="76" t="e">
        <f>+'[6]1er Sem coef act'!H19-'[6]1er Sem distribuido'!H19</f>
        <v>#REF!</v>
      </c>
      <c r="I19" s="76" t="e">
        <f>+'[6]1er Sem coef act'!I19-'[6]1er Sem distribuido'!I19</f>
        <v>#REF!</v>
      </c>
      <c r="J19" s="76" t="e">
        <f>+'[6]1er Sem coef act'!J19-'[6]1er Sem distribuido'!J19</f>
        <v>#REF!</v>
      </c>
      <c r="K19" s="77" t="e">
        <f t="shared" si="0"/>
        <v>#REF!</v>
      </c>
      <c r="M19" s="19" t="s">
        <v>18</v>
      </c>
      <c r="N19" s="76">
        <v>0</v>
      </c>
      <c r="O19" s="76">
        <v>0</v>
      </c>
      <c r="P19" s="76">
        <f>(-1480809.2618418/6)</f>
        <v>-246801.54364030002</v>
      </c>
      <c r="Q19" s="76">
        <v>1.862645149230957E-9</v>
      </c>
      <c r="R19" s="76">
        <v>0</v>
      </c>
      <c r="S19" s="76">
        <v>0</v>
      </c>
      <c r="T19" s="76">
        <v>0</v>
      </c>
      <c r="U19" s="76">
        <v>0</v>
      </c>
      <c r="V19" s="76">
        <f>(18589.2083189194/6)</f>
        <v>3098.2013864865671</v>
      </c>
      <c r="W19" s="77">
        <v>-1462220.0535228828</v>
      </c>
    </row>
    <row r="20" spans="1:23">
      <c r="A20" s="19" t="s">
        <v>19</v>
      </c>
      <c r="B20" s="76" t="e">
        <f>+'[6]1er Sem coef act'!B20-'[6]1er Sem distribuido'!B20</f>
        <v>#REF!</v>
      </c>
      <c r="C20" s="76" t="e">
        <f>+'[6]1er Sem coef act'!C20-'[6]1er Sem distribuido'!C20</f>
        <v>#REF!</v>
      </c>
      <c r="D20" s="76" t="e">
        <f>+'[6]1er Sem coef act'!D20-'[6]1er Sem distribuido'!D20</f>
        <v>#REF!</v>
      </c>
      <c r="E20" s="76" t="e">
        <f>+'[6]1er Sem coef act'!E20-'[6]1er Sem distribuido'!E20</f>
        <v>#REF!</v>
      </c>
      <c r="F20" s="76" t="e">
        <f>+'[6]1er Sem coef act'!F20-'[6]1er Sem distribuido'!F20</f>
        <v>#REF!</v>
      </c>
      <c r="G20" s="76" t="e">
        <f>+'[6]1er Sem coef act'!G20-'[6]1er Sem distribuido'!G20</f>
        <v>#REF!</v>
      </c>
      <c r="H20" s="76" t="e">
        <f>+'[6]1er Sem coef act'!H20-'[6]1er Sem distribuido'!H20</f>
        <v>#REF!</v>
      </c>
      <c r="I20" s="76" t="e">
        <f>+'[6]1er Sem coef act'!I20-'[6]1er Sem distribuido'!I20</f>
        <v>#REF!</v>
      </c>
      <c r="J20" s="76" t="e">
        <f>+'[6]1er Sem coef act'!J20-'[6]1er Sem distribuido'!J20</f>
        <v>#REF!</v>
      </c>
      <c r="K20" s="77" t="e">
        <f t="shared" si="0"/>
        <v>#REF!</v>
      </c>
      <c r="M20" s="19" t="s">
        <v>19</v>
      </c>
      <c r="N20" s="76">
        <v>0</v>
      </c>
      <c r="O20" s="76">
        <v>0</v>
      </c>
      <c r="P20" s="76">
        <f>(-959342.807652745/6)</f>
        <v>-159890.46794212417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f>(-1200.77151391748/6)</f>
        <v>-200.12858565291333</v>
      </c>
      <c r="W20" s="77">
        <v>-960543.57916666206</v>
      </c>
    </row>
    <row r="21" spans="1:23">
      <c r="A21" s="19" t="s">
        <v>20</v>
      </c>
      <c r="B21" s="76" t="e">
        <f>+'[6]1er Sem coef act'!B21-'[6]1er Sem distribuido'!B21</f>
        <v>#REF!</v>
      </c>
      <c r="C21" s="76" t="e">
        <f>+'[6]1er Sem coef act'!C21-'[6]1er Sem distribuido'!C21</f>
        <v>#REF!</v>
      </c>
      <c r="D21" s="76" t="e">
        <f>+'[6]1er Sem coef act'!D21-'[6]1er Sem distribuido'!D21</f>
        <v>#REF!</v>
      </c>
      <c r="E21" s="76" t="e">
        <f>+'[6]1er Sem coef act'!E21-'[6]1er Sem distribuido'!E21</f>
        <v>#REF!</v>
      </c>
      <c r="F21" s="76" t="e">
        <f>+'[6]1er Sem coef act'!F21-'[6]1er Sem distribuido'!F21</f>
        <v>#REF!</v>
      </c>
      <c r="G21" s="76" t="e">
        <f>+'[6]1er Sem coef act'!G21-'[6]1er Sem distribuido'!G21</f>
        <v>#REF!</v>
      </c>
      <c r="H21" s="76" t="e">
        <f>+'[6]1er Sem coef act'!H21-'[6]1er Sem distribuido'!H21</f>
        <v>#REF!</v>
      </c>
      <c r="I21" s="76" t="e">
        <f>+'[6]1er Sem coef act'!I21-'[6]1er Sem distribuido'!I21</f>
        <v>#REF!</v>
      </c>
      <c r="J21" s="76" t="e">
        <f>+'[6]1er Sem coef act'!J21-'[6]1er Sem distribuido'!J21</f>
        <v>#REF!</v>
      </c>
      <c r="K21" s="77" t="e">
        <f t="shared" si="0"/>
        <v>#REF!</v>
      </c>
      <c r="M21" s="19" t="s">
        <v>20</v>
      </c>
      <c r="N21" s="76">
        <v>0</v>
      </c>
      <c r="O21" s="76">
        <v>0</v>
      </c>
      <c r="P21" s="76">
        <f>(-807693.523463218/6)</f>
        <v>-134615.58724386967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f>(56715.5968873118/6)</f>
        <v>9452.5994812186345</v>
      </c>
      <c r="W21" s="77">
        <v>-750977.92657590564</v>
      </c>
    </row>
    <row r="22" spans="1:23">
      <c r="A22" s="19" t="s">
        <v>21</v>
      </c>
      <c r="B22" s="76" t="e">
        <f>+'[6]1er Sem coef act'!B22-'[6]1er Sem distribuido'!B22</f>
        <v>#REF!</v>
      </c>
      <c r="C22" s="76" t="e">
        <f>+'[6]1er Sem coef act'!C22-'[6]1er Sem distribuido'!C22</f>
        <v>#REF!</v>
      </c>
      <c r="D22" s="76" t="e">
        <f>+'[6]1er Sem coef act'!D22-'[6]1er Sem distribuido'!D22</f>
        <v>#REF!</v>
      </c>
      <c r="E22" s="76" t="e">
        <f>+'[6]1er Sem coef act'!E22-'[6]1er Sem distribuido'!E22</f>
        <v>#REF!</v>
      </c>
      <c r="F22" s="76" t="e">
        <f>+'[6]1er Sem coef act'!F22-'[6]1er Sem distribuido'!F22</f>
        <v>#REF!</v>
      </c>
      <c r="G22" s="76" t="e">
        <f>+'[6]1er Sem coef act'!G22-'[6]1er Sem distribuido'!G22</f>
        <v>#REF!</v>
      </c>
      <c r="H22" s="76" t="e">
        <f>+'[6]1er Sem coef act'!H22-'[6]1er Sem distribuido'!H22</f>
        <v>#REF!</v>
      </c>
      <c r="I22" s="76" t="e">
        <f>+'[6]1er Sem coef act'!I22-'[6]1er Sem distribuido'!I22</f>
        <v>#REF!</v>
      </c>
      <c r="J22" s="76" t="e">
        <f>+'[6]1er Sem coef act'!J22-'[6]1er Sem distribuido'!J22</f>
        <v>#REF!</v>
      </c>
      <c r="K22" s="77" t="e">
        <f t="shared" si="0"/>
        <v>#REF!</v>
      </c>
      <c r="M22" s="19" t="s">
        <v>21</v>
      </c>
      <c r="N22" s="76">
        <v>0</v>
      </c>
      <c r="O22" s="76">
        <v>0</v>
      </c>
      <c r="P22" s="76">
        <f>(1071515.2127784/6)</f>
        <v>178585.8687964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f>(3959.86588016426/6)</f>
        <v>659.9776466940433</v>
      </c>
      <c r="W22" s="77">
        <v>1075475.0786585598</v>
      </c>
    </row>
    <row r="23" spans="1:23">
      <c r="A23" s="19" t="s">
        <v>22</v>
      </c>
      <c r="B23" s="76" t="e">
        <f>+'[6]1er Sem coef act'!B23-'[6]1er Sem distribuido'!B23</f>
        <v>#REF!</v>
      </c>
      <c r="C23" s="76" t="e">
        <f>+'[6]1er Sem coef act'!C23-'[6]1er Sem distribuido'!C23</f>
        <v>#REF!</v>
      </c>
      <c r="D23" s="76" t="e">
        <f>+'[6]1er Sem coef act'!D23-'[6]1er Sem distribuido'!D23</f>
        <v>#REF!</v>
      </c>
      <c r="E23" s="76" t="e">
        <f>+'[6]1er Sem coef act'!E23-'[6]1er Sem distribuido'!E23</f>
        <v>#REF!</v>
      </c>
      <c r="F23" s="76" t="e">
        <f>+'[6]1er Sem coef act'!F23-'[6]1er Sem distribuido'!F23</f>
        <v>#REF!</v>
      </c>
      <c r="G23" s="76" t="e">
        <f>+'[6]1er Sem coef act'!G23-'[6]1er Sem distribuido'!G23</f>
        <v>#REF!</v>
      </c>
      <c r="H23" s="76" t="e">
        <f>+'[6]1er Sem coef act'!H23-'[6]1er Sem distribuido'!H23</f>
        <v>#REF!</v>
      </c>
      <c r="I23" s="76" t="e">
        <f>+'[6]1er Sem coef act'!I23-'[6]1er Sem distribuido'!I23</f>
        <v>#REF!</v>
      </c>
      <c r="J23" s="76" t="e">
        <f>+'[6]1er Sem coef act'!J23-'[6]1er Sem distribuido'!J23</f>
        <v>#REF!</v>
      </c>
      <c r="K23" s="77" t="e">
        <f t="shared" si="0"/>
        <v>#REF!</v>
      </c>
      <c r="M23" s="19" t="s">
        <v>22</v>
      </c>
      <c r="N23" s="76">
        <v>0</v>
      </c>
      <c r="O23" s="76">
        <v>0</v>
      </c>
      <c r="P23" s="76">
        <f>(1432506.10481819/6)</f>
        <v>238751.01746969833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f>(593.560201354827/6)</f>
        <v>98.926700225804495</v>
      </c>
      <c r="W23" s="77">
        <v>1433099.6650195441</v>
      </c>
    </row>
    <row r="24" spans="1:23">
      <c r="A24" s="19" t="s">
        <v>23</v>
      </c>
      <c r="B24" s="76" t="e">
        <f>+'[6]1er Sem coef act'!B24-'[6]1er Sem distribuido'!B24</f>
        <v>#REF!</v>
      </c>
      <c r="C24" s="76" t="e">
        <f>+'[6]1er Sem coef act'!C24-'[6]1er Sem distribuido'!C24</f>
        <v>#REF!</v>
      </c>
      <c r="D24" s="76" t="e">
        <f>+'[6]1er Sem coef act'!D24-'[6]1er Sem distribuido'!D24</f>
        <v>#REF!</v>
      </c>
      <c r="E24" s="76" t="e">
        <f>+'[6]1er Sem coef act'!E24-'[6]1er Sem distribuido'!E24</f>
        <v>#REF!</v>
      </c>
      <c r="F24" s="76" t="e">
        <f>+'[6]1er Sem coef act'!F24-'[6]1er Sem distribuido'!F24</f>
        <v>#REF!</v>
      </c>
      <c r="G24" s="76" t="e">
        <f>+'[6]1er Sem coef act'!G24-'[6]1er Sem distribuido'!G24</f>
        <v>#REF!</v>
      </c>
      <c r="H24" s="76" t="e">
        <f>+'[6]1er Sem coef act'!H24-'[6]1er Sem distribuido'!H24</f>
        <v>#REF!</v>
      </c>
      <c r="I24" s="76" t="e">
        <f>+'[6]1er Sem coef act'!I24-'[6]1er Sem distribuido'!I24</f>
        <v>#REF!</v>
      </c>
      <c r="J24" s="76" t="e">
        <f>+'[6]1er Sem coef act'!J24-'[6]1er Sem distribuido'!J24</f>
        <v>#REF!</v>
      </c>
      <c r="K24" s="77" t="e">
        <f t="shared" si="0"/>
        <v>#REF!</v>
      </c>
      <c r="M24" s="19" t="s">
        <v>23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f>(-25.4681208093243/6)</f>
        <v>-4.2446868015540504</v>
      </c>
      <c r="W24" s="77">
        <v>-25.468120809324319</v>
      </c>
    </row>
    <row r="25" spans="1:23">
      <c r="A25" s="19" t="s">
        <v>24</v>
      </c>
      <c r="B25" s="76" t="e">
        <f>+'[6]1er Sem coef act'!B25-'[6]1er Sem distribuido'!B25</f>
        <v>#REF!</v>
      </c>
      <c r="C25" s="76" t="e">
        <f>+'[6]1er Sem coef act'!C25-'[6]1er Sem distribuido'!C25</f>
        <v>#REF!</v>
      </c>
      <c r="D25" s="76" t="e">
        <f>+'[6]1er Sem coef act'!D25-'[6]1er Sem distribuido'!D25</f>
        <v>#REF!</v>
      </c>
      <c r="E25" s="76" t="e">
        <f>+'[6]1er Sem coef act'!E25-'[6]1er Sem distribuido'!E25</f>
        <v>#REF!</v>
      </c>
      <c r="F25" s="76" t="e">
        <f>+'[6]1er Sem coef act'!F25-'[6]1er Sem distribuido'!F25</f>
        <v>#REF!</v>
      </c>
      <c r="G25" s="76" t="e">
        <f>+'[6]1er Sem coef act'!G25-'[6]1er Sem distribuido'!G25</f>
        <v>#REF!</v>
      </c>
      <c r="H25" s="76" t="e">
        <f>+'[6]1er Sem coef act'!H25-'[6]1er Sem distribuido'!H25</f>
        <v>#REF!</v>
      </c>
      <c r="I25" s="76" t="e">
        <f>+'[6]1er Sem coef act'!I25-'[6]1er Sem distribuido'!I25</f>
        <v>#REF!</v>
      </c>
      <c r="J25" s="76" t="e">
        <f>+'[6]1er Sem coef act'!J25-'[6]1er Sem distribuido'!J25</f>
        <v>#REF!</v>
      </c>
      <c r="K25" s="77" t="e">
        <f t="shared" si="0"/>
        <v>#REF!</v>
      </c>
      <c r="M25" s="19" t="s">
        <v>24</v>
      </c>
      <c r="N25" s="76">
        <v>0</v>
      </c>
      <c r="O25" s="76">
        <v>0</v>
      </c>
      <c r="P25" s="76">
        <f>(470326.730116419/6)</f>
        <v>78387.788352736505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f>(-13530.9336126467/6)</f>
        <v>-2255.1556021077836</v>
      </c>
      <c r="W25" s="77">
        <v>456795.79650377249</v>
      </c>
    </row>
    <row r="26" spans="1:23">
      <c r="A26" s="19" t="s">
        <v>25</v>
      </c>
      <c r="B26" s="76" t="e">
        <f>+'[6]1er Sem coef act'!B26-'[6]1er Sem distribuido'!B26</f>
        <v>#REF!</v>
      </c>
      <c r="C26" s="76" t="e">
        <f>+'[6]1er Sem coef act'!C26-'[6]1er Sem distribuido'!C26</f>
        <v>#REF!</v>
      </c>
      <c r="D26" s="76" t="e">
        <f>+'[6]1er Sem coef act'!D26-'[6]1er Sem distribuido'!D26</f>
        <v>#REF!</v>
      </c>
      <c r="E26" s="76" t="e">
        <f>+'[6]1er Sem coef act'!E26-'[6]1er Sem distribuido'!E26</f>
        <v>#REF!</v>
      </c>
      <c r="F26" s="76" t="e">
        <f>+'[6]1er Sem coef act'!F26-'[6]1er Sem distribuido'!F26</f>
        <v>#REF!</v>
      </c>
      <c r="G26" s="76" t="e">
        <f>+'[6]1er Sem coef act'!G26-'[6]1er Sem distribuido'!G26</f>
        <v>#REF!</v>
      </c>
      <c r="H26" s="76" t="e">
        <f>+'[6]1er Sem coef act'!H26-'[6]1er Sem distribuido'!H26</f>
        <v>#REF!</v>
      </c>
      <c r="I26" s="76" t="e">
        <f>+'[6]1er Sem coef act'!I26-'[6]1er Sem distribuido'!I26</f>
        <v>#REF!</v>
      </c>
      <c r="J26" s="76" t="e">
        <f>+'[6]1er Sem coef act'!J26-'[6]1er Sem distribuido'!J26</f>
        <v>#REF!</v>
      </c>
      <c r="K26" s="77" t="e">
        <f t="shared" si="0"/>
        <v>#REF!</v>
      </c>
      <c r="M26" s="19" t="s">
        <v>25</v>
      </c>
      <c r="N26" s="76">
        <v>0</v>
      </c>
      <c r="O26" s="76">
        <v>0</v>
      </c>
      <c r="P26" s="76">
        <f>(-1275522.7794884/6)</f>
        <v>-212587.12991473335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f>(12223.2272638585/6)</f>
        <v>2037.2045439764167</v>
      </c>
      <c r="W26" s="77">
        <v>-1263299.5522245411</v>
      </c>
    </row>
    <row r="27" spans="1:23">
      <c r="A27" s="19" t="s">
        <v>243</v>
      </c>
      <c r="B27" s="76" t="e">
        <f>+'[6]1er Sem coef act'!B27-'[6]1er Sem distribuido'!B27</f>
        <v>#REF!</v>
      </c>
      <c r="C27" s="76" t="e">
        <f>+'[6]1er Sem coef act'!C27-'[6]1er Sem distribuido'!C27</f>
        <v>#REF!</v>
      </c>
      <c r="D27" s="76" t="e">
        <f>+'[6]1er Sem coef act'!D27-'[6]1er Sem distribuido'!D27</f>
        <v>#REF!</v>
      </c>
      <c r="E27" s="76" t="e">
        <f>+'[6]1er Sem coef act'!E27-'[6]1er Sem distribuido'!E27</f>
        <v>#REF!</v>
      </c>
      <c r="F27" s="76" t="e">
        <f>+'[6]1er Sem coef act'!F27-'[6]1er Sem distribuido'!F27</f>
        <v>#REF!</v>
      </c>
      <c r="G27" s="76" t="e">
        <f>+'[6]1er Sem coef act'!G27-'[6]1er Sem distribuido'!G27</f>
        <v>#REF!</v>
      </c>
      <c r="H27" s="76" t="e">
        <f>+'[6]1er Sem coef act'!H27-'[6]1er Sem distribuido'!H27</f>
        <v>#REF!</v>
      </c>
      <c r="I27" s="76" t="e">
        <f>+'[6]1er Sem coef act'!I27-'[6]1er Sem distribuido'!I27</f>
        <v>#REF!</v>
      </c>
      <c r="J27" s="76" t="e">
        <f>+'[6]1er Sem coef act'!J27-'[6]1er Sem distribuido'!J27</f>
        <v>#REF!</v>
      </c>
      <c r="K27" s="77" t="e">
        <f t="shared" si="0"/>
        <v>#REF!</v>
      </c>
      <c r="M27" s="19" t="s">
        <v>243</v>
      </c>
      <c r="N27" s="76">
        <v>0</v>
      </c>
      <c r="O27" s="76">
        <v>0</v>
      </c>
      <c r="P27" s="76">
        <f>(-108576.765660731/6)</f>
        <v>-18096.127610121835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f>(296.516061764276/6)</f>
        <v>49.419343627379334</v>
      </c>
      <c r="W27" s="77">
        <v>-108280.24959896685</v>
      </c>
    </row>
    <row r="28" spans="1:23">
      <c r="A28" s="19" t="s">
        <v>27</v>
      </c>
      <c r="B28" s="76" t="e">
        <f>+'[6]1er Sem coef act'!B28-'[6]1er Sem distribuido'!B28</f>
        <v>#REF!</v>
      </c>
      <c r="C28" s="76" t="e">
        <f>+'[6]1er Sem coef act'!C28-'[6]1er Sem distribuido'!C28</f>
        <v>#REF!</v>
      </c>
      <c r="D28" s="76" t="e">
        <f>+'[6]1er Sem coef act'!D28-'[6]1er Sem distribuido'!D28</f>
        <v>#REF!</v>
      </c>
      <c r="E28" s="76" t="e">
        <f>+'[6]1er Sem coef act'!E28-'[6]1er Sem distribuido'!E28</f>
        <v>#REF!</v>
      </c>
      <c r="F28" s="76" t="e">
        <f>+'[6]1er Sem coef act'!F28-'[6]1er Sem distribuido'!F28</f>
        <v>#REF!</v>
      </c>
      <c r="G28" s="76" t="e">
        <f>+'[6]1er Sem coef act'!G28-'[6]1er Sem distribuido'!G28</f>
        <v>#REF!</v>
      </c>
      <c r="H28" s="76" t="e">
        <f>+'[6]1er Sem coef act'!H28-'[6]1er Sem distribuido'!H28</f>
        <v>#REF!</v>
      </c>
      <c r="I28" s="76" t="e">
        <f>+'[6]1er Sem coef act'!I28-'[6]1er Sem distribuido'!I28</f>
        <v>#REF!</v>
      </c>
      <c r="J28" s="76" t="e">
        <f>+'[6]1er Sem coef act'!J28-'[6]1er Sem distribuido'!J28</f>
        <v>#REF!</v>
      </c>
      <c r="K28" s="77" t="e">
        <f t="shared" si="0"/>
        <v>#REF!</v>
      </c>
      <c r="M28" s="19" t="s">
        <v>27</v>
      </c>
      <c r="N28" s="76">
        <v>0</v>
      </c>
      <c r="O28" s="76">
        <v>0</v>
      </c>
      <c r="P28" s="76">
        <f>(-249127.188296185/6)</f>
        <v>-41521.198049364168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f>(-254.565771171387/6)</f>
        <v>-42.427628528564505</v>
      </c>
      <c r="W28" s="77">
        <v>-249381.75406735673</v>
      </c>
    </row>
    <row r="29" spans="1:23">
      <c r="A29" s="19" t="s">
        <v>28</v>
      </c>
      <c r="B29" s="76" t="e">
        <f>+'[6]1er Sem coef act'!B29-'[6]1er Sem distribuido'!B29</f>
        <v>#REF!</v>
      </c>
      <c r="C29" s="76" t="e">
        <f>+'[6]1er Sem coef act'!C29-'[6]1er Sem distribuido'!C29</f>
        <v>#REF!</v>
      </c>
      <c r="D29" s="76" t="e">
        <f>+'[6]1er Sem coef act'!D29-'[6]1er Sem distribuido'!D29</f>
        <v>#REF!</v>
      </c>
      <c r="E29" s="76" t="e">
        <f>+'[6]1er Sem coef act'!E29-'[6]1er Sem distribuido'!E29</f>
        <v>#REF!</v>
      </c>
      <c r="F29" s="76" t="e">
        <f>+'[6]1er Sem coef act'!F29-'[6]1er Sem distribuido'!F29</f>
        <v>#REF!</v>
      </c>
      <c r="G29" s="76" t="e">
        <f>+'[6]1er Sem coef act'!G29-'[6]1er Sem distribuido'!G29</f>
        <v>#REF!</v>
      </c>
      <c r="H29" s="76" t="e">
        <f>+'[6]1er Sem coef act'!H29-'[6]1er Sem distribuido'!H29</f>
        <v>#REF!</v>
      </c>
      <c r="I29" s="76" t="e">
        <f>+'[6]1er Sem coef act'!I29-'[6]1er Sem distribuido'!I29</f>
        <v>#REF!</v>
      </c>
      <c r="J29" s="76" t="e">
        <f>+'[6]1er Sem coef act'!J29-'[6]1er Sem distribuido'!J29</f>
        <v>#REF!</v>
      </c>
      <c r="K29" s="77" t="e">
        <f t="shared" si="0"/>
        <v>#REF!</v>
      </c>
      <c r="M29" s="19" t="s">
        <v>28</v>
      </c>
      <c r="N29" s="76">
        <v>0</v>
      </c>
      <c r="O29" s="76">
        <v>0</v>
      </c>
      <c r="P29" s="76">
        <f>(382808.873894416/6)</f>
        <v>63801.478982402674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f>(242.128724547001/6)</f>
        <v>40.354787424500167</v>
      </c>
      <c r="W29" s="77">
        <v>383051.00261896278</v>
      </c>
    </row>
    <row r="30" spans="1:23">
      <c r="A30" s="19" t="s">
        <v>29</v>
      </c>
      <c r="B30" s="76" t="e">
        <f>+'[6]1er Sem coef act'!B30-'[6]1er Sem distribuido'!B30</f>
        <v>#REF!</v>
      </c>
      <c r="C30" s="76" t="e">
        <f>+'[6]1er Sem coef act'!C30-'[6]1er Sem distribuido'!C30</f>
        <v>#REF!</v>
      </c>
      <c r="D30" s="76" t="e">
        <f>+'[6]1er Sem coef act'!D30-'[6]1er Sem distribuido'!D30</f>
        <v>#REF!</v>
      </c>
      <c r="E30" s="76" t="e">
        <f>+'[6]1er Sem coef act'!E30-'[6]1er Sem distribuido'!E30</f>
        <v>#REF!</v>
      </c>
      <c r="F30" s="76" t="e">
        <f>+'[6]1er Sem coef act'!F30-'[6]1er Sem distribuido'!F30</f>
        <v>#REF!</v>
      </c>
      <c r="G30" s="76" t="e">
        <f>+'[6]1er Sem coef act'!G30-'[6]1er Sem distribuido'!G30</f>
        <v>#REF!</v>
      </c>
      <c r="H30" s="76" t="e">
        <f>+'[6]1er Sem coef act'!H30-'[6]1er Sem distribuido'!H30</f>
        <v>#REF!</v>
      </c>
      <c r="I30" s="76" t="e">
        <f>+'[6]1er Sem coef act'!I30-'[6]1er Sem distribuido'!I30</f>
        <v>#REF!</v>
      </c>
      <c r="J30" s="76" t="e">
        <f>+'[6]1er Sem coef act'!J30-'[6]1er Sem distribuido'!J30</f>
        <v>#REF!</v>
      </c>
      <c r="K30" s="77" t="e">
        <f t="shared" si="0"/>
        <v>#REF!</v>
      </c>
      <c r="M30" s="19" t="s">
        <v>29</v>
      </c>
      <c r="N30" s="76">
        <v>0</v>
      </c>
      <c r="O30" s="76">
        <v>0</v>
      </c>
      <c r="P30" s="76">
        <f>(-150876.781907313/6)</f>
        <v>-25146.130317885501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f>(334.257665728218/6)</f>
        <v>55.709610954703003</v>
      </c>
      <c r="W30" s="77">
        <v>-150542.52424158482</v>
      </c>
    </row>
    <row r="31" spans="1:23">
      <c r="A31" s="19" t="s">
        <v>30</v>
      </c>
      <c r="B31" s="76" t="e">
        <f>+'[6]1er Sem coef act'!B31-'[6]1er Sem distribuido'!B31</f>
        <v>#REF!</v>
      </c>
      <c r="C31" s="76" t="e">
        <f>+'[6]1er Sem coef act'!C31-'[6]1er Sem distribuido'!C31</f>
        <v>#REF!</v>
      </c>
      <c r="D31" s="76" t="e">
        <f>+'[6]1er Sem coef act'!D31-'[6]1er Sem distribuido'!D31</f>
        <v>#REF!</v>
      </c>
      <c r="E31" s="76" t="e">
        <f>+'[6]1er Sem coef act'!E31-'[6]1er Sem distribuido'!E31</f>
        <v>#REF!</v>
      </c>
      <c r="F31" s="76" t="e">
        <f>+'[6]1er Sem coef act'!F31-'[6]1er Sem distribuido'!F31</f>
        <v>#REF!</v>
      </c>
      <c r="G31" s="76" t="e">
        <f>+'[6]1er Sem coef act'!G31-'[6]1er Sem distribuido'!G31</f>
        <v>#REF!</v>
      </c>
      <c r="H31" s="76" t="e">
        <f>+'[6]1er Sem coef act'!H31-'[6]1er Sem distribuido'!H31</f>
        <v>#REF!</v>
      </c>
      <c r="I31" s="76" t="e">
        <f>+'[6]1er Sem coef act'!I31-'[6]1er Sem distribuido'!I31</f>
        <v>#REF!</v>
      </c>
      <c r="J31" s="76" t="e">
        <f>+'[6]1er Sem coef act'!J31-'[6]1er Sem distribuido'!J31</f>
        <v>#REF!</v>
      </c>
      <c r="K31" s="77" t="e">
        <f t="shared" si="0"/>
        <v>#REF!</v>
      </c>
      <c r="M31" s="19" t="s">
        <v>30</v>
      </c>
      <c r="N31" s="76">
        <v>0</v>
      </c>
      <c r="O31" s="76">
        <v>0</v>
      </c>
      <c r="P31" s="76">
        <f>(-6383340.70245518/6)</f>
        <v>-1063890.1170758633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f>(-25.9976985053509/6)</f>
        <v>-4.3329497508918164</v>
      </c>
      <c r="W31" s="77">
        <v>-6383366.7001536889</v>
      </c>
    </row>
    <row r="32" spans="1:23">
      <c r="A32" s="19" t="s">
        <v>31</v>
      </c>
      <c r="B32" s="76" t="e">
        <f>+'[6]1er Sem coef act'!B32-'[6]1er Sem distribuido'!B32</f>
        <v>#REF!</v>
      </c>
      <c r="C32" s="76" t="e">
        <f>+'[6]1er Sem coef act'!C32-'[6]1er Sem distribuido'!C32</f>
        <v>#REF!</v>
      </c>
      <c r="D32" s="76" t="e">
        <f>+'[6]1er Sem coef act'!D32-'[6]1er Sem distribuido'!D32</f>
        <v>#REF!</v>
      </c>
      <c r="E32" s="76" t="e">
        <f>+'[6]1er Sem coef act'!E32-'[6]1er Sem distribuido'!E32</f>
        <v>#REF!</v>
      </c>
      <c r="F32" s="76" t="e">
        <f>+'[6]1er Sem coef act'!F32-'[6]1er Sem distribuido'!F32</f>
        <v>#REF!</v>
      </c>
      <c r="G32" s="76" t="e">
        <f>+'[6]1er Sem coef act'!G32-'[6]1er Sem distribuido'!G32</f>
        <v>#REF!</v>
      </c>
      <c r="H32" s="76" t="e">
        <f>+'[6]1er Sem coef act'!H32-'[6]1er Sem distribuido'!H32</f>
        <v>#REF!</v>
      </c>
      <c r="I32" s="76" t="e">
        <f>+'[6]1er Sem coef act'!I32-'[6]1er Sem distribuido'!I32</f>
        <v>#REF!</v>
      </c>
      <c r="J32" s="76" t="e">
        <f>+'[6]1er Sem coef act'!J32-'[6]1er Sem distribuido'!J32</f>
        <v>#REF!</v>
      </c>
      <c r="K32" s="77" t="e">
        <f t="shared" si="0"/>
        <v>#REF!</v>
      </c>
      <c r="M32" s="19" t="s">
        <v>31</v>
      </c>
      <c r="N32" s="76">
        <v>1.7881393432617188E-7</v>
      </c>
      <c r="O32" s="76">
        <v>2.4214386940002441E-8</v>
      </c>
      <c r="P32" s="76">
        <v>0</v>
      </c>
      <c r="Q32" s="76">
        <v>5.5879354476928711E-9</v>
      </c>
      <c r="R32" s="76">
        <v>8.3819031715393066E-9</v>
      </c>
      <c r="S32" s="76">
        <v>4.3655745685100555E-10</v>
      </c>
      <c r="T32" s="76">
        <v>3.7252902984619141E-9</v>
      </c>
      <c r="U32" s="76">
        <v>1.0477378964424133E-9</v>
      </c>
      <c r="V32" s="76">
        <f>(133500.645626245/6)</f>
        <v>22250.107604374167</v>
      </c>
      <c r="W32" s="77">
        <v>133500.64562646727</v>
      </c>
    </row>
    <row r="33" spans="1:23">
      <c r="A33" s="19" t="s">
        <v>32</v>
      </c>
      <c r="B33" s="76" t="e">
        <f>+'[6]1er Sem coef act'!B33-'[6]1er Sem distribuido'!B33</f>
        <v>#REF!</v>
      </c>
      <c r="C33" s="76" t="e">
        <f>+'[6]1er Sem coef act'!C33-'[6]1er Sem distribuido'!C33</f>
        <v>#REF!</v>
      </c>
      <c r="D33" s="76" t="e">
        <f>+'[6]1er Sem coef act'!D33-'[6]1er Sem distribuido'!D33</f>
        <v>#REF!</v>
      </c>
      <c r="E33" s="76" t="e">
        <f>+'[6]1er Sem coef act'!E33-'[6]1er Sem distribuido'!E33</f>
        <v>#REF!</v>
      </c>
      <c r="F33" s="76" t="e">
        <f>+'[6]1er Sem coef act'!F33-'[6]1er Sem distribuido'!F33</f>
        <v>#REF!</v>
      </c>
      <c r="G33" s="76" t="e">
        <f>+'[6]1er Sem coef act'!G33-'[6]1er Sem distribuido'!G33</f>
        <v>#REF!</v>
      </c>
      <c r="H33" s="76" t="e">
        <f>+'[6]1er Sem coef act'!H33-'[6]1er Sem distribuido'!H33</f>
        <v>#REF!</v>
      </c>
      <c r="I33" s="76" t="e">
        <f>+'[6]1er Sem coef act'!I33-'[6]1er Sem distribuido'!I33</f>
        <v>#REF!</v>
      </c>
      <c r="J33" s="76" t="e">
        <f>+'[6]1er Sem coef act'!J33-'[6]1er Sem distribuido'!J33</f>
        <v>#REF!</v>
      </c>
      <c r="K33" s="77" t="e">
        <f t="shared" si="0"/>
        <v>#REF!</v>
      </c>
      <c r="M33" s="19" t="s">
        <v>32</v>
      </c>
      <c r="N33" s="76">
        <v>0</v>
      </c>
      <c r="O33" s="76">
        <v>0</v>
      </c>
      <c r="P33" s="76">
        <f>(892496.657943922/6)</f>
        <v>148749.44299065365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f>(1155.72071390535/6)</f>
        <v>192.620118984225</v>
      </c>
      <c r="W33" s="77">
        <v>893652.37865782762</v>
      </c>
    </row>
    <row r="34" spans="1:23">
      <c r="A34" s="19" t="s">
        <v>33</v>
      </c>
      <c r="B34" s="76" t="e">
        <f>+'[6]1er Sem coef act'!B34-'[6]1er Sem distribuido'!B34</f>
        <v>#REF!</v>
      </c>
      <c r="C34" s="76" t="e">
        <f>+'[6]1er Sem coef act'!C34-'[6]1er Sem distribuido'!C34</f>
        <v>#REF!</v>
      </c>
      <c r="D34" s="76" t="e">
        <f>+'[6]1er Sem coef act'!D34-'[6]1er Sem distribuido'!D34</f>
        <v>#REF!</v>
      </c>
      <c r="E34" s="76" t="e">
        <f>+'[6]1er Sem coef act'!E34-'[6]1er Sem distribuido'!E34</f>
        <v>#REF!</v>
      </c>
      <c r="F34" s="76" t="e">
        <f>+'[6]1er Sem coef act'!F34-'[6]1er Sem distribuido'!F34</f>
        <v>#REF!</v>
      </c>
      <c r="G34" s="76" t="e">
        <f>+'[6]1er Sem coef act'!G34-'[6]1er Sem distribuido'!G34</f>
        <v>#REF!</v>
      </c>
      <c r="H34" s="76" t="e">
        <f>+'[6]1er Sem coef act'!H34-'[6]1er Sem distribuido'!H34</f>
        <v>#REF!</v>
      </c>
      <c r="I34" s="76" t="e">
        <f>+'[6]1er Sem coef act'!I34-'[6]1er Sem distribuido'!I34</f>
        <v>#REF!</v>
      </c>
      <c r="J34" s="76" t="e">
        <f>+'[6]1er Sem coef act'!J34-'[6]1er Sem distribuido'!J34</f>
        <v>#REF!</v>
      </c>
      <c r="K34" s="77" t="e">
        <f t="shared" si="0"/>
        <v>#REF!</v>
      </c>
      <c r="M34" s="19" t="s">
        <v>33</v>
      </c>
      <c r="N34" s="76">
        <v>0</v>
      </c>
      <c r="O34" s="76">
        <v>0</v>
      </c>
      <c r="P34" s="76">
        <f>(296599.497473006/6)</f>
        <v>49433.249578834337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f>(2303.58470982383/6)</f>
        <v>383.93078497063834</v>
      </c>
      <c r="W34" s="77">
        <v>298903.0821828302</v>
      </c>
    </row>
    <row r="35" spans="1:23">
      <c r="A35" s="19" t="s">
        <v>34</v>
      </c>
      <c r="B35" s="76" t="e">
        <f>+'[6]1er Sem coef act'!B35-'[6]1er Sem distribuido'!B35</f>
        <v>#REF!</v>
      </c>
      <c r="C35" s="76" t="e">
        <f>+'[6]1er Sem coef act'!C35-'[6]1er Sem distribuido'!C35</f>
        <v>#REF!</v>
      </c>
      <c r="D35" s="76" t="e">
        <f>+'[6]1er Sem coef act'!D35-'[6]1er Sem distribuido'!D35</f>
        <v>#REF!</v>
      </c>
      <c r="E35" s="76" t="e">
        <f>+'[6]1er Sem coef act'!E35-'[6]1er Sem distribuido'!E35</f>
        <v>#REF!</v>
      </c>
      <c r="F35" s="76" t="e">
        <f>+'[6]1er Sem coef act'!F35-'[6]1er Sem distribuido'!F35</f>
        <v>#REF!</v>
      </c>
      <c r="G35" s="76" t="e">
        <f>+'[6]1er Sem coef act'!G35-'[6]1er Sem distribuido'!G35</f>
        <v>#REF!</v>
      </c>
      <c r="H35" s="76" t="e">
        <f>+'[6]1er Sem coef act'!H35-'[6]1er Sem distribuido'!H35</f>
        <v>#REF!</v>
      </c>
      <c r="I35" s="76" t="e">
        <f>+'[6]1er Sem coef act'!I35-'[6]1er Sem distribuido'!I35</f>
        <v>#REF!</v>
      </c>
      <c r="J35" s="76" t="e">
        <f>+'[6]1er Sem coef act'!J35-'[6]1er Sem distribuido'!J35</f>
        <v>#REF!</v>
      </c>
      <c r="K35" s="77" t="e">
        <f t="shared" si="0"/>
        <v>#REF!</v>
      </c>
      <c r="M35" s="19" t="s">
        <v>34</v>
      </c>
      <c r="N35" s="76">
        <v>0</v>
      </c>
      <c r="O35" s="76">
        <v>0</v>
      </c>
      <c r="P35" s="76">
        <f>(6785661.55134465/6)</f>
        <v>1130943.5918907749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f>(5271.56100077782/6)</f>
        <v>878.5935001296366</v>
      </c>
      <c r="W35" s="77">
        <v>6790933.1123454301</v>
      </c>
    </row>
    <row r="36" spans="1:23">
      <c r="A36" s="19" t="s">
        <v>35</v>
      </c>
      <c r="B36" s="76" t="e">
        <f>+'[6]1er Sem coef act'!B36-'[6]1er Sem distribuido'!B36</f>
        <v>#REF!</v>
      </c>
      <c r="C36" s="76" t="e">
        <f>+'[6]1er Sem coef act'!C36-'[6]1er Sem distribuido'!C36</f>
        <v>#REF!</v>
      </c>
      <c r="D36" s="76" t="e">
        <f>+'[6]1er Sem coef act'!D36-'[6]1er Sem distribuido'!D36</f>
        <v>#REF!</v>
      </c>
      <c r="E36" s="76" t="e">
        <f>+'[6]1er Sem coef act'!E36-'[6]1er Sem distribuido'!E36</f>
        <v>#REF!</v>
      </c>
      <c r="F36" s="76" t="e">
        <f>+'[6]1er Sem coef act'!F36-'[6]1er Sem distribuido'!F36</f>
        <v>#REF!</v>
      </c>
      <c r="G36" s="76" t="e">
        <f>+'[6]1er Sem coef act'!G36-'[6]1er Sem distribuido'!G36</f>
        <v>#REF!</v>
      </c>
      <c r="H36" s="76" t="e">
        <f>+'[6]1er Sem coef act'!H36-'[6]1er Sem distribuido'!H36</f>
        <v>#REF!</v>
      </c>
      <c r="I36" s="76" t="e">
        <f>+'[6]1er Sem coef act'!I36-'[6]1er Sem distribuido'!I36</f>
        <v>#REF!</v>
      </c>
      <c r="J36" s="76" t="e">
        <f>+'[6]1er Sem coef act'!J36-'[6]1er Sem distribuido'!J36</f>
        <v>#REF!</v>
      </c>
      <c r="K36" s="77" t="e">
        <f t="shared" si="0"/>
        <v>#REF!</v>
      </c>
      <c r="M36" s="19" t="s">
        <v>35</v>
      </c>
      <c r="N36" s="76">
        <v>0</v>
      </c>
      <c r="O36" s="76">
        <v>0</v>
      </c>
      <c r="P36" s="76">
        <f>(-1201823.66486563/6)</f>
        <v>-200303.94414427166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f>(89.737426245978/6)</f>
        <v>14.956237707663</v>
      </c>
      <c r="W36" s="77">
        <v>-1201733.9274393835</v>
      </c>
    </row>
    <row r="37" spans="1:23">
      <c r="A37" s="19" t="s">
        <v>36</v>
      </c>
      <c r="B37" s="76" t="e">
        <f>+'[6]1er Sem coef act'!B37-'[6]1er Sem distribuido'!B37</f>
        <v>#REF!</v>
      </c>
      <c r="C37" s="76" t="e">
        <f>+'[6]1er Sem coef act'!C37-'[6]1er Sem distribuido'!C37</f>
        <v>#REF!</v>
      </c>
      <c r="D37" s="76" t="e">
        <f>+'[6]1er Sem coef act'!D37-'[6]1er Sem distribuido'!D37</f>
        <v>#REF!</v>
      </c>
      <c r="E37" s="76" t="e">
        <f>+'[6]1er Sem coef act'!E37-'[6]1er Sem distribuido'!E37</f>
        <v>#REF!</v>
      </c>
      <c r="F37" s="76" t="e">
        <f>+'[6]1er Sem coef act'!F37-'[6]1er Sem distribuido'!F37</f>
        <v>#REF!</v>
      </c>
      <c r="G37" s="76" t="e">
        <f>+'[6]1er Sem coef act'!G37-'[6]1er Sem distribuido'!G37</f>
        <v>#REF!</v>
      </c>
      <c r="H37" s="76" t="e">
        <f>+'[6]1er Sem coef act'!H37-'[6]1er Sem distribuido'!H37</f>
        <v>#REF!</v>
      </c>
      <c r="I37" s="76" t="e">
        <f>+'[6]1er Sem coef act'!I37-'[6]1er Sem distribuido'!I37</f>
        <v>#REF!</v>
      </c>
      <c r="J37" s="76" t="e">
        <f>+'[6]1er Sem coef act'!J37-'[6]1er Sem distribuido'!J37</f>
        <v>#REF!</v>
      </c>
      <c r="K37" s="77" t="e">
        <f t="shared" si="0"/>
        <v>#REF!</v>
      </c>
      <c r="M37" s="19" t="s">
        <v>36</v>
      </c>
      <c r="N37" s="76">
        <v>0</v>
      </c>
      <c r="O37" s="76">
        <v>0</v>
      </c>
      <c r="P37" s="76">
        <f>(-1268111.71812124/6)</f>
        <v>-211351.95302020665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f>(-46.4379940438084/6)</f>
        <v>-7.7396656739680667</v>
      </c>
      <c r="W37" s="77">
        <v>-1268158.1561152874</v>
      </c>
    </row>
    <row r="38" spans="1:23">
      <c r="A38" s="19" t="s">
        <v>37</v>
      </c>
      <c r="B38" s="76" t="e">
        <f>+'[6]1er Sem coef act'!B38-'[6]1er Sem distribuido'!B38</f>
        <v>#REF!</v>
      </c>
      <c r="C38" s="76" t="e">
        <f>+'[6]1er Sem coef act'!C38-'[6]1er Sem distribuido'!C38</f>
        <v>#REF!</v>
      </c>
      <c r="D38" s="76" t="e">
        <f>+'[6]1er Sem coef act'!D38-'[6]1er Sem distribuido'!D38</f>
        <v>#REF!</v>
      </c>
      <c r="E38" s="76" t="e">
        <f>+'[6]1er Sem coef act'!E38-'[6]1er Sem distribuido'!E38</f>
        <v>#REF!</v>
      </c>
      <c r="F38" s="76" t="e">
        <f>+'[6]1er Sem coef act'!F38-'[6]1er Sem distribuido'!F38</f>
        <v>#REF!</v>
      </c>
      <c r="G38" s="76" t="e">
        <f>+'[6]1er Sem coef act'!G38-'[6]1er Sem distribuido'!G38</f>
        <v>#REF!</v>
      </c>
      <c r="H38" s="76" t="e">
        <f>+'[6]1er Sem coef act'!H38-'[6]1er Sem distribuido'!H38</f>
        <v>#REF!</v>
      </c>
      <c r="I38" s="76" t="e">
        <f>+'[6]1er Sem coef act'!I38-'[6]1er Sem distribuido'!I38</f>
        <v>#REF!</v>
      </c>
      <c r="J38" s="76" t="e">
        <f>+'[6]1er Sem coef act'!J38-'[6]1er Sem distribuido'!J38</f>
        <v>#REF!</v>
      </c>
      <c r="K38" s="77" t="e">
        <f t="shared" si="0"/>
        <v>#REF!</v>
      </c>
      <c r="M38" s="19" t="s">
        <v>37</v>
      </c>
      <c r="N38" s="76">
        <v>0</v>
      </c>
      <c r="O38" s="76">
        <v>0</v>
      </c>
      <c r="P38" s="76">
        <f>(1914111.64009266/6)</f>
        <v>319018.60668211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f>(661.881573312596/6)</f>
        <v>110.31359555209933</v>
      </c>
      <c r="W38" s="77">
        <v>1914773.5216659741</v>
      </c>
    </row>
    <row r="39" spans="1:23">
      <c r="A39" s="19" t="s">
        <v>38</v>
      </c>
      <c r="B39" s="76" t="e">
        <f>+'[6]1er Sem coef act'!B39-'[6]1er Sem distribuido'!B39</f>
        <v>#REF!</v>
      </c>
      <c r="C39" s="76" t="e">
        <f>+'[6]1er Sem coef act'!C39-'[6]1er Sem distribuido'!C39</f>
        <v>#REF!</v>
      </c>
      <c r="D39" s="76" t="e">
        <f>+'[6]1er Sem coef act'!D39-'[6]1er Sem distribuido'!D39</f>
        <v>#REF!</v>
      </c>
      <c r="E39" s="76" t="e">
        <f>+'[6]1er Sem coef act'!E39-'[6]1er Sem distribuido'!E39</f>
        <v>#REF!</v>
      </c>
      <c r="F39" s="76" t="e">
        <f>+'[6]1er Sem coef act'!F39-'[6]1er Sem distribuido'!F39</f>
        <v>#REF!</v>
      </c>
      <c r="G39" s="76" t="e">
        <f>+'[6]1er Sem coef act'!G39-'[6]1er Sem distribuido'!G39</f>
        <v>#REF!</v>
      </c>
      <c r="H39" s="76" t="e">
        <f>+'[6]1er Sem coef act'!H39-'[6]1er Sem distribuido'!H39</f>
        <v>#REF!</v>
      </c>
      <c r="I39" s="76" t="e">
        <f>+'[6]1er Sem coef act'!I39-'[6]1er Sem distribuido'!I39</f>
        <v>#REF!</v>
      </c>
      <c r="J39" s="76" t="e">
        <f>+'[6]1er Sem coef act'!J39-'[6]1er Sem distribuido'!J39</f>
        <v>#REF!</v>
      </c>
      <c r="K39" s="77" t="e">
        <f t="shared" si="0"/>
        <v>#REF!</v>
      </c>
      <c r="M39" s="19" t="s">
        <v>38</v>
      </c>
      <c r="N39" s="76">
        <v>0</v>
      </c>
      <c r="O39" s="76">
        <v>0</v>
      </c>
      <c r="P39" s="76">
        <f>(-613472.165705294/6)</f>
        <v>-102245.36095088233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f>(-398.601917372317/6)</f>
        <v>-66.433652895386174</v>
      </c>
      <c r="W39" s="77">
        <v>-613870.76762266643</v>
      </c>
    </row>
    <row r="40" spans="1:23">
      <c r="A40" s="19" t="s">
        <v>39</v>
      </c>
      <c r="B40" s="76" t="e">
        <f>+'[6]1er Sem coef act'!B40-'[6]1er Sem distribuido'!B40</f>
        <v>#REF!</v>
      </c>
      <c r="C40" s="76" t="e">
        <f>+'[6]1er Sem coef act'!C40-'[6]1er Sem distribuido'!C40</f>
        <v>#REF!</v>
      </c>
      <c r="D40" s="76" t="e">
        <f>+'[6]1er Sem coef act'!D40-'[6]1er Sem distribuido'!D40</f>
        <v>#REF!</v>
      </c>
      <c r="E40" s="76" t="e">
        <f>+'[6]1er Sem coef act'!E40-'[6]1er Sem distribuido'!E40</f>
        <v>#REF!</v>
      </c>
      <c r="F40" s="76" t="e">
        <f>+'[6]1er Sem coef act'!F40-'[6]1er Sem distribuido'!F40</f>
        <v>#REF!</v>
      </c>
      <c r="G40" s="76" t="e">
        <f>+'[6]1er Sem coef act'!G40-'[6]1er Sem distribuido'!G40</f>
        <v>#REF!</v>
      </c>
      <c r="H40" s="76" t="e">
        <f>+'[6]1er Sem coef act'!H40-'[6]1er Sem distribuido'!H40</f>
        <v>#REF!</v>
      </c>
      <c r="I40" s="76" t="e">
        <f>+'[6]1er Sem coef act'!I40-'[6]1er Sem distribuido'!I40</f>
        <v>#REF!</v>
      </c>
      <c r="J40" s="76" t="e">
        <f>+'[6]1er Sem coef act'!J40-'[6]1er Sem distribuido'!J40</f>
        <v>#REF!</v>
      </c>
      <c r="K40" s="77" t="e">
        <f t="shared" si="0"/>
        <v>#REF!</v>
      </c>
      <c r="M40" s="19" t="s">
        <v>39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f>(-361341.98141193/6)</f>
        <v>-60223.663568655</v>
      </c>
      <c r="W40" s="77">
        <v>-361341.98141193017</v>
      </c>
    </row>
    <row r="41" spans="1:23">
      <c r="A41" s="19" t="s">
        <v>40</v>
      </c>
      <c r="B41" s="76" t="e">
        <f>+'[6]1er Sem coef act'!B41-'[6]1er Sem distribuido'!B41</f>
        <v>#REF!</v>
      </c>
      <c r="C41" s="76" t="e">
        <f>+'[6]1er Sem coef act'!C41-'[6]1er Sem distribuido'!C41</f>
        <v>#REF!</v>
      </c>
      <c r="D41" s="76" t="e">
        <f>+'[6]1er Sem coef act'!D41-'[6]1er Sem distribuido'!D41</f>
        <v>#REF!</v>
      </c>
      <c r="E41" s="76" t="e">
        <f>+'[6]1er Sem coef act'!E41-'[6]1er Sem distribuido'!E41</f>
        <v>#REF!</v>
      </c>
      <c r="F41" s="76" t="e">
        <f>+'[6]1er Sem coef act'!F41-'[6]1er Sem distribuido'!F41</f>
        <v>#REF!</v>
      </c>
      <c r="G41" s="76" t="e">
        <f>+'[6]1er Sem coef act'!G41-'[6]1er Sem distribuido'!G41</f>
        <v>#REF!</v>
      </c>
      <c r="H41" s="76" t="e">
        <f>+'[6]1er Sem coef act'!H41-'[6]1er Sem distribuido'!H41</f>
        <v>#REF!</v>
      </c>
      <c r="I41" s="76" t="e">
        <f>+'[6]1er Sem coef act'!I41-'[6]1er Sem distribuido'!I41</f>
        <v>#REF!</v>
      </c>
      <c r="J41" s="76" t="e">
        <f>+'[6]1er Sem coef act'!J41-'[6]1er Sem distribuido'!J41</f>
        <v>#REF!</v>
      </c>
      <c r="K41" s="77" t="e">
        <f t="shared" si="0"/>
        <v>#REF!</v>
      </c>
      <c r="M41" s="19" t="s">
        <v>40</v>
      </c>
      <c r="N41" s="76">
        <v>0</v>
      </c>
      <c r="O41" s="76">
        <v>0</v>
      </c>
      <c r="P41" s="76">
        <f>(-200664.199937313/6)</f>
        <v>-33444.033322885502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f>(-35.4534189197657/6)</f>
        <v>-5.9089031532942835</v>
      </c>
      <c r="W41" s="77">
        <v>-200699.65335623262</v>
      </c>
    </row>
    <row r="42" spans="1:23">
      <c r="A42" s="19" t="s">
        <v>41</v>
      </c>
      <c r="B42" s="76" t="e">
        <f>+'[6]1er Sem coef act'!B42-'[6]1er Sem distribuido'!B42</f>
        <v>#REF!</v>
      </c>
      <c r="C42" s="76" t="e">
        <f>+'[6]1er Sem coef act'!C42-'[6]1er Sem distribuido'!C42</f>
        <v>#REF!</v>
      </c>
      <c r="D42" s="76" t="e">
        <f>+'[6]1er Sem coef act'!D42-'[6]1er Sem distribuido'!D42</f>
        <v>#REF!</v>
      </c>
      <c r="E42" s="76" t="e">
        <f>+'[6]1er Sem coef act'!E42-'[6]1er Sem distribuido'!E42</f>
        <v>#REF!</v>
      </c>
      <c r="F42" s="76" t="e">
        <f>+'[6]1er Sem coef act'!F42-'[6]1er Sem distribuido'!F42</f>
        <v>#REF!</v>
      </c>
      <c r="G42" s="76" t="e">
        <f>+'[6]1er Sem coef act'!G42-'[6]1er Sem distribuido'!G42</f>
        <v>#REF!</v>
      </c>
      <c r="H42" s="76" t="e">
        <f>+'[6]1er Sem coef act'!H42-'[6]1er Sem distribuido'!H42</f>
        <v>#REF!</v>
      </c>
      <c r="I42" s="76" t="e">
        <f>+'[6]1er Sem coef act'!I42-'[6]1er Sem distribuido'!I42</f>
        <v>#REF!</v>
      </c>
      <c r="J42" s="76" t="e">
        <f>+'[6]1er Sem coef act'!J42-'[6]1er Sem distribuido'!J42</f>
        <v>#REF!</v>
      </c>
      <c r="K42" s="77" t="e">
        <f t="shared" si="0"/>
        <v>#REF!</v>
      </c>
      <c r="M42" s="19" t="s">
        <v>41</v>
      </c>
      <c r="N42" s="76">
        <v>0</v>
      </c>
      <c r="O42" s="76">
        <v>0</v>
      </c>
      <c r="P42" s="76">
        <f>(803418.503856068/6)</f>
        <v>133903.08397601134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f>(-5803.60305316513/6)</f>
        <v>-967.26717552752177</v>
      </c>
      <c r="W42" s="77">
        <v>797614.90080290299</v>
      </c>
    </row>
    <row r="43" spans="1:23">
      <c r="A43" s="19" t="s">
        <v>244</v>
      </c>
      <c r="B43" s="76" t="e">
        <f>+'[6]1er Sem coef act'!B43-'[6]1er Sem distribuido'!B43</f>
        <v>#REF!</v>
      </c>
      <c r="C43" s="76" t="e">
        <f>+'[6]1er Sem coef act'!C43-'[6]1er Sem distribuido'!C43</f>
        <v>#REF!</v>
      </c>
      <c r="D43" s="76" t="e">
        <f>+'[6]1er Sem coef act'!D43-'[6]1er Sem distribuido'!D43</f>
        <v>#REF!</v>
      </c>
      <c r="E43" s="76" t="e">
        <f>+'[6]1er Sem coef act'!E43-'[6]1er Sem distribuido'!E43</f>
        <v>#REF!</v>
      </c>
      <c r="F43" s="76" t="e">
        <f>+'[6]1er Sem coef act'!F43-'[6]1er Sem distribuido'!F43</f>
        <v>#REF!</v>
      </c>
      <c r="G43" s="76" t="e">
        <f>+'[6]1er Sem coef act'!G43-'[6]1er Sem distribuido'!G43</f>
        <v>#REF!</v>
      </c>
      <c r="H43" s="76" t="e">
        <f>+'[6]1er Sem coef act'!H43-'[6]1er Sem distribuido'!H43</f>
        <v>#REF!</v>
      </c>
      <c r="I43" s="76" t="e">
        <f>+'[6]1er Sem coef act'!I43-'[6]1er Sem distribuido'!I43</f>
        <v>#REF!</v>
      </c>
      <c r="J43" s="76" t="e">
        <f>+'[6]1er Sem coef act'!J43-'[6]1er Sem distribuido'!J43</f>
        <v>#REF!</v>
      </c>
      <c r="K43" s="77" t="e">
        <f t="shared" si="0"/>
        <v>#REF!</v>
      </c>
      <c r="M43" s="19" t="s">
        <v>244</v>
      </c>
      <c r="N43" s="76">
        <v>0</v>
      </c>
      <c r="O43" s="76">
        <v>0</v>
      </c>
      <c r="P43" s="76">
        <f>(2509002.63194255/6)</f>
        <v>418167.10532375838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f>(873.098942033044/6)</f>
        <v>145.51649033884067</v>
      </c>
      <c r="W43" s="77">
        <v>2509875.7308845874</v>
      </c>
    </row>
    <row r="44" spans="1:23">
      <c r="A44" s="19" t="s">
        <v>43</v>
      </c>
      <c r="B44" s="76" t="e">
        <f>+'[6]1er Sem coef act'!B44-'[6]1er Sem distribuido'!B44</f>
        <v>#REF!</v>
      </c>
      <c r="C44" s="76" t="e">
        <f>+'[6]1er Sem coef act'!C44-'[6]1er Sem distribuido'!C44</f>
        <v>#REF!</v>
      </c>
      <c r="D44" s="76" t="e">
        <f>+'[6]1er Sem coef act'!D44-'[6]1er Sem distribuido'!D44</f>
        <v>#REF!</v>
      </c>
      <c r="E44" s="76" t="e">
        <f>+'[6]1er Sem coef act'!E44-'[6]1er Sem distribuido'!E44</f>
        <v>#REF!</v>
      </c>
      <c r="F44" s="76" t="e">
        <f>+'[6]1er Sem coef act'!F44-'[6]1er Sem distribuido'!F44</f>
        <v>#REF!</v>
      </c>
      <c r="G44" s="76" t="e">
        <f>+'[6]1er Sem coef act'!G44-'[6]1er Sem distribuido'!G44</f>
        <v>#REF!</v>
      </c>
      <c r="H44" s="76" t="e">
        <f>+'[6]1er Sem coef act'!H44-'[6]1er Sem distribuido'!H44</f>
        <v>#REF!</v>
      </c>
      <c r="I44" s="76" t="e">
        <f>+'[6]1er Sem coef act'!I44-'[6]1er Sem distribuido'!I44</f>
        <v>#REF!</v>
      </c>
      <c r="J44" s="76" t="e">
        <f>+'[6]1er Sem coef act'!J44-'[6]1er Sem distribuido'!J44</f>
        <v>#REF!</v>
      </c>
      <c r="K44" s="77" t="e">
        <f t="shared" si="0"/>
        <v>#REF!</v>
      </c>
      <c r="M44" s="19" t="s">
        <v>43</v>
      </c>
      <c r="N44" s="76">
        <v>0</v>
      </c>
      <c r="O44" s="76">
        <v>0</v>
      </c>
      <c r="P44" s="76">
        <f>(-1901827.09729713/6)</f>
        <v>-316971.18288285501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f>(-137.213281752411/6)</f>
        <v>-22.8688802920685</v>
      </c>
      <c r="W44" s="77">
        <v>-1901964.3105788801</v>
      </c>
    </row>
    <row r="45" spans="1:23">
      <c r="A45" s="19" t="s">
        <v>44</v>
      </c>
      <c r="B45" s="76" t="e">
        <f>+'[6]1er Sem coef act'!B45-'[6]1er Sem distribuido'!B45</f>
        <v>#REF!</v>
      </c>
      <c r="C45" s="76" t="e">
        <f>+'[6]1er Sem coef act'!C45-'[6]1er Sem distribuido'!C45</f>
        <v>#REF!</v>
      </c>
      <c r="D45" s="76" t="e">
        <f>+'[6]1er Sem coef act'!D45-'[6]1er Sem distribuido'!D45</f>
        <v>#REF!</v>
      </c>
      <c r="E45" s="76" t="e">
        <f>+'[6]1er Sem coef act'!E45-'[6]1er Sem distribuido'!E45</f>
        <v>#REF!</v>
      </c>
      <c r="F45" s="76" t="e">
        <f>+'[6]1er Sem coef act'!F45-'[6]1er Sem distribuido'!F45</f>
        <v>#REF!</v>
      </c>
      <c r="G45" s="76" t="e">
        <f>+'[6]1er Sem coef act'!G45-'[6]1er Sem distribuido'!G45</f>
        <v>#REF!</v>
      </c>
      <c r="H45" s="76" t="e">
        <f>+'[6]1er Sem coef act'!H45-'[6]1er Sem distribuido'!H45</f>
        <v>#REF!</v>
      </c>
      <c r="I45" s="76" t="e">
        <f>+'[6]1er Sem coef act'!I45-'[6]1er Sem distribuido'!I45</f>
        <v>#REF!</v>
      </c>
      <c r="J45" s="76" t="e">
        <f>+'[6]1er Sem coef act'!J45-'[6]1er Sem distribuido'!J45</f>
        <v>#REF!</v>
      </c>
      <c r="K45" s="77" t="e">
        <f t="shared" si="0"/>
        <v>#REF!</v>
      </c>
      <c r="M45" s="19" t="s">
        <v>44</v>
      </c>
      <c r="N45" s="76">
        <v>0</v>
      </c>
      <c r="O45" s="76">
        <v>0</v>
      </c>
      <c r="P45" s="76">
        <f>(2322730.41948619/6)</f>
        <v>387121.7365810317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f>(18980.0151635638/6)</f>
        <v>3163.3358605939666</v>
      </c>
      <c r="W45" s="77">
        <v>2341710.4346497571</v>
      </c>
    </row>
    <row r="46" spans="1:23">
      <c r="A46" s="19" t="s">
        <v>45</v>
      </c>
      <c r="B46" s="76" t="e">
        <f>+'[6]1er Sem coef act'!B46-'[6]1er Sem distribuido'!B46</f>
        <v>#REF!</v>
      </c>
      <c r="C46" s="76" t="e">
        <f>+'[6]1er Sem coef act'!C46-'[6]1er Sem distribuido'!C46</f>
        <v>#REF!</v>
      </c>
      <c r="D46" s="76" t="e">
        <f>+'[6]1er Sem coef act'!D46-'[6]1er Sem distribuido'!D46</f>
        <v>#REF!</v>
      </c>
      <c r="E46" s="76" t="e">
        <f>+'[6]1er Sem coef act'!E46-'[6]1er Sem distribuido'!E46</f>
        <v>#REF!</v>
      </c>
      <c r="F46" s="76" t="e">
        <f>+'[6]1er Sem coef act'!F46-'[6]1er Sem distribuido'!F46</f>
        <v>#REF!</v>
      </c>
      <c r="G46" s="76" t="e">
        <f>+'[6]1er Sem coef act'!G46-'[6]1er Sem distribuido'!G46</f>
        <v>#REF!</v>
      </c>
      <c r="H46" s="76" t="e">
        <f>+'[6]1er Sem coef act'!H46-'[6]1er Sem distribuido'!H46</f>
        <v>#REF!</v>
      </c>
      <c r="I46" s="76" t="e">
        <f>+'[6]1er Sem coef act'!I46-'[6]1er Sem distribuido'!I46</f>
        <v>#REF!</v>
      </c>
      <c r="J46" s="76" t="e">
        <f>+'[6]1er Sem coef act'!J46-'[6]1er Sem distribuido'!J46</f>
        <v>#REF!</v>
      </c>
      <c r="K46" s="77" t="e">
        <f t="shared" si="0"/>
        <v>#REF!</v>
      </c>
      <c r="M46" s="19" t="s">
        <v>45</v>
      </c>
      <c r="N46" s="76">
        <v>0</v>
      </c>
      <c r="O46" s="76">
        <v>0</v>
      </c>
      <c r="P46" s="76">
        <f>(491765.908426725/6)</f>
        <v>81960.984737787498</v>
      </c>
      <c r="Q46" s="76">
        <v>0</v>
      </c>
      <c r="R46" s="76">
        <v>0</v>
      </c>
      <c r="S46" s="76">
        <v>0</v>
      </c>
      <c r="T46" s="76">
        <v>0</v>
      </c>
      <c r="U46" s="76">
        <v>0</v>
      </c>
      <c r="V46" s="76">
        <f>(1297.68732325243/6)</f>
        <v>216.28122054207165</v>
      </c>
      <c r="W46" s="77">
        <v>493063.59574997704</v>
      </c>
    </row>
    <row r="47" spans="1:23">
      <c r="A47" s="19" t="s">
        <v>46</v>
      </c>
      <c r="B47" s="76" t="e">
        <f>+'[6]1er Sem coef act'!B47-'[6]1er Sem distribuido'!B47</f>
        <v>#REF!</v>
      </c>
      <c r="C47" s="76" t="e">
        <f>+'[6]1er Sem coef act'!C47-'[6]1er Sem distribuido'!C47</f>
        <v>#REF!</v>
      </c>
      <c r="D47" s="76" t="e">
        <f>+'[6]1er Sem coef act'!D47-'[6]1er Sem distribuido'!D47</f>
        <v>#REF!</v>
      </c>
      <c r="E47" s="76" t="e">
        <f>+'[6]1er Sem coef act'!E47-'[6]1er Sem distribuido'!E47</f>
        <v>#REF!</v>
      </c>
      <c r="F47" s="76" t="e">
        <f>+'[6]1er Sem coef act'!F47-'[6]1er Sem distribuido'!F47</f>
        <v>#REF!</v>
      </c>
      <c r="G47" s="76" t="e">
        <f>+'[6]1er Sem coef act'!G47-'[6]1er Sem distribuido'!G47</f>
        <v>#REF!</v>
      </c>
      <c r="H47" s="76" t="e">
        <f>+'[6]1er Sem coef act'!H47-'[6]1er Sem distribuido'!H47</f>
        <v>#REF!</v>
      </c>
      <c r="I47" s="76" t="e">
        <f>+'[6]1er Sem coef act'!I47-'[6]1er Sem distribuido'!I47</f>
        <v>#REF!</v>
      </c>
      <c r="J47" s="76" t="e">
        <f>+'[6]1er Sem coef act'!J47-'[6]1er Sem distribuido'!J47</f>
        <v>#REF!</v>
      </c>
      <c r="K47" s="77" t="e">
        <f t="shared" si="0"/>
        <v>#REF!</v>
      </c>
      <c r="M47" s="19" t="s">
        <v>46</v>
      </c>
      <c r="N47" s="76">
        <v>0</v>
      </c>
      <c r="O47" s="76">
        <v>0</v>
      </c>
      <c r="P47" s="76">
        <f>(-966795.817821407/6)</f>
        <v>-161132.63630356782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f>(-84719.1065289183/6)</f>
        <v>-14119.851088153051</v>
      </c>
      <c r="W47" s="77">
        <v>-1051514.924350325</v>
      </c>
    </row>
    <row r="48" spans="1:23">
      <c r="A48" s="19" t="s">
        <v>47</v>
      </c>
      <c r="B48" s="76" t="e">
        <f>+'[6]1er Sem coef act'!B48-'[6]1er Sem distribuido'!B48</f>
        <v>#REF!</v>
      </c>
      <c r="C48" s="76" t="e">
        <f>+'[6]1er Sem coef act'!C48-'[6]1er Sem distribuido'!C48</f>
        <v>#REF!</v>
      </c>
      <c r="D48" s="76" t="e">
        <f>+'[6]1er Sem coef act'!D48-'[6]1er Sem distribuido'!D48</f>
        <v>#REF!</v>
      </c>
      <c r="E48" s="76" t="e">
        <f>+'[6]1er Sem coef act'!E48-'[6]1er Sem distribuido'!E48</f>
        <v>#REF!</v>
      </c>
      <c r="F48" s="76" t="e">
        <f>+'[6]1er Sem coef act'!F48-'[6]1er Sem distribuido'!F48</f>
        <v>#REF!</v>
      </c>
      <c r="G48" s="76" t="e">
        <f>+'[6]1er Sem coef act'!G48-'[6]1er Sem distribuido'!G48</f>
        <v>#REF!</v>
      </c>
      <c r="H48" s="76" t="e">
        <f>+'[6]1er Sem coef act'!H48-'[6]1er Sem distribuido'!H48</f>
        <v>#REF!</v>
      </c>
      <c r="I48" s="76" t="e">
        <f>+'[6]1er Sem coef act'!I48-'[6]1er Sem distribuido'!I48</f>
        <v>#REF!</v>
      </c>
      <c r="J48" s="76" t="e">
        <f>+'[6]1er Sem coef act'!J48-'[6]1er Sem distribuido'!J48</f>
        <v>#REF!</v>
      </c>
      <c r="K48" s="77" t="e">
        <f t="shared" si="0"/>
        <v>#REF!</v>
      </c>
      <c r="M48" s="19" t="s">
        <v>47</v>
      </c>
      <c r="N48" s="76">
        <v>0</v>
      </c>
      <c r="O48" s="76">
        <v>0</v>
      </c>
      <c r="P48" s="76">
        <f>(-1175041.61003996/6)</f>
        <v>-195840.26833999332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f>(-143570.494921874/6)</f>
        <v>-23928.415820312333</v>
      </c>
      <c r="W48" s="77">
        <v>-1318612.1049618311</v>
      </c>
    </row>
    <row r="49" spans="1:23">
      <c r="A49" s="19" t="s">
        <v>48</v>
      </c>
      <c r="B49" s="76" t="e">
        <f>+'[6]1er Sem coef act'!B49-'[6]1er Sem distribuido'!B49</f>
        <v>#REF!</v>
      </c>
      <c r="C49" s="76" t="e">
        <f>+'[6]1er Sem coef act'!C49-'[6]1er Sem distribuido'!C49</f>
        <v>#REF!</v>
      </c>
      <c r="D49" s="76" t="e">
        <f>+'[6]1er Sem coef act'!D49-'[6]1er Sem distribuido'!D49</f>
        <v>#REF!</v>
      </c>
      <c r="E49" s="76" t="e">
        <f>+'[6]1er Sem coef act'!E49-'[6]1er Sem distribuido'!E49</f>
        <v>#REF!</v>
      </c>
      <c r="F49" s="76" t="e">
        <f>+'[6]1er Sem coef act'!F49-'[6]1er Sem distribuido'!F49</f>
        <v>#REF!</v>
      </c>
      <c r="G49" s="76" t="e">
        <f>+'[6]1er Sem coef act'!G49-'[6]1er Sem distribuido'!G49</f>
        <v>#REF!</v>
      </c>
      <c r="H49" s="76" t="e">
        <f>+'[6]1er Sem coef act'!H49-'[6]1er Sem distribuido'!H49</f>
        <v>#REF!</v>
      </c>
      <c r="I49" s="76" t="e">
        <f>+'[6]1er Sem coef act'!I49-'[6]1er Sem distribuido'!I49</f>
        <v>#REF!</v>
      </c>
      <c r="J49" s="76" t="e">
        <f>+'[6]1er Sem coef act'!J49-'[6]1er Sem distribuido'!J49</f>
        <v>#REF!</v>
      </c>
      <c r="K49" s="77" t="e">
        <f t="shared" si="0"/>
        <v>#REF!</v>
      </c>
      <c r="M49" s="19" t="s">
        <v>48</v>
      </c>
      <c r="N49" s="76">
        <v>0</v>
      </c>
      <c r="O49" s="76">
        <v>0</v>
      </c>
      <c r="P49" s="76">
        <f>(63467.0501398183/6)</f>
        <v>10577.841689969717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f>(33455.106748864/6)</f>
        <v>5575.8511248106661</v>
      </c>
      <c r="W49" s="77">
        <v>96922.156888682395</v>
      </c>
    </row>
    <row r="50" spans="1:23">
      <c r="A50" s="19" t="s">
        <v>49</v>
      </c>
      <c r="B50" s="76" t="e">
        <f>+'[6]1er Sem coef act'!B50-'[6]1er Sem distribuido'!B50</f>
        <v>#REF!</v>
      </c>
      <c r="C50" s="76" t="e">
        <f>+'[6]1er Sem coef act'!C50-'[6]1er Sem distribuido'!C50</f>
        <v>#REF!</v>
      </c>
      <c r="D50" s="76" t="e">
        <f>+'[6]1er Sem coef act'!D50-'[6]1er Sem distribuido'!D50</f>
        <v>#REF!</v>
      </c>
      <c r="E50" s="76" t="e">
        <f>+'[6]1er Sem coef act'!E50-'[6]1er Sem distribuido'!E50</f>
        <v>#REF!</v>
      </c>
      <c r="F50" s="76" t="e">
        <f>+'[6]1er Sem coef act'!F50-'[6]1er Sem distribuido'!F50</f>
        <v>#REF!</v>
      </c>
      <c r="G50" s="76" t="e">
        <f>+'[6]1er Sem coef act'!G50-'[6]1er Sem distribuido'!G50</f>
        <v>#REF!</v>
      </c>
      <c r="H50" s="76" t="e">
        <f>+'[6]1er Sem coef act'!H50-'[6]1er Sem distribuido'!H50</f>
        <v>#REF!</v>
      </c>
      <c r="I50" s="76" t="e">
        <f>+'[6]1er Sem coef act'!I50-'[6]1er Sem distribuido'!I50</f>
        <v>#REF!</v>
      </c>
      <c r="J50" s="76" t="e">
        <f>+'[6]1er Sem coef act'!J50-'[6]1er Sem distribuido'!J50</f>
        <v>#REF!</v>
      </c>
      <c r="K50" s="77" t="e">
        <f t="shared" si="0"/>
        <v>#REF!</v>
      </c>
      <c r="M50" s="19" t="s">
        <v>49</v>
      </c>
      <c r="N50" s="76">
        <v>1.1175870895385742E-7</v>
      </c>
      <c r="O50" s="76">
        <v>1.4901161193847656E-8</v>
      </c>
      <c r="P50" s="76">
        <f>(159662.222888435/6)</f>
        <v>26610.370481405833</v>
      </c>
      <c r="Q50" s="76">
        <v>3.0267983675003052E-9</v>
      </c>
      <c r="R50" s="76">
        <v>5.5879354476928711E-9</v>
      </c>
      <c r="S50" s="76">
        <v>2.9103830456733704E-10</v>
      </c>
      <c r="T50" s="76">
        <v>2.6775524020195007E-9</v>
      </c>
      <c r="U50" s="76">
        <v>6.6938810050487518E-10</v>
      </c>
      <c r="V50" s="76">
        <f>(63420.2308577394/6)</f>
        <v>10570.038476289899</v>
      </c>
      <c r="W50" s="77">
        <v>223082.45374631314</v>
      </c>
    </row>
    <row r="51" spans="1:23">
      <c r="A51" s="19" t="s">
        <v>50</v>
      </c>
      <c r="B51" s="76" t="e">
        <f>+'[6]1er Sem coef act'!B51-'[6]1er Sem distribuido'!B51</f>
        <v>#REF!</v>
      </c>
      <c r="C51" s="76" t="e">
        <f>+'[6]1er Sem coef act'!C51-'[6]1er Sem distribuido'!C51</f>
        <v>#REF!</v>
      </c>
      <c r="D51" s="76" t="e">
        <f>+'[6]1er Sem coef act'!D51-'[6]1er Sem distribuido'!D51</f>
        <v>#REF!</v>
      </c>
      <c r="E51" s="76" t="e">
        <f>+'[6]1er Sem coef act'!E51-'[6]1er Sem distribuido'!E51</f>
        <v>#REF!</v>
      </c>
      <c r="F51" s="76" t="e">
        <f>+'[6]1er Sem coef act'!F51-'[6]1er Sem distribuido'!F51</f>
        <v>#REF!</v>
      </c>
      <c r="G51" s="76" t="e">
        <f>+'[6]1er Sem coef act'!G51-'[6]1er Sem distribuido'!G51</f>
        <v>#REF!</v>
      </c>
      <c r="H51" s="76" t="e">
        <f>+'[6]1er Sem coef act'!H51-'[6]1er Sem distribuido'!H51</f>
        <v>#REF!</v>
      </c>
      <c r="I51" s="76" t="e">
        <f>+'[6]1er Sem coef act'!I51-'[6]1er Sem distribuido'!I51</f>
        <v>#REF!</v>
      </c>
      <c r="J51" s="76" t="e">
        <f>+'[6]1er Sem coef act'!J51-'[6]1er Sem distribuido'!J51</f>
        <v>#REF!</v>
      </c>
      <c r="K51" s="77" t="e">
        <f t="shared" si="0"/>
        <v>#REF!</v>
      </c>
      <c r="M51" s="19" t="s">
        <v>50</v>
      </c>
      <c r="N51" s="76">
        <v>0</v>
      </c>
      <c r="O51" s="76">
        <v>0</v>
      </c>
      <c r="P51" s="76">
        <f>(1307488.81273855/6)</f>
        <v>217914.80212309165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f>(381.824477292466/6)</f>
        <v>63.637412882077662</v>
      </c>
      <c r="W51" s="77">
        <v>1307870.6372158432</v>
      </c>
    </row>
    <row r="52" spans="1:23" ht="13.5" thickBot="1">
      <c r="A52" s="19" t="s">
        <v>51</v>
      </c>
      <c r="B52" s="76" t="e">
        <f>+'[6]1er Sem coef act'!B52-'[6]1er Sem distribuido'!B52</f>
        <v>#REF!</v>
      </c>
      <c r="C52" s="76" t="e">
        <f>+'[6]1er Sem coef act'!C52-'[6]1er Sem distribuido'!C52</f>
        <v>#REF!</v>
      </c>
      <c r="D52" s="76" t="e">
        <f>+'[6]1er Sem coef act'!D52-'[6]1er Sem distribuido'!D52</f>
        <v>#REF!</v>
      </c>
      <c r="E52" s="76" t="e">
        <f>+'[6]1er Sem coef act'!E52-'[6]1er Sem distribuido'!E52</f>
        <v>#REF!</v>
      </c>
      <c r="F52" s="76" t="e">
        <f>+'[6]1er Sem coef act'!F52-'[6]1er Sem distribuido'!F52</f>
        <v>#REF!</v>
      </c>
      <c r="G52" s="76" t="e">
        <f>+'[6]1er Sem coef act'!G52-'[6]1er Sem distribuido'!G52</f>
        <v>#REF!</v>
      </c>
      <c r="H52" s="76" t="e">
        <f>+'[6]1er Sem coef act'!H52-'[6]1er Sem distribuido'!H52</f>
        <v>#REF!</v>
      </c>
      <c r="I52" s="76" t="e">
        <f>+'[6]1er Sem coef act'!I52-'[6]1er Sem distribuido'!I52</f>
        <v>#REF!</v>
      </c>
      <c r="J52" s="76" t="e">
        <f>+'[6]1er Sem coef act'!J52-'[6]1er Sem distribuido'!J52</f>
        <v>#REF!</v>
      </c>
      <c r="K52" s="77" t="e">
        <f t="shared" si="0"/>
        <v>#REF!</v>
      </c>
      <c r="M52" s="19" t="s">
        <v>51</v>
      </c>
      <c r="N52" s="76">
        <v>0</v>
      </c>
      <c r="O52" s="76">
        <v>0</v>
      </c>
      <c r="P52" s="76">
        <f>(1582041.2921192/6)</f>
        <v>263673.54868653335</v>
      </c>
      <c r="Q52" s="76">
        <v>0</v>
      </c>
      <c r="R52" s="76">
        <v>0</v>
      </c>
      <c r="S52" s="76">
        <v>0</v>
      </c>
      <c r="T52" s="76">
        <v>0</v>
      </c>
      <c r="U52" s="76">
        <v>0</v>
      </c>
      <c r="V52" s="76">
        <f>(438.447852033176/6)</f>
        <v>73.074642005529327</v>
      </c>
      <c r="W52" s="77">
        <v>1582479.7399712307</v>
      </c>
    </row>
    <row r="53" spans="1:23" ht="14.25" thickTop="1" thickBot="1">
      <c r="A53" s="20" t="s">
        <v>52</v>
      </c>
      <c r="B53" s="78" t="e">
        <f t="shared" ref="B53:E53" si="1">SUM(B2:B52)</f>
        <v>#REF!</v>
      </c>
      <c r="C53" s="78" t="e">
        <f t="shared" si="1"/>
        <v>#REF!</v>
      </c>
      <c r="D53" s="78" t="e">
        <f t="shared" si="1"/>
        <v>#REF!</v>
      </c>
      <c r="E53" s="78" t="e">
        <f t="shared" si="1"/>
        <v>#REF!</v>
      </c>
      <c r="F53" s="78" t="e">
        <f>SUM(F2:F52)</f>
        <v>#REF!</v>
      </c>
      <c r="G53" s="78" t="e">
        <f t="shared" ref="G53:K53" si="2">SUM(G2:G52)</f>
        <v>#REF!</v>
      </c>
      <c r="H53" s="78" t="e">
        <f t="shared" si="2"/>
        <v>#REF!</v>
      </c>
      <c r="I53" s="78" t="e">
        <f t="shared" si="2"/>
        <v>#REF!</v>
      </c>
      <c r="J53" s="78" t="e">
        <f t="shared" si="2"/>
        <v>#REF!</v>
      </c>
      <c r="K53" s="79" t="e">
        <f t="shared" si="2"/>
        <v>#REF!</v>
      </c>
      <c r="M53" s="20" t="s">
        <v>52</v>
      </c>
      <c r="N53" s="78">
        <f t="shared" ref="N53:Q53" si="3">SUM(N2:N52)</f>
        <v>6.4820051193237305E-7</v>
      </c>
      <c r="O53" s="78">
        <f t="shared" si="3"/>
        <v>9.9185854196548462E-8</v>
      </c>
      <c r="P53" s="78">
        <f t="shared" si="3"/>
        <v>-6.8685039877891541E-9</v>
      </c>
      <c r="Q53" s="78">
        <f t="shared" si="3"/>
        <v>2.380693331360817E-8</v>
      </c>
      <c r="R53" s="78">
        <f>SUM(R2:R52)</f>
        <v>3.5041011869907379E-8</v>
      </c>
      <c r="S53" s="78">
        <f t="shared" ref="S53:W53" si="4">SUM(S2:S52)</f>
        <v>1.8480932340025902E-9</v>
      </c>
      <c r="T53" s="78">
        <f t="shared" si="4"/>
        <v>1.5978002920746803E-8</v>
      </c>
      <c r="U53" s="78">
        <f t="shared" si="4"/>
        <v>4.1036400943994522E-9</v>
      </c>
      <c r="V53" s="78">
        <f t="shared" si="4"/>
        <v>1.697671336842177E-9</v>
      </c>
      <c r="W53" s="79">
        <f t="shared" si="4"/>
        <v>8.0349855124950409E-7</v>
      </c>
    </row>
    <row r="54" spans="1:23" ht="13.5" thickTop="1"/>
  </sheetData>
  <printOptions horizontalCentered="1"/>
  <pageMargins left="0.39370078740157483" right="0.39370078740157483" top="0.74803149606299213" bottom="0.15748031496062992" header="0.15748031496062992" footer="0.15748031496062992"/>
  <pageSetup scale="75" orientation="landscape" r:id="rId1"/>
  <headerFooter alignWithMargins="0">
    <oddHeader>&amp;LAnexo IV&amp;C
DIFERENCIAS DE PARTICIPACIONES CALCULADAS EN EL PRIMER SEMESTRE
CON EL COEFICIENTE PRELIMINAR Vs PARTICIPACIONES CALCULADAS DEL PRIMER SEMESTRE CON EL COEFICIENTE ACUTALIZADO 
SALDOS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PART MES</vt:lpstr>
      <vt:lpstr>DIST MES NOVIEMBRE</vt:lpstr>
      <vt:lpstr>CENSO POB 2020</vt:lpstr>
      <vt:lpstr>COEF Art 14 F I</vt:lpstr>
      <vt:lpstr>TERRITORIO INEGI 2021</vt:lpstr>
      <vt:lpstr>PART PEF2021</vt:lpstr>
      <vt:lpstr>CALCULO GARANTIA</vt:lpstr>
      <vt:lpstr>COEF Art 14 F II</vt:lpstr>
      <vt:lpstr>Art.14 Frac.III</vt:lpstr>
      <vt:lpstr>ISAI</vt:lpstr>
      <vt:lpstr>ISR NOVIEMBRE </vt:lpstr>
      <vt:lpstr>Ajuste 1er Sem</vt:lpstr>
      <vt:lpstr>Ajuste Semestral </vt:lpstr>
      <vt:lpstr>'Ajuste 1er Sem'!Área_de_impresión</vt:lpstr>
      <vt:lpstr>'Ajuste Semestral '!Área_de_impresión</vt:lpstr>
      <vt:lpstr>'Art.14 Frac.III'!Área_de_impresión</vt:lpstr>
      <vt:lpstr>'CALCULO GARANTIA'!Área_de_impresión</vt:lpstr>
      <vt:lpstr>'COEF Art 14 F I'!Área_de_impresión</vt:lpstr>
      <vt:lpstr>'COEF Art 14 F II'!Área_de_impresión</vt:lpstr>
      <vt:lpstr>'DIST MES NOVIEMBRE'!Área_de_impresión</vt:lpstr>
      <vt:lpstr>ISAI!Área_de_impresión</vt:lpstr>
      <vt:lpstr>'PART MES'!Área_de_impresión</vt:lpstr>
      <vt:lpstr>'PART PEF2021'!Área_de_impresión</vt:lpstr>
      <vt:lpstr>'Ajuste 1er Sem'!Títulos_a_imprimir</vt:lpstr>
      <vt:lpstr>'COEF Art 14 F I'!Títulos_a_imprimir</vt:lpstr>
      <vt:lpstr>'DIST MES NOVIEMBRE'!Títulos_a_imprimir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Oswaldo Calzada Alba</cp:lastModifiedBy>
  <cp:lastPrinted>2021-07-07T18:40:58Z</cp:lastPrinted>
  <dcterms:created xsi:type="dcterms:W3CDTF">2009-12-17T23:31:03Z</dcterms:created>
  <dcterms:modified xsi:type="dcterms:W3CDTF">2021-12-03T17:28:41Z</dcterms:modified>
</cp:coreProperties>
</file>