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PARTICIPACIONES FEDERALES\AGOSTO\"/>
    </mc:Choice>
  </mc:AlternateContent>
  <bookViews>
    <workbookView xWindow="0" yWindow="0" windowWidth="28800" windowHeight="12435" activeTab="1"/>
  </bookViews>
  <sheets>
    <sheet name="PART MES" sheetId="41" r:id="rId1"/>
    <sheet name="DIST AGOSTO" sheetId="46" r:id="rId2"/>
    <sheet name="COEF Art 14 F I " sheetId="63" r:id="rId3"/>
    <sheet name="CALCULO GARANTIA" sheetId="61" r:id="rId4"/>
    <sheet name="PART PEF2022 " sheetId="62" r:id="rId5"/>
    <sheet name="COEF Art 14 F II ieps" sheetId="65" r:id="rId6"/>
    <sheet name="Art.14 Frac.III " sheetId="55" r:id="rId7"/>
    <sheet name="ISR agosto " sheetId="54" r:id="rId8"/>
    <sheet name="ISAI" sheetId="47" r:id="rId9"/>
    <sheet name="AJUSTE" sheetId="6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AJUSTE!#REF!</definedName>
    <definedName name="_xlnm._FilterDatabase" localSheetId="1" hidden="1">'DIST AGOSTO'!#REF!</definedName>
    <definedName name="_xlchart.v5.0" hidden="1">#REF!</definedName>
    <definedName name="_xlchart.v5.1" hidden="1">#REF!</definedName>
    <definedName name="_xlchart.v5.2" hidden="1">#REF!</definedName>
    <definedName name="_xlchart.v5.3" hidden="1">#REF!</definedName>
    <definedName name="A_impresión_IM" localSheetId="9">#REF!</definedName>
    <definedName name="A_impresión_IM" localSheetId="6">#REF!</definedName>
    <definedName name="A_impresión_IM" localSheetId="3">#REF!</definedName>
    <definedName name="A_impresión_IM" localSheetId="2">#REF!</definedName>
    <definedName name="A_impresión_IM" localSheetId="5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9">#REF!</definedName>
    <definedName name="abril" localSheetId="6">#REF!</definedName>
    <definedName name="abril" localSheetId="5">#REF!</definedName>
    <definedName name="abril">#REF!</definedName>
    <definedName name="AJUSTES" localSheetId="9" hidden="1">{"'beneficiarios'!$A$1:$C$7"}</definedName>
    <definedName name="AJUSTES" localSheetId="6" hidden="1">{"'beneficiarios'!$A$1:$C$7"}</definedName>
    <definedName name="AJUSTES" localSheetId="3" hidden="1">{"'beneficiarios'!$A$1:$C$7"}</definedName>
    <definedName name="AJUSTES" localSheetId="2" hidden="1">{"'beneficiarios'!$A$1:$C$7"}</definedName>
    <definedName name="AJUSTES" localSheetId="5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9">AJUSTE!$A$2:$K$58</definedName>
    <definedName name="_xlnm.Print_Area" localSheetId="6">'Art.14 Frac.III '!$L$1:$Q$56</definedName>
    <definedName name="_xlnm.Print_Area" localSheetId="3">'CALCULO GARANTIA'!$A$1:$T$60</definedName>
    <definedName name="_xlnm.Print_Area" localSheetId="2">'COEF Art 14 F I '!$B$3:$AF$60</definedName>
    <definedName name="_xlnm.Print_Area" localSheetId="5">'COEF Art 14 F II ieps'!$A$3:$L$63</definedName>
    <definedName name="_xlnm.Print_Area" localSheetId="1">'DIST AGOSTO'!$A$1:$M$60</definedName>
    <definedName name="_xlnm.Print_Area" localSheetId="8">ISAI!$A$1:$D$55</definedName>
    <definedName name="_xlnm.Print_Area" localSheetId="0">'PART MES'!$A$1:$E$17</definedName>
    <definedName name="_xlnm.Print_Area" localSheetId="4">'PART PEF2022 '!$A$1:$F$15</definedName>
    <definedName name="_xlnm.Database" localSheetId="9">#REF!</definedName>
    <definedName name="_xlnm.Database" localSheetId="6">#REF!</definedName>
    <definedName name="_xlnm.Database" localSheetId="3">#REF!</definedName>
    <definedName name="_xlnm.Database" localSheetId="2">#REF!</definedName>
    <definedName name="_xlnm.Database" localSheetId="5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9">'[1]deuda c sadm'!#REF!</definedName>
    <definedName name="cierre_2001" localSheetId="6">'[1]deuda c sadm'!#REF!</definedName>
    <definedName name="cierre_2001" localSheetId="3">'[1]deuda c sadm'!#REF!</definedName>
    <definedName name="cierre_2001" localSheetId="2">'[1]deuda c sadm'!#REF!</definedName>
    <definedName name="cierre_2001" localSheetId="5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9">'[1]deuda c sadm'!#REF!</definedName>
    <definedName name="deuda" localSheetId="6">'[1]deuda c sadm'!#REF!</definedName>
    <definedName name="deuda" localSheetId="3">'[1]deuda c sadm'!#REF!</definedName>
    <definedName name="deuda" localSheetId="2">'[1]deuda c sadm'!#REF!</definedName>
    <definedName name="deuda" localSheetId="5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9">'[1]deuda c sadm'!#REF!</definedName>
    <definedName name="Deuda_ingTot" localSheetId="6">'[1]deuda c sadm'!#REF!</definedName>
    <definedName name="Deuda_ingTot" localSheetId="3">'[1]deuda c sadm'!#REF!</definedName>
    <definedName name="Deuda_ingTot" localSheetId="2">'[1]deuda c sadm'!#REF!</definedName>
    <definedName name="Deuda_ingTot" localSheetId="5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9">#REF!</definedName>
    <definedName name="ENERO" localSheetId="6">#REF!</definedName>
    <definedName name="ENERO" localSheetId="3">#REF!</definedName>
    <definedName name="ENERO" localSheetId="2">#REF!</definedName>
    <definedName name="ENERO" localSheetId="5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9">#REF!</definedName>
    <definedName name="ENEROAJUSTE" localSheetId="6">#REF!</definedName>
    <definedName name="ENEROAJUSTE" localSheetId="3">#REF!</definedName>
    <definedName name="ENEROAJUSTE" localSheetId="2">#REF!</definedName>
    <definedName name="ENEROAJUSTE" localSheetId="5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9">#REF!</definedName>
    <definedName name="Estado1" localSheetId="6">#REF!</definedName>
    <definedName name="Estado1" localSheetId="3">#REF!</definedName>
    <definedName name="Estado1" localSheetId="2">#REF!</definedName>
    <definedName name="Estado1" localSheetId="5">#REF!</definedName>
    <definedName name="Estado1" localSheetId="1">#REF!</definedName>
    <definedName name="Estado1" localSheetId="4">#REF!</definedName>
    <definedName name="Estado1">#REF!</definedName>
    <definedName name="Fto_1" localSheetId="9">#REF!</definedName>
    <definedName name="Fto_1" localSheetId="6">#REF!</definedName>
    <definedName name="Fto_1" localSheetId="3">#REF!</definedName>
    <definedName name="Fto_1" localSheetId="2">#REF!</definedName>
    <definedName name="Fto_1" localSheetId="5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9" hidden="1">{"'beneficiarios'!$A$1:$C$7"}</definedName>
    <definedName name="HTML_Control" localSheetId="6" hidden="1">{"'beneficiarios'!$A$1:$C$7"}</definedName>
    <definedName name="HTML_Control" localSheetId="3" hidden="1">{"'beneficiarios'!$A$1:$C$7"}</definedName>
    <definedName name="HTML_Control" localSheetId="2" hidden="1">{"'beneficiarios'!$A$1:$C$7"}</definedName>
    <definedName name="HTML_Control" localSheetId="5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9" hidden="1">{"'beneficiarios'!$A$1:$C$7"}</definedName>
    <definedName name="INDICADORES" localSheetId="6" hidden="1">{"'beneficiarios'!$A$1:$C$7"}</definedName>
    <definedName name="INDICADORES" localSheetId="3" hidden="1">{"'beneficiarios'!$A$1:$C$7"}</definedName>
    <definedName name="INDICADORES" localSheetId="2" hidden="1">{"'beneficiarios'!$A$1:$C$7"}</definedName>
    <definedName name="INDICADORES" localSheetId="5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9" hidden="1">{"'beneficiarios'!$A$1:$C$7"}</definedName>
    <definedName name="ingresofederales" localSheetId="6" hidden="1">{"'beneficiarios'!$A$1:$C$7"}</definedName>
    <definedName name="ingresofederales" localSheetId="3" hidden="1">{"'beneficiarios'!$A$1:$C$7"}</definedName>
    <definedName name="ingresofederales" localSheetId="2" hidden="1">{"'beneficiarios'!$A$1:$C$7"}</definedName>
    <definedName name="ingresofederales" localSheetId="5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9" hidden="1">{"'beneficiarios'!$A$1:$C$7"}</definedName>
    <definedName name="MUNICIPIOS" localSheetId="6">[3]IMPORTE!$A$3:$A$53</definedName>
    <definedName name="MUNICIPIOS" localSheetId="3" hidden="1">{"'beneficiarios'!$A$1:$C$7"}</definedName>
    <definedName name="MUNICIPIOS" localSheetId="2" hidden="1">{"'beneficiarios'!$A$1:$C$7"}</definedName>
    <definedName name="MUNICIPIOS" localSheetId="5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9">#REF!</definedName>
    <definedName name="Notas_Fto_1" localSheetId="6">#REF!</definedName>
    <definedName name="Notas_Fto_1" localSheetId="3">#REF!</definedName>
    <definedName name="Notas_Fto_1" localSheetId="2">#REF!</definedName>
    <definedName name="Notas_Fto_1" localSheetId="5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9" hidden="1">{"'beneficiarios'!$A$1:$C$7"}</definedName>
    <definedName name="SINAJUSTE" localSheetId="6" hidden="1">{"'beneficiarios'!$A$1:$C$7"}</definedName>
    <definedName name="SINAJUSTE" localSheetId="3" hidden="1">{"'beneficiarios'!$A$1:$C$7"}</definedName>
    <definedName name="SINAJUSTE" localSheetId="2" hidden="1">{"'beneficiarios'!$A$1:$C$7"}</definedName>
    <definedName name="SINAJUSTE" localSheetId="5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9">#REF!</definedName>
    <definedName name="t" localSheetId="6">#REF!</definedName>
    <definedName name="t" localSheetId="3">#REF!</definedName>
    <definedName name="t" localSheetId="2">#REF!</definedName>
    <definedName name="t" localSheetId="5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2">'COEF Art 14 F I '!$B:$B,'COEF Art 14 F I '!$3:$3</definedName>
    <definedName name="_xlnm.Print_Titles" localSheetId="1">'DIST AGOSTO'!$1:$2</definedName>
    <definedName name="TOT" localSheetId="9">#REF!</definedName>
    <definedName name="TOT" localSheetId="6">#REF!</definedName>
    <definedName name="TOT" localSheetId="3">#REF!</definedName>
    <definedName name="TOT" localSheetId="2">#REF!</definedName>
    <definedName name="TOT" localSheetId="5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9">#REF!</definedName>
    <definedName name="TOTAL" localSheetId="6">#REF!</definedName>
    <definedName name="TOTAL" localSheetId="3">#REF!</definedName>
    <definedName name="TOTAL" localSheetId="2">#REF!</definedName>
    <definedName name="TOTAL" localSheetId="5">#REF!</definedName>
    <definedName name="TOTAL" localSheetId="1">#REF!</definedName>
    <definedName name="TOTAL" localSheetId="0">#REF!</definedName>
    <definedName name="TOTAL" localSheetId="4">#REF!</definedName>
    <definedName name="TOTAL">#REF!</definedName>
    <definedName name="UNO" localSheetId="9">#REF!</definedName>
    <definedName name="UNO" localSheetId="5">#REF!</definedName>
    <definedName name="UN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54" l="1"/>
  <c r="D57" i="54"/>
  <c r="E56" i="54"/>
  <c r="E55" i="54"/>
  <c r="E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E8" i="54"/>
  <c r="E7" i="54"/>
  <c r="E6" i="54"/>
  <c r="C7" i="41" l="1"/>
  <c r="W57" i="66" l="1"/>
  <c r="V57" i="66"/>
  <c r="U57" i="66"/>
  <c r="T57" i="66"/>
  <c r="S57" i="66"/>
  <c r="R57" i="66"/>
  <c r="Q57" i="66"/>
  <c r="P57" i="66"/>
  <c r="O57" i="66"/>
  <c r="X56" i="66"/>
  <c r="J56" i="66"/>
  <c r="AI56" i="66" s="1"/>
  <c r="AU56" i="66" s="1"/>
  <c r="I56" i="66"/>
  <c r="AH56" i="66" s="1"/>
  <c r="AT56" i="66" s="1"/>
  <c r="H56" i="66"/>
  <c r="AG56" i="66" s="1"/>
  <c r="AS56" i="66" s="1"/>
  <c r="G56" i="66"/>
  <c r="AF56" i="66" s="1"/>
  <c r="AR56" i="66" s="1"/>
  <c r="F56" i="66"/>
  <c r="AE56" i="66" s="1"/>
  <c r="AQ56" i="66" s="1"/>
  <c r="E56" i="66"/>
  <c r="AD56" i="66" s="1"/>
  <c r="AP56" i="66" s="1"/>
  <c r="D56" i="66"/>
  <c r="AC56" i="66" s="1"/>
  <c r="AO56" i="66" s="1"/>
  <c r="C56" i="66"/>
  <c r="AB56" i="66" s="1"/>
  <c r="AN56" i="66" s="1"/>
  <c r="B56" i="66"/>
  <c r="X55" i="66"/>
  <c r="J55" i="66"/>
  <c r="AI55" i="66" s="1"/>
  <c r="AU55" i="66" s="1"/>
  <c r="I55" i="66"/>
  <c r="AH55" i="66" s="1"/>
  <c r="AT55" i="66" s="1"/>
  <c r="H55" i="66"/>
  <c r="AG55" i="66" s="1"/>
  <c r="AS55" i="66" s="1"/>
  <c r="G55" i="66"/>
  <c r="AF55" i="66" s="1"/>
  <c r="AR55" i="66" s="1"/>
  <c r="F55" i="66"/>
  <c r="AE55" i="66" s="1"/>
  <c r="AQ55" i="66" s="1"/>
  <c r="E55" i="66"/>
  <c r="AD55" i="66" s="1"/>
  <c r="AP55" i="66" s="1"/>
  <c r="D55" i="66"/>
  <c r="AC55" i="66" s="1"/>
  <c r="AO55" i="66" s="1"/>
  <c r="C55" i="66"/>
  <c r="AB55" i="66" s="1"/>
  <c r="AN55" i="66" s="1"/>
  <c r="B55" i="66"/>
  <c r="AA55" i="66" s="1"/>
  <c r="X54" i="66"/>
  <c r="J54" i="66"/>
  <c r="AI54" i="66" s="1"/>
  <c r="AU54" i="66" s="1"/>
  <c r="I54" i="66"/>
  <c r="AH54" i="66" s="1"/>
  <c r="AT54" i="66" s="1"/>
  <c r="H54" i="66"/>
  <c r="AG54" i="66" s="1"/>
  <c r="AS54" i="66" s="1"/>
  <c r="G54" i="66"/>
  <c r="AF54" i="66" s="1"/>
  <c r="AR54" i="66" s="1"/>
  <c r="F54" i="66"/>
  <c r="AE54" i="66" s="1"/>
  <c r="AQ54" i="66" s="1"/>
  <c r="E54" i="66"/>
  <c r="AD54" i="66" s="1"/>
  <c r="AP54" i="66" s="1"/>
  <c r="D54" i="66"/>
  <c r="C54" i="66"/>
  <c r="AB54" i="66" s="1"/>
  <c r="AN54" i="66" s="1"/>
  <c r="B54" i="66"/>
  <c r="AA54" i="66" s="1"/>
  <c r="X53" i="66"/>
  <c r="J53" i="66"/>
  <c r="AI53" i="66" s="1"/>
  <c r="AU53" i="66" s="1"/>
  <c r="I53" i="66"/>
  <c r="AH53" i="66" s="1"/>
  <c r="AT53" i="66" s="1"/>
  <c r="H53" i="66"/>
  <c r="AG53" i="66" s="1"/>
  <c r="AS53" i="66" s="1"/>
  <c r="G53" i="66"/>
  <c r="AF53" i="66" s="1"/>
  <c r="AR53" i="66" s="1"/>
  <c r="F53" i="66"/>
  <c r="AE53" i="66" s="1"/>
  <c r="AQ53" i="66" s="1"/>
  <c r="E53" i="66"/>
  <c r="AD53" i="66" s="1"/>
  <c r="AP53" i="66" s="1"/>
  <c r="D53" i="66"/>
  <c r="AC53" i="66" s="1"/>
  <c r="AO53" i="66" s="1"/>
  <c r="C53" i="66"/>
  <c r="AB53" i="66" s="1"/>
  <c r="AN53" i="66" s="1"/>
  <c r="B53" i="66"/>
  <c r="AA53" i="66" s="1"/>
  <c r="AM53" i="66" s="1"/>
  <c r="X52" i="66"/>
  <c r="J52" i="66"/>
  <c r="AI52" i="66" s="1"/>
  <c r="AU52" i="66" s="1"/>
  <c r="I52" i="66"/>
  <c r="AH52" i="66" s="1"/>
  <c r="AT52" i="66" s="1"/>
  <c r="H52" i="66"/>
  <c r="AG52" i="66" s="1"/>
  <c r="AS52" i="66" s="1"/>
  <c r="G52" i="66"/>
  <c r="AF52" i="66" s="1"/>
  <c r="AR52" i="66" s="1"/>
  <c r="F52" i="66"/>
  <c r="AE52" i="66" s="1"/>
  <c r="AQ52" i="66" s="1"/>
  <c r="E52" i="66"/>
  <c r="AD52" i="66" s="1"/>
  <c r="AP52" i="66" s="1"/>
  <c r="D52" i="66"/>
  <c r="AC52" i="66" s="1"/>
  <c r="AO52" i="66" s="1"/>
  <c r="C52" i="66"/>
  <c r="AB52" i="66" s="1"/>
  <c r="AN52" i="66" s="1"/>
  <c r="B52" i="66"/>
  <c r="AA52" i="66" s="1"/>
  <c r="X51" i="66"/>
  <c r="J51" i="66"/>
  <c r="AI51" i="66" s="1"/>
  <c r="AU51" i="66" s="1"/>
  <c r="I51" i="66"/>
  <c r="AH51" i="66" s="1"/>
  <c r="AT51" i="66" s="1"/>
  <c r="H51" i="66"/>
  <c r="AG51" i="66" s="1"/>
  <c r="AS51" i="66" s="1"/>
  <c r="G51" i="66"/>
  <c r="AF51" i="66" s="1"/>
  <c r="AR51" i="66" s="1"/>
  <c r="F51" i="66"/>
  <c r="AE51" i="66" s="1"/>
  <c r="AQ51" i="66" s="1"/>
  <c r="E51" i="66"/>
  <c r="AD51" i="66" s="1"/>
  <c r="AP51" i="66" s="1"/>
  <c r="D51" i="66"/>
  <c r="AC51" i="66" s="1"/>
  <c r="AO51" i="66" s="1"/>
  <c r="C51" i="66"/>
  <c r="AB51" i="66" s="1"/>
  <c r="AN51" i="66" s="1"/>
  <c r="B51" i="66"/>
  <c r="X50" i="66"/>
  <c r="J50" i="66"/>
  <c r="AI50" i="66" s="1"/>
  <c r="AU50" i="66" s="1"/>
  <c r="I50" i="66"/>
  <c r="AH50" i="66" s="1"/>
  <c r="AT50" i="66" s="1"/>
  <c r="H50" i="66"/>
  <c r="AG50" i="66" s="1"/>
  <c r="AS50" i="66" s="1"/>
  <c r="G50" i="66"/>
  <c r="AF50" i="66" s="1"/>
  <c r="AR50" i="66" s="1"/>
  <c r="F50" i="66"/>
  <c r="AE50" i="66" s="1"/>
  <c r="AQ50" i="66" s="1"/>
  <c r="E50" i="66"/>
  <c r="AD50" i="66" s="1"/>
  <c r="AP50" i="66" s="1"/>
  <c r="D50" i="66"/>
  <c r="AC50" i="66" s="1"/>
  <c r="AO50" i="66" s="1"/>
  <c r="C50" i="66"/>
  <c r="AB50" i="66" s="1"/>
  <c r="AN50" i="66" s="1"/>
  <c r="B50" i="66"/>
  <c r="AA50" i="66" s="1"/>
  <c r="AM50" i="66" s="1"/>
  <c r="X49" i="66"/>
  <c r="J49" i="66"/>
  <c r="AI49" i="66" s="1"/>
  <c r="AU49" i="66" s="1"/>
  <c r="I49" i="66"/>
  <c r="AH49" i="66" s="1"/>
  <c r="AT49" i="66" s="1"/>
  <c r="H49" i="66"/>
  <c r="AG49" i="66" s="1"/>
  <c r="AS49" i="66" s="1"/>
  <c r="G49" i="66"/>
  <c r="AF49" i="66" s="1"/>
  <c r="AR49" i="66" s="1"/>
  <c r="F49" i="66"/>
  <c r="AE49" i="66" s="1"/>
  <c r="AQ49" i="66" s="1"/>
  <c r="E49" i="66"/>
  <c r="AD49" i="66" s="1"/>
  <c r="AP49" i="66" s="1"/>
  <c r="D49" i="66"/>
  <c r="AC49" i="66" s="1"/>
  <c r="AO49" i="66" s="1"/>
  <c r="C49" i="66"/>
  <c r="B49" i="66"/>
  <c r="AA49" i="66" s="1"/>
  <c r="AM49" i="66" s="1"/>
  <c r="X48" i="66"/>
  <c r="J48" i="66"/>
  <c r="AI48" i="66" s="1"/>
  <c r="AU48" i="66" s="1"/>
  <c r="I48" i="66"/>
  <c r="AH48" i="66" s="1"/>
  <c r="AT48" i="66" s="1"/>
  <c r="H48" i="66"/>
  <c r="AG48" i="66" s="1"/>
  <c r="AS48" i="66" s="1"/>
  <c r="G48" i="66"/>
  <c r="AF48" i="66" s="1"/>
  <c r="AR48" i="66" s="1"/>
  <c r="F48" i="66"/>
  <c r="AE48" i="66" s="1"/>
  <c r="AQ48" i="66" s="1"/>
  <c r="E48" i="66"/>
  <c r="AD48" i="66" s="1"/>
  <c r="AP48" i="66" s="1"/>
  <c r="D48" i="66"/>
  <c r="AC48" i="66" s="1"/>
  <c r="AO48" i="66" s="1"/>
  <c r="C48" i="66"/>
  <c r="AB48" i="66" s="1"/>
  <c r="AN48" i="66" s="1"/>
  <c r="B48" i="66"/>
  <c r="AA48" i="66" s="1"/>
  <c r="AM48" i="66" s="1"/>
  <c r="X47" i="66"/>
  <c r="J47" i="66"/>
  <c r="AI47" i="66" s="1"/>
  <c r="AU47" i="66" s="1"/>
  <c r="I47" i="66"/>
  <c r="AH47" i="66" s="1"/>
  <c r="AT47" i="66" s="1"/>
  <c r="H47" i="66"/>
  <c r="AG47" i="66" s="1"/>
  <c r="AS47" i="66" s="1"/>
  <c r="G47" i="66"/>
  <c r="AF47" i="66" s="1"/>
  <c r="AR47" i="66" s="1"/>
  <c r="F47" i="66"/>
  <c r="AE47" i="66" s="1"/>
  <c r="AQ47" i="66" s="1"/>
  <c r="E47" i="66"/>
  <c r="AD47" i="66" s="1"/>
  <c r="AP47" i="66" s="1"/>
  <c r="D47" i="66"/>
  <c r="AC47" i="66" s="1"/>
  <c r="AO47" i="66" s="1"/>
  <c r="C47" i="66"/>
  <c r="AB47" i="66" s="1"/>
  <c r="AN47" i="66" s="1"/>
  <c r="B47" i="66"/>
  <c r="AA47" i="66" s="1"/>
  <c r="AM47" i="66" s="1"/>
  <c r="X46" i="66"/>
  <c r="J46" i="66"/>
  <c r="AI46" i="66" s="1"/>
  <c r="AU46" i="66" s="1"/>
  <c r="I46" i="66"/>
  <c r="AH46" i="66" s="1"/>
  <c r="AT46" i="66" s="1"/>
  <c r="H46" i="66"/>
  <c r="AG46" i="66" s="1"/>
  <c r="AS46" i="66" s="1"/>
  <c r="G46" i="66"/>
  <c r="AF46" i="66" s="1"/>
  <c r="AR46" i="66" s="1"/>
  <c r="F46" i="66"/>
  <c r="AE46" i="66" s="1"/>
  <c r="AQ46" i="66" s="1"/>
  <c r="E46" i="66"/>
  <c r="AD46" i="66" s="1"/>
  <c r="AP46" i="66" s="1"/>
  <c r="D46" i="66"/>
  <c r="AC46" i="66" s="1"/>
  <c r="AO46" i="66" s="1"/>
  <c r="C46" i="66"/>
  <c r="AB46" i="66" s="1"/>
  <c r="AN46" i="66" s="1"/>
  <c r="B46" i="66"/>
  <c r="AA46" i="66" s="1"/>
  <c r="X45" i="66"/>
  <c r="J45" i="66"/>
  <c r="AI45" i="66" s="1"/>
  <c r="AU45" i="66" s="1"/>
  <c r="I45" i="66"/>
  <c r="AH45" i="66" s="1"/>
  <c r="AT45" i="66" s="1"/>
  <c r="H45" i="66"/>
  <c r="AG45" i="66" s="1"/>
  <c r="AS45" i="66" s="1"/>
  <c r="G45" i="66"/>
  <c r="AF45" i="66" s="1"/>
  <c r="AR45" i="66" s="1"/>
  <c r="F45" i="66"/>
  <c r="AE45" i="66" s="1"/>
  <c r="AQ45" i="66" s="1"/>
  <c r="E45" i="66"/>
  <c r="AD45" i="66" s="1"/>
  <c r="AP45" i="66" s="1"/>
  <c r="D45" i="66"/>
  <c r="AC45" i="66" s="1"/>
  <c r="AO45" i="66" s="1"/>
  <c r="C45" i="66"/>
  <c r="AB45" i="66" s="1"/>
  <c r="AN45" i="66" s="1"/>
  <c r="B45" i="66"/>
  <c r="AA45" i="66" s="1"/>
  <c r="X44" i="66"/>
  <c r="J44" i="66"/>
  <c r="AI44" i="66" s="1"/>
  <c r="AU44" i="66" s="1"/>
  <c r="I44" i="66"/>
  <c r="AH44" i="66" s="1"/>
  <c r="AT44" i="66" s="1"/>
  <c r="H44" i="66"/>
  <c r="AG44" i="66" s="1"/>
  <c r="AS44" i="66" s="1"/>
  <c r="G44" i="66"/>
  <c r="AF44" i="66" s="1"/>
  <c r="AR44" i="66" s="1"/>
  <c r="F44" i="66"/>
  <c r="AE44" i="66" s="1"/>
  <c r="AQ44" i="66" s="1"/>
  <c r="E44" i="66"/>
  <c r="AD44" i="66" s="1"/>
  <c r="AP44" i="66" s="1"/>
  <c r="D44" i="66"/>
  <c r="AC44" i="66" s="1"/>
  <c r="AO44" i="66" s="1"/>
  <c r="C44" i="66"/>
  <c r="AB44" i="66" s="1"/>
  <c r="AN44" i="66" s="1"/>
  <c r="B44" i="66"/>
  <c r="X43" i="66"/>
  <c r="J43" i="66"/>
  <c r="AI43" i="66" s="1"/>
  <c r="AU43" i="66" s="1"/>
  <c r="I43" i="66"/>
  <c r="AH43" i="66" s="1"/>
  <c r="AT43" i="66" s="1"/>
  <c r="H43" i="66"/>
  <c r="AG43" i="66" s="1"/>
  <c r="AS43" i="66" s="1"/>
  <c r="G43" i="66"/>
  <c r="AF43" i="66" s="1"/>
  <c r="AR43" i="66" s="1"/>
  <c r="F43" i="66"/>
  <c r="AE43" i="66" s="1"/>
  <c r="AQ43" i="66" s="1"/>
  <c r="E43" i="66"/>
  <c r="AD43" i="66" s="1"/>
  <c r="AP43" i="66" s="1"/>
  <c r="D43" i="66"/>
  <c r="AC43" i="66" s="1"/>
  <c r="AO43" i="66" s="1"/>
  <c r="C43" i="66"/>
  <c r="AB43" i="66" s="1"/>
  <c r="AN43" i="66" s="1"/>
  <c r="B43" i="66"/>
  <c r="AA43" i="66" s="1"/>
  <c r="X42" i="66"/>
  <c r="J42" i="66"/>
  <c r="AI42" i="66" s="1"/>
  <c r="AU42" i="66" s="1"/>
  <c r="I42" i="66"/>
  <c r="AH42" i="66" s="1"/>
  <c r="AT42" i="66" s="1"/>
  <c r="H42" i="66"/>
  <c r="AG42" i="66" s="1"/>
  <c r="AS42" i="66" s="1"/>
  <c r="G42" i="66"/>
  <c r="AF42" i="66" s="1"/>
  <c r="AR42" i="66" s="1"/>
  <c r="F42" i="66"/>
  <c r="AE42" i="66" s="1"/>
  <c r="AQ42" i="66" s="1"/>
  <c r="E42" i="66"/>
  <c r="AD42" i="66" s="1"/>
  <c r="AP42" i="66" s="1"/>
  <c r="D42" i="66"/>
  <c r="C42" i="66"/>
  <c r="AB42" i="66" s="1"/>
  <c r="AN42" i="66" s="1"/>
  <c r="B42" i="66"/>
  <c r="AA42" i="66" s="1"/>
  <c r="X41" i="66"/>
  <c r="J41" i="66"/>
  <c r="AI41" i="66" s="1"/>
  <c r="AU41" i="66" s="1"/>
  <c r="I41" i="66"/>
  <c r="AH41" i="66" s="1"/>
  <c r="AT41" i="66" s="1"/>
  <c r="H41" i="66"/>
  <c r="AG41" i="66" s="1"/>
  <c r="AS41" i="66" s="1"/>
  <c r="G41" i="66"/>
  <c r="AF41" i="66" s="1"/>
  <c r="AR41" i="66" s="1"/>
  <c r="F41" i="66"/>
  <c r="AE41" i="66" s="1"/>
  <c r="AQ41" i="66" s="1"/>
  <c r="E41" i="66"/>
  <c r="AD41" i="66" s="1"/>
  <c r="AP41" i="66" s="1"/>
  <c r="D41" i="66"/>
  <c r="AC41" i="66" s="1"/>
  <c r="AO41" i="66" s="1"/>
  <c r="C41" i="66"/>
  <c r="AB41" i="66" s="1"/>
  <c r="AN41" i="66" s="1"/>
  <c r="B41" i="66"/>
  <c r="AA41" i="66" s="1"/>
  <c r="X40" i="66"/>
  <c r="J40" i="66"/>
  <c r="AI40" i="66" s="1"/>
  <c r="AU40" i="66" s="1"/>
  <c r="I40" i="66"/>
  <c r="AH40" i="66" s="1"/>
  <c r="AT40" i="66" s="1"/>
  <c r="H40" i="66"/>
  <c r="AG40" i="66" s="1"/>
  <c r="AS40" i="66" s="1"/>
  <c r="G40" i="66"/>
  <c r="AF40" i="66" s="1"/>
  <c r="AR40" i="66" s="1"/>
  <c r="F40" i="66"/>
  <c r="AE40" i="66" s="1"/>
  <c r="AQ40" i="66" s="1"/>
  <c r="E40" i="66"/>
  <c r="AD40" i="66" s="1"/>
  <c r="AP40" i="66" s="1"/>
  <c r="D40" i="66"/>
  <c r="AC40" i="66" s="1"/>
  <c r="AO40" i="66" s="1"/>
  <c r="C40" i="66"/>
  <c r="AB40" i="66" s="1"/>
  <c r="AN40" i="66" s="1"/>
  <c r="B40" i="66"/>
  <c r="AA40" i="66" s="1"/>
  <c r="X39" i="66"/>
  <c r="J39" i="66"/>
  <c r="AI39" i="66" s="1"/>
  <c r="AU39" i="66" s="1"/>
  <c r="I39" i="66"/>
  <c r="AH39" i="66" s="1"/>
  <c r="AT39" i="66" s="1"/>
  <c r="H39" i="66"/>
  <c r="AG39" i="66" s="1"/>
  <c r="AS39" i="66" s="1"/>
  <c r="G39" i="66"/>
  <c r="AF39" i="66" s="1"/>
  <c r="AR39" i="66" s="1"/>
  <c r="F39" i="66"/>
  <c r="AE39" i="66" s="1"/>
  <c r="AQ39" i="66" s="1"/>
  <c r="E39" i="66"/>
  <c r="AD39" i="66" s="1"/>
  <c r="AP39" i="66" s="1"/>
  <c r="D39" i="66"/>
  <c r="AC39" i="66" s="1"/>
  <c r="AO39" i="66" s="1"/>
  <c r="C39" i="66"/>
  <c r="AB39" i="66" s="1"/>
  <c r="AN39" i="66" s="1"/>
  <c r="B39" i="66"/>
  <c r="X38" i="66"/>
  <c r="J38" i="66"/>
  <c r="AI38" i="66" s="1"/>
  <c r="AU38" i="66" s="1"/>
  <c r="I38" i="66"/>
  <c r="AH38" i="66" s="1"/>
  <c r="AT38" i="66" s="1"/>
  <c r="H38" i="66"/>
  <c r="AG38" i="66" s="1"/>
  <c r="AS38" i="66" s="1"/>
  <c r="G38" i="66"/>
  <c r="AF38" i="66" s="1"/>
  <c r="AR38" i="66" s="1"/>
  <c r="F38" i="66"/>
  <c r="AE38" i="66" s="1"/>
  <c r="AQ38" i="66" s="1"/>
  <c r="E38" i="66"/>
  <c r="AD38" i="66" s="1"/>
  <c r="AP38" i="66" s="1"/>
  <c r="D38" i="66"/>
  <c r="AC38" i="66" s="1"/>
  <c r="AO38" i="66" s="1"/>
  <c r="C38" i="66"/>
  <c r="AB38" i="66" s="1"/>
  <c r="AN38" i="66" s="1"/>
  <c r="B38" i="66"/>
  <c r="AA38" i="66" s="1"/>
  <c r="AM38" i="66" s="1"/>
  <c r="X37" i="66"/>
  <c r="J37" i="66"/>
  <c r="AI37" i="66" s="1"/>
  <c r="AU37" i="66" s="1"/>
  <c r="I37" i="66"/>
  <c r="AH37" i="66" s="1"/>
  <c r="AT37" i="66" s="1"/>
  <c r="H37" i="66"/>
  <c r="AG37" i="66" s="1"/>
  <c r="AS37" i="66" s="1"/>
  <c r="G37" i="66"/>
  <c r="AF37" i="66" s="1"/>
  <c r="AR37" i="66" s="1"/>
  <c r="F37" i="66"/>
  <c r="AE37" i="66" s="1"/>
  <c r="AQ37" i="66" s="1"/>
  <c r="E37" i="66"/>
  <c r="AD37" i="66" s="1"/>
  <c r="AP37" i="66" s="1"/>
  <c r="D37" i="66"/>
  <c r="AC37" i="66" s="1"/>
  <c r="AO37" i="66" s="1"/>
  <c r="C37" i="66"/>
  <c r="B37" i="66"/>
  <c r="AA37" i="66" s="1"/>
  <c r="AM37" i="66" s="1"/>
  <c r="X36" i="66"/>
  <c r="J36" i="66"/>
  <c r="AI36" i="66" s="1"/>
  <c r="AU36" i="66" s="1"/>
  <c r="I36" i="66"/>
  <c r="AH36" i="66" s="1"/>
  <c r="AT36" i="66" s="1"/>
  <c r="H36" i="66"/>
  <c r="AG36" i="66" s="1"/>
  <c r="AS36" i="66" s="1"/>
  <c r="G36" i="66"/>
  <c r="AF36" i="66" s="1"/>
  <c r="AR36" i="66" s="1"/>
  <c r="F36" i="66"/>
  <c r="AE36" i="66" s="1"/>
  <c r="AQ36" i="66" s="1"/>
  <c r="E36" i="66"/>
  <c r="AD36" i="66" s="1"/>
  <c r="AP36" i="66" s="1"/>
  <c r="D36" i="66"/>
  <c r="AC36" i="66" s="1"/>
  <c r="C36" i="66"/>
  <c r="AB36" i="66" s="1"/>
  <c r="AN36" i="66" s="1"/>
  <c r="B36" i="66"/>
  <c r="AA36" i="66" s="1"/>
  <c r="AM36" i="66" s="1"/>
  <c r="X35" i="66"/>
  <c r="J35" i="66"/>
  <c r="AI35" i="66" s="1"/>
  <c r="AU35" i="66" s="1"/>
  <c r="I35" i="66"/>
  <c r="AH35" i="66" s="1"/>
  <c r="AT35" i="66" s="1"/>
  <c r="H35" i="66"/>
  <c r="AG35" i="66" s="1"/>
  <c r="AS35" i="66" s="1"/>
  <c r="G35" i="66"/>
  <c r="AF35" i="66" s="1"/>
  <c r="AR35" i="66" s="1"/>
  <c r="F35" i="66"/>
  <c r="AE35" i="66" s="1"/>
  <c r="AQ35" i="66" s="1"/>
  <c r="E35" i="66"/>
  <c r="AD35" i="66" s="1"/>
  <c r="AP35" i="66" s="1"/>
  <c r="D35" i="66"/>
  <c r="AC35" i="66" s="1"/>
  <c r="AO35" i="66" s="1"/>
  <c r="C35" i="66"/>
  <c r="AB35" i="66" s="1"/>
  <c r="AN35" i="66" s="1"/>
  <c r="B35" i="66"/>
  <c r="AA35" i="66" s="1"/>
  <c r="AM35" i="66" s="1"/>
  <c r="X34" i="66"/>
  <c r="J34" i="66"/>
  <c r="AI34" i="66" s="1"/>
  <c r="AU34" i="66" s="1"/>
  <c r="I34" i="66"/>
  <c r="AH34" i="66" s="1"/>
  <c r="AT34" i="66" s="1"/>
  <c r="H34" i="66"/>
  <c r="AG34" i="66" s="1"/>
  <c r="AS34" i="66" s="1"/>
  <c r="G34" i="66"/>
  <c r="AF34" i="66" s="1"/>
  <c r="AR34" i="66" s="1"/>
  <c r="F34" i="66"/>
  <c r="AE34" i="66" s="1"/>
  <c r="AQ34" i="66" s="1"/>
  <c r="E34" i="66"/>
  <c r="AD34" i="66" s="1"/>
  <c r="AP34" i="66" s="1"/>
  <c r="D34" i="66"/>
  <c r="AC34" i="66" s="1"/>
  <c r="AO34" i="66" s="1"/>
  <c r="C34" i="66"/>
  <c r="AB34" i="66" s="1"/>
  <c r="AN34" i="66" s="1"/>
  <c r="B34" i="66"/>
  <c r="AA34" i="66" s="1"/>
  <c r="X33" i="66"/>
  <c r="J33" i="66"/>
  <c r="AI33" i="66" s="1"/>
  <c r="AU33" i="66" s="1"/>
  <c r="I33" i="66"/>
  <c r="AH33" i="66" s="1"/>
  <c r="AT33" i="66" s="1"/>
  <c r="H33" i="66"/>
  <c r="AG33" i="66" s="1"/>
  <c r="AS33" i="66" s="1"/>
  <c r="G33" i="66"/>
  <c r="AF33" i="66" s="1"/>
  <c r="AR33" i="66" s="1"/>
  <c r="F33" i="66"/>
  <c r="AE33" i="66" s="1"/>
  <c r="AQ33" i="66" s="1"/>
  <c r="E33" i="66"/>
  <c r="AD33" i="66" s="1"/>
  <c r="AP33" i="66" s="1"/>
  <c r="D33" i="66"/>
  <c r="AC33" i="66" s="1"/>
  <c r="AO33" i="66" s="1"/>
  <c r="C33" i="66"/>
  <c r="AB33" i="66" s="1"/>
  <c r="AN33" i="66" s="1"/>
  <c r="B33" i="66"/>
  <c r="AA33" i="66" s="1"/>
  <c r="X32" i="66"/>
  <c r="J32" i="66"/>
  <c r="AI32" i="66" s="1"/>
  <c r="AU32" i="66" s="1"/>
  <c r="I32" i="66"/>
  <c r="AH32" i="66" s="1"/>
  <c r="AT32" i="66" s="1"/>
  <c r="H32" i="66"/>
  <c r="AG32" i="66" s="1"/>
  <c r="AS32" i="66" s="1"/>
  <c r="G32" i="66"/>
  <c r="AF32" i="66" s="1"/>
  <c r="AR32" i="66" s="1"/>
  <c r="F32" i="66"/>
  <c r="AE32" i="66" s="1"/>
  <c r="AQ32" i="66" s="1"/>
  <c r="E32" i="66"/>
  <c r="AD32" i="66" s="1"/>
  <c r="AP32" i="66" s="1"/>
  <c r="D32" i="66"/>
  <c r="AC32" i="66" s="1"/>
  <c r="AO32" i="66" s="1"/>
  <c r="C32" i="66"/>
  <c r="AB32" i="66" s="1"/>
  <c r="AN32" i="66" s="1"/>
  <c r="B32" i="66"/>
  <c r="X31" i="66"/>
  <c r="J31" i="66"/>
  <c r="AI31" i="66" s="1"/>
  <c r="AU31" i="66" s="1"/>
  <c r="I31" i="66"/>
  <c r="AH31" i="66" s="1"/>
  <c r="AT31" i="66" s="1"/>
  <c r="H31" i="66"/>
  <c r="AG31" i="66" s="1"/>
  <c r="AS31" i="66" s="1"/>
  <c r="G31" i="66"/>
  <c r="AF31" i="66" s="1"/>
  <c r="AR31" i="66" s="1"/>
  <c r="F31" i="66"/>
  <c r="AE31" i="66" s="1"/>
  <c r="AQ31" i="66" s="1"/>
  <c r="E31" i="66"/>
  <c r="AD31" i="66" s="1"/>
  <c r="AP31" i="66" s="1"/>
  <c r="D31" i="66"/>
  <c r="AC31" i="66" s="1"/>
  <c r="AO31" i="66" s="1"/>
  <c r="C31" i="66"/>
  <c r="AB31" i="66" s="1"/>
  <c r="AN31" i="66" s="1"/>
  <c r="B31" i="66"/>
  <c r="AA31" i="66" s="1"/>
  <c r="X30" i="66"/>
  <c r="J30" i="66"/>
  <c r="AI30" i="66" s="1"/>
  <c r="AU30" i="66" s="1"/>
  <c r="I30" i="66"/>
  <c r="AH30" i="66" s="1"/>
  <c r="AT30" i="66" s="1"/>
  <c r="H30" i="66"/>
  <c r="AG30" i="66" s="1"/>
  <c r="AS30" i="66" s="1"/>
  <c r="G30" i="66"/>
  <c r="AF30" i="66" s="1"/>
  <c r="AR30" i="66" s="1"/>
  <c r="F30" i="66"/>
  <c r="AE30" i="66" s="1"/>
  <c r="AQ30" i="66" s="1"/>
  <c r="E30" i="66"/>
  <c r="AD30" i="66" s="1"/>
  <c r="AP30" i="66" s="1"/>
  <c r="D30" i="66"/>
  <c r="C30" i="66"/>
  <c r="AB30" i="66" s="1"/>
  <c r="AN30" i="66" s="1"/>
  <c r="B30" i="66"/>
  <c r="AA30" i="66" s="1"/>
  <c r="X29" i="66"/>
  <c r="J29" i="66"/>
  <c r="AI29" i="66" s="1"/>
  <c r="AU29" i="66" s="1"/>
  <c r="I29" i="66"/>
  <c r="AH29" i="66" s="1"/>
  <c r="AT29" i="66" s="1"/>
  <c r="H29" i="66"/>
  <c r="AG29" i="66" s="1"/>
  <c r="AS29" i="66" s="1"/>
  <c r="G29" i="66"/>
  <c r="AF29" i="66" s="1"/>
  <c r="AR29" i="66" s="1"/>
  <c r="F29" i="66"/>
  <c r="AE29" i="66" s="1"/>
  <c r="AQ29" i="66" s="1"/>
  <c r="E29" i="66"/>
  <c r="AD29" i="66" s="1"/>
  <c r="AP29" i="66" s="1"/>
  <c r="D29" i="66"/>
  <c r="AC29" i="66" s="1"/>
  <c r="AO29" i="66" s="1"/>
  <c r="C29" i="66"/>
  <c r="AB29" i="66" s="1"/>
  <c r="AN29" i="66" s="1"/>
  <c r="B29" i="66"/>
  <c r="AA29" i="66" s="1"/>
  <c r="AM29" i="66" s="1"/>
  <c r="X28" i="66"/>
  <c r="J28" i="66"/>
  <c r="AI28" i="66" s="1"/>
  <c r="AU28" i="66" s="1"/>
  <c r="I28" i="66"/>
  <c r="AH28" i="66" s="1"/>
  <c r="AT28" i="66" s="1"/>
  <c r="H28" i="66"/>
  <c r="AG28" i="66" s="1"/>
  <c r="AS28" i="66" s="1"/>
  <c r="G28" i="66"/>
  <c r="AF28" i="66" s="1"/>
  <c r="AR28" i="66" s="1"/>
  <c r="F28" i="66"/>
  <c r="AE28" i="66" s="1"/>
  <c r="AQ28" i="66" s="1"/>
  <c r="E28" i="66"/>
  <c r="AD28" i="66" s="1"/>
  <c r="AP28" i="66" s="1"/>
  <c r="D28" i="66"/>
  <c r="AC28" i="66" s="1"/>
  <c r="AO28" i="66" s="1"/>
  <c r="C28" i="66"/>
  <c r="AB28" i="66" s="1"/>
  <c r="AN28" i="66" s="1"/>
  <c r="B28" i="66"/>
  <c r="AA28" i="66" s="1"/>
  <c r="X27" i="66"/>
  <c r="J27" i="66"/>
  <c r="AI27" i="66" s="1"/>
  <c r="AU27" i="66" s="1"/>
  <c r="I27" i="66"/>
  <c r="AH27" i="66" s="1"/>
  <c r="AT27" i="66" s="1"/>
  <c r="H27" i="66"/>
  <c r="AG27" i="66" s="1"/>
  <c r="AS27" i="66" s="1"/>
  <c r="G27" i="66"/>
  <c r="AF27" i="66" s="1"/>
  <c r="AR27" i="66" s="1"/>
  <c r="F27" i="66"/>
  <c r="AE27" i="66" s="1"/>
  <c r="AQ27" i="66" s="1"/>
  <c r="E27" i="66"/>
  <c r="AD27" i="66" s="1"/>
  <c r="AP27" i="66" s="1"/>
  <c r="D27" i="66"/>
  <c r="AC27" i="66" s="1"/>
  <c r="AO27" i="66" s="1"/>
  <c r="C27" i="66"/>
  <c r="AB27" i="66" s="1"/>
  <c r="AN27" i="66" s="1"/>
  <c r="B27" i="66"/>
  <c r="AA27" i="66" s="1"/>
  <c r="X26" i="66"/>
  <c r="J26" i="66"/>
  <c r="AI26" i="66" s="1"/>
  <c r="AU26" i="66" s="1"/>
  <c r="I26" i="66"/>
  <c r="AH26" i="66" s="1"/>
  <c r="AT26" i="66" s="1"/>
  <c r="H26" i="66"/>
  <c r="AG26" i="66" s="1"/>
  <c r="AS26" i="66" s="1"/>
  <c r="G26" i="66"/>
  <c r="AF26" i="66" s="1"/>
  <c r="AR26" i="66" s="1"/>
  <c r="F26" i="66"/>
  <c r="AE26" i="66" s="1"/>
  <c r="AQ26" i="66" s="1"/>
  <c r="E26" i="66"/>
  <c r="AD26" i="66" s="1"/>
  <c r="AP26" i="66" s="1"/>
  <c r="D26" i="66"/>
  <c r="AC26" i="66" s="1"/>
  <c r="AO26" i="66" s="1"/>
  <c r="C26" i="66"/>
  <c r="AB26" i="66" s="1"/>
  <c r="AN26" i="66" s="1"/>
  <c r="B26" i="66"/>
  <c r="AA26" i="66" s="1"/>
  <c r="X25" i="66"/>
  <c r="J25" i="66"/>
  <c r="AI25" i="66" s="1"/>
  <c r="AU25" i="66" s="1"/>
  <c r="I25" i="66"/>
  <c r="AH25" i="66" s="1"/>
  <c r="AT25" i="66" s="1"/>
  <c r="H25" i="66"/>
  <c r="AG25" i="66" s="1"/>
  <c r="AS25" i="66" s="1"/>
  <c r="G25" i="66"/>
  <c r="AF25" i="66" s="1"/>
  <c r="AR25" i="66" s="1"/>
  <c r="F25" i="66"/>
  <c r="AE25" i="66" s="1"/>
  <c r="AQ25" i="66" s="1"/>
  <c r="E25" i="66"/>
  <c r="AD25" i="66" s="1"/>
  <c r="AP25" i="66" s="1"/>
  <c r="D25" i="66"/>
  <c r="AC25" i="66" s="1"/>
  <c r="AO25" i="66" s="1"/>
  <c r="C25" i="66"/>
  <c r="B25" i="66"/>
  <c r="AA25" i="66" s="1"/>
  <c r="AM25" i="66" s="1"/>
  <c r="X24" i="66"/>
  <c r="J24" i="66"/>
  <c r="AI24" i="66" s="1"/>
  <c r="AU24" i="66" s="1"/>
  <c r="I24" i="66"/>
  <c r="AH24" i="66" s="1"/>
  <c r="AT24" i="66" s="1"/>
  <c r="H24" i="66"/>
  <c r="AG24" i="66" s="1"/>
  <c r="AS24" i="66" s="1"/>
  <c r="G24" i="66"/>
  <c r="AF24" i="66" s="1"/>
  <c r="AR24" i="66" s="1"/>
  <c r="F24" i="66"/>
  <c r="AE24" i="66" s="1"/>
  <c r="AQ24" i="66" s="1"/>
  <c r="E24" i="66"/>
  <c r="AD24" i="66" s="1"/>
  <c r="AP24" i="66" s="1"/>
  <c r="D24" i="66"/>
  <c r="AC24" i="66" s="1"/>
  <c r="AO24" i="66" s="1"/>
  <c r="C24" i="66"/>
  <c r="AB24" i="66" s="1"/>
  <c r="AN24" i="66" s="1"/>
  <c r="B24" i="66"/>
  <c r="AA24" i="66" s="1"/>
  <c r="AM24" i="66" s="1"/>
  <c r="X23" i="66"/>
  <c r="J23" i="66"/>
  <c r="AI23" i="66" s="1"/>
  <c r="AU23" i="66" s="1"/>
  <c r="I23" i="66"/>
  <c r="AH23" i="66" s="1"/>
  <c r="AT23" i="66" s="1"/>
  <c r="H23" i="66"/>
  <c r="AG23" i="66" s="1"/>
  <c r="AS23" i="66" s="1"/>
  <c r="G23" i="66"/>
  <c r="AF23" i="66" s="1"/>
  <c r="AR23" i="66" s="1"/>
  <c r="F23" i="66"/>
  <c r="AE23" i="66" s="1"/>
  <c r="AQ23" i="66" s="1"/>
  <c r="E23" i="66"/>
  <c r="AD23" i="66" s="1"/>
  <c r="AP23" i="66" s="1"/>
  <c r="D23" i="66"/>
  <c r="AC23" i="66" s="1"/>
  <c r="AO23" i="66" s="1"/>
  <c r="C23" i="66"/>
  <c r="AB23" i="66" s="1"/>
  <c r="AN23" i="66" s="1"/>
  <c r="B23" i="66"/>
  <c r="AA23" i="66" s="1"/>
  <c r="AM23" i="66" s="1"/>
  <c r="X22" i="66"/>
  <c r="J22" i="66"/>
  <c r="AI22" i="66" s="1"/>
  <c r="AU22" i="66" s="1"/>
  <c r="I22" i="66"/>
  <c r="AH22" i="66" s="1"/>
  <c r="AT22" i="66" s="1"/>
  <c r="H22" i="66"/>
  <c r="AG22" i="66" s="1"/>
  <c r="AS22" i="66" s="1"/>
  <c r="G22" i="66"/>
  <c r="AF22" i="66" s="1"/>
  <c r="AR22" i="66" s="1"/>
  <c r="F22" i="66"/>
  <c r="AE22" i="66" s="1"/>
  <c r="AQ22" i="66" s="1"/>
  <c r="E22" i="66"/>
  <c r="AD22" i="66" s="1"/>
  <c r="AP22" i="66" s="1"/>
  <c r="D22" i="66"/>
  <c r="AC22" i="66" s="1"/>
  <c r="AO22" i="66" s="1"/>
  <c r="C22" i="66"/>
  <c r="AB22" i="66" s="1"/>
  <c r="AN22" i="66" s="1"/>
  <c r="B22" i="66"/>
  <c r="X21" i="66"/>
  <c r="J21" i="66"/>
  <c r="AI21" i="66" s="1"/>
  <c r="AU21" i="66" s="1"/>
  <c r="I21" i="66"/>
  <c r="AH21" i="66" s="1"/>
  <c r="AT21" i="66" s="1"/>
  <c r="H21" i="66"/>
  <c r="AG21" i="66" s="1"/>
  <c r="AS21" i="66" s="1"/>
  <c r="G21" i="66"/>
  <c r="AF21" i="66" s="1"/>
  <c r="AR21" i="66" s="1"/>
  <c r="F21" i="66"/>
  <c r="AE21" i="66" s="1"/>
  <c r="AQ21" i="66" s="1"/>
  <c r="E21" i="66"/>
  <c r="AD21" i="66" s="1"/>
  <c r="AP21" i="66" s="1"/>
  <c r="D21" i="66"/>
  <c r="AC21" i="66" s="1"/>
  <c r="AO21" i="66" s="1"/>
  <c r="C21" i="66"/>
  <c r="AB21" i="66" s="1"/>
  <c r="AN21" i="66" s="1"/>
  <c r="B21" i="66"/>
  <c r="AA21" i="66" s="1"/>
  <c r="X20" i="66"/>
  <c r="J20" i="66"/>
  <c r="AI20" i="66" s="1"/>
  <c r="AU20" i="66" s="1"/>
  <c r="I20" i="66"/>
  <c r="AH20" i="66" s="1"/>
  <c r="AT20" i="66" s="1"/>
  <c r="H20" i="66"/>
  <c r="AG20" i="66" s="1"/>
  <c r="AS20" i="66" s="1"/>
  <c r="G20" i="66"/>
  <c r="AF20" i="66" s="1"/>
  <c r="AR20" i="66" s="1"/>
  <c r="F20" i="66"/>
  <c r="AE20" i="66" s="1"/>
  <c r="AQ20" i="66" s="1"/>
  <c r="E20" i="66"/>
  <c r="AD20" i="66" s="1"/>
  <c r="AP20" i="66" s="1"/>
  <c r="D20" i="66"/>
  <c r="AC20" i="66" s="1"/>
  <c r="AO20" i="66" s="1"/>
  <c r="C20" i="66"/>
  <c r="AB20" i="66" s="1"/>
  <c r="AN20" i="66" s="1"/>
  <c r="B20" i="66"/>
  <c r="X19" i="66"/>
  <c r="J19" i="66"/>
  <c r="AI19" i="66" s="1"/>
  <c r="AU19" i="66" s="1"/>
  <c r="I19" i="66"/>
  <c r="AH19" i="66" s="1"/>
  <c r="AT19" i="66" s="1"/>
  <c r="H19" i="66"/>
  <c r="AG19" i="66" s="1"/>
  <c r="AS19" i="66" s="1"/>
  <c r="G19" i="66"/>
  <c r="AF19" i="66" s="1"/>
  <c r="AR19" i="66" s="1"/>
  <c r="F19" i="66"/>
  <c r="AE19" i="66" s="1"/>
  <c r="AQ19" i="66" s="1"/>
  <c r="E19" i="66"/>
  <c r="AD19" i="66" s="1"/>
  <c r="AP19" i="66" s="1"/>
  <c r="D19" i="66"/>
  <c r="AC19" i="66" s="1"/>
  <c r="AO19" i="66" s="1"/>
  <c r="C19" i="66"/>
  <c r="AB19" i="66" s="1"/>
  <c r="AN19" i="66" s="1"/>
  <c r="B19" i="66"/>
  <c r="AA19" i="66" s="1"/>
  <c r="AM19" i="66" s="1"/>
  <c r="X18" i="66"/>
  <c r="J18" i="66"/>
  <c r="AI18" i="66" s="1"/>
  <c r="AU18" i="66" s="1"/>
  <c r="I18" i="66"/>
  <c r="AH18" i="66" s="1"/>
  <c r="AT18" i="66" s="1"/>
  <c r="H18" i="66"/>
  <c r="AG18" i="66" s="1"/>
  <c r="AS18" i="66" s="1"/>
  <c r="G18" i="66"/>
  <c r="AF18" i="66" s="1"/>
  <c r="AR18" i="66" s="1"/>
  <c r="F18" i="66"/>
  <c r="AE18" i="66" s="1"/>
  <c r="AQ18" i="66" s="1"/>
  <c r="E18" i="66"/>
  <c r="AD18" i="66" s="1"/>
  <c r="AP18" i="66" s="1"/>
  <c r="D18" i="66"/>
  <c r="AC18" i="66" s="1"/>
  <c r="AO18" i="66" s="1"/>
  <c r="C18" i="66"/>
  <c r="AB18" i="66" s="1"/>
  <c r="AN18" i="66" s="1"/>
  <c r="B18" i="66"/>
  <c r="AA18" i="66" s="1"/>
  <c r="X17" i="66"/>
  <c r="J17" i="66"/>
  <c r="AI17" i="66" s="1"/>
  <c r="AU17" i="66" s="1"/>
  <c r="I17" i="66"/>
  <c r="AH17" i="66" s="1"/>
  <c r="AT17" i="66" s="1"/>
  <c r="H17" i="66"/>
  <c r="AG17" i="66" s="1"/>
  <c r="AS17" i="66" s="1"/>
  <c r="G17" i="66"/>
  <c r="AF17" i="66" s="1"/>
  <c r="AR17" i="66" s="1"/>
  <c r="F17" i="66"/>
  <c r="AE17" i="66" s="1"/>
  <c r="AQ17" i="66" s="1"/>
  <c r="E17" i="66"/>
  <c r="AD17" i="66" s="1"/>
  <c r="AP17" i="66" s="1"/>
  <c r="D17" i="66"/>
  <c r="AC17" i="66" s="1"/>
  <c r="AO17" i="66" s="1"/>
  <c r="C17" i="66"/>
  <c r="AB17" i="66" s="1"/>
  <c r="AN17" i="66" s="1"/>
  <c r="B17" i="66"/>
  <c r="AA17" i="66" s="1"/>
  <c r="X16" i="66"/>
  <c r="J16" i="66"/>
  <c r="AI16" i="66" s="1"/>
  <c r="AU16" i="66" s="1"/>
  <c r="I16" i="66"/>
  <c r="AH16" i="66" s="1"/>
  <c r="AT16" i="66" s="1"/>
  <c r="H16" i="66"/>
  <c r="AG16" i="66" s="1"/>
  <c r="AS16" i="66" s="1"/>
  <c r="G16" i="66"/>
  <c r="AF16" i="66" s="1"/>
  <c r="AR16" i="66" s="1"/>
  <c r="F16" i="66"/>
  <c r="AE16" i="66" s="1"/>
  <c r="AQ16" i="66" s="1"/>
  <c r="E16" i="66"/>
  <c r="AD16" i="66" s="1"/>
  <c r="AP16" i="66" s="1"/>
  <c r="D16" i="66"/>
  <c r="AC16" i="66" s="1"/>
  <c r="AO16" i="66" s="1"/>
  <c r="C16" i="66"/>
  <c r="AB16" i="66" s="1"/>
  <c r="AN16" i="66" s="1"/>
  <c r="B16" i="66"/>
  <c r="AA16" i="66" s="1"/>
  <c r="X15" i="66"/>
  <c r="J15" i="66"/>
  <c r="AI15" i="66" s="1"/>
  <c r="AU15" i="66" s="1"/>
  <c r="I15" i="66"/>
  <c r="AH15" i="66" s="1"/>
  <c r="AT15" i="66" s="1"/>
  <c r="H15" i="66"/>
  <c r="AG15" i="66" s="1"/>
  <c r="AS15" i="66" s="1"/>
  <c r="G15" i="66"/>
  <c r="AF15" i="66" s="1"/>
  <c r="AR15" i="66" s="1"/>
  <c r="F15" i="66"/>
  <c r="AE15" i="66" s="1"/>
  <c r="AQ15" i="66" s="1"/>
  <c r="E15" i="66"/>
  <c r="AD15" i="66" s="1"/>
  <c r="AP15" i="66" s="1"/>
  <c r="D15" i="66"/>
  <c r="AC15" i="66" s="1"/>
  <c r="AO15" i="66" s="1"/>
  <c r="C15" i="66"/>
  <c r="AB15" i="66" s="1"/>
  <c r="AN15" i="66" s="1"/>
  <c r="B15" i="66"/>
  <c r="AA15" i="66" s="1"/>
  <c r="X14" i="66"/>
  <c r="J14" i="66"/>
  <c r="AI14" i="66" s="1"/>
  <c r="AU14" i="66" s="1"/>
  <c r="I14" i="66"/>
  <c r="AH14" i="66" s="1"/>
  <c r="AT14" i="66" s="1"/>
  <c r="H14" i="66"/>
  <c r="AG14" i="66" s="1"/>
  <c r="AS14" i="66" s="1"/>
  <c r="G14" i="66"/>
  <c r="AF14" i="66" s="1"/>
  <c r="AR14" i="66" s="1"/>
  <c r="F14" i="66"/>
  <c r="AE14" i="66" s="1"/>
  <c r="AQ14" i="66" s="1"/>
  <c r="E14" i="66"/>
  <c r="AD14" i="66" s="1"/>
  <c r="AP14" i="66" s="1"/>
  <c r="D14" i="66"/>
  <c r="AC14" i="66" s="1"/>
  <c r="AO14" i="66" s="1"/>
  <c r="C14" i="66"/>
  <c r="B14" i="66"/>
  <c r="AA14" i="66" s="1"/>
  <c r="AM14" i="66" s="1"/>
  <c r="X13" i="66"/>
  <c r="J13" i="66"/>
  <c r="AI13" i="66" s="1"/>
  <c r="AU13" i="66" s="1"/>
  <c r="I13" i="66"/>
  <c r="AH13" i="66" s="1"/>
  <c r="AT13" i="66" s="1"/>
  <c r="H13" i="66"/>
  <c r="AG13" i="66" s="1"/>
  <c r="AS13" i="66" s="1"/>
  <c r="G13" i="66"/>
  <c r="AF13" i="66" s="1"/>
  <c r="AR13" i="66" s="1"/>
  <c r="F13" i="66"/>
  <c r="AE13" i="66" s="1"/>
  <c r="AQ13" i="66" s="1"/>
  <c r="E13" i="66"/>
  <c r="AD13" i="66" s="1"/>
  <c r="AP13" i="66" s="1"/>
  <c r="D13" i="66"/>
  <c r="AC13" i="66" s="1"/>
  <c r="AO13" i="66" s="1"/>
  <c r="C13" i="66"/>
  <c r="AB13" i="66" s="1"/>
  <c r="AN13" i="66" s="1"/>
  <c r="B13" i="66"/>
  <c r="AA13" i="66" s="1"/>
  <c r="AM13" i="66" s="1"/>
  <c r="X12" i="66"/>
  <c r="J12" i="66"/>
  <c r="AI12" i="66" s="1"/>
  <c r="AU12" i="66" s="1"/>
  <c r="I12" i="66"/>
  <c r="AH12" i="66" s="1"/>
  <c r="AT12" i="66" s="1"/>
  <c r="H12" i="66"/>
  <c r="AG12" i="66" s="1"/>
  <c r="AS12" i="66" s="1"/>
  <c r="G12" i="66"/>
  <c r="AF12" i="66" s="1"/>
  <c r="AR12" i="66" s="1"/>
  <c r="F12" i="66"/>
  <c r="AE12" i="66" s="1"/>
  <c r="AQ12" i="66" s="1"/>
  <c r="E12" i="66"/>
  <c r="AD12" i="66" s="1"/>
  <c r="AP12" i="66" s="1"/>
  <c r="D12" i="66"/>
  <c r="AC12" i="66" s="1"/>
  <c r="C12" i="66"/>
  <c r="AB12" i="66" s="1"/>
  <c r="AN12" i="66" s="1"/>
  <c r="B12" i="66"/>
  <c r="AA12" i="66" s="1"/>
  <c r="AM12" i="66" s="1"/>
  <c r="X11" i="66"/>
  <c r="J11" i="66"/>
  <c r="AI11" i="66" s="1"/>
  <c r="AU11" i="66" s="1"/>
  <c r="I11" i="66"/>
  <c r="AH11" i="66" s="1"/>
  <c r="AT11" i="66" s="1"/>
  <c r="H11" i="66"/>
  <c r="AG11" i="66" s="1"/>
  <c r="AS11" i="66" s="1"/>
  <c r="G11" i="66"/>
  <c r="AF11" i="66" s="1"/>
  <c r="AR11" i="66" s="1"/>
  <c r="F11" i="66"/>
  <c r="AE11" i="66" s="1"/>
  <c r="AQ11" i="66" s="1"/>
  <c r="E11" i="66"/>
  <c r="AD11" i="66" s="1"/>
  <c r="AP11" i="66" s="1"/>
  <c r="D11" i="66"/>
  <c r="AC11" i="66" s="1"/>
  <c r="AO11" i="66" s="1"/>
  <c r="C11" i="66"/>
  <c r="AB11" i="66" s="1"/>
  <c r="AN11" i="66" s="1"/>
  <c r="B11" i="66"/>
  <c r="AA11" i="66" s="1"/>
  <c r="X10" i="66"/>
  <c r="J10" i="66"/>
  <c r="AI10" i="66" s="1"/>
  <c r="AU10" i="66" s="1"/>
  <c r="I10" i="66"/>
  <c r="AH10" i="66" s="1"/>
  <c r="AT10" i="66" s="1"/>
  <c r="H10" i="66"/>
  <c r="AG10" i="66" s="1"/>
  <c r="AS10" i="66" s="1"/>
  <c r="G10" i="66"/>
  <c r="AF10" i="66" s="1"/>
  <c r="AR10" i="66" s="1"/>
  <c r="F10" i="66"/>
  <c r="AE10" i="66" s="1"/>
  <c r="AQ10" i="66" s="1"/>
  <c r="E10" i="66"/>
  <c r="AD10" i="66" s="1"/>
  <c r="AP10" i="66" s="1"/>
  <c r="D10" i="66"/>
  <c r="AC10" i="66" s="1"/>
  <c r="AO10" i="66" s="1"/>
  <c r="C10" i="66"/>
  <c r="AB10" i="66" s="1"/>
  <c r="AN10" i="66" s="1"/>
  <c r="B10" i="66"/>
  <c r="AA10" i="66" s="1"/>
  <c r="X9" i="66"/>
  <c r="J9" i="66"/>
  <c r="AI9" i="66" s="1"/>
  <c r="AU9" i="66" s="1"/>
  <c r="I9" i="66"/>
  <c r="AH9" i="66" s="1"/>
  <c r="AT9" i="66" s="1"/>
  <c r="H9" i="66"/>
  <c r="AG9" i="66" s="1"/>
  <c r="AS9" i="66" s="1"/>
  <c r="G9" i="66"/>
  <c r="AF9" i="66" s="1"/>
  <c r="AR9" i="66" s="1"/>
  <c r="F9" i="66"/>
  <c r="AE9" i="66" s="1"/>
  <c r="AQ9" i="66" s="1"/>
  <c r="E9" i="66"/>
  <c r="AD9" i="66" s="1"/>
  <c r="AP9" i="66" s="1"/>
  <c r="D9" i="66"/>
  <c r="AC9" i="66" s="1"/>
  <c r="AO9" i="66" s="1"/>
  <c r="C9" i="66"/>
  <c r="AB9" i="66" s="1"/>
  <c r="AN9" i="66" s="1"/>
  <c r="B9" i="66"/>
  <c r="AA9" i="66" s="1"/>
  <c r="X8" i="66"/>
  <c r="J8" i="66"/>
  <c r="AI8" i="66" s="1"/>
  <c r="AU8" i="66" s="1"/>
  <c r="I8" i="66"/>
  <c r="AH8" i="66" s="1"/>
  <c r="AT8" i="66" s="1"/>
  <c r="H8" i="66"/>
  <c r="AG8" i="66" s="1"/>
  <c r="AS8" i="66" s="1"/>
  <c r="G8" i="66"/>
  <c r="AF8" i="66" s="1"/>
  <c r="AR8" i="66" s="1"/>
  <c r="F8" i="66"/>
  <c r="AE8" i="66" s="1"/>
  <c r="AQ8" i="66" s="1"/>
  <c r="E8" i="66"/>
  <c r="AD8" i="66" s="1"/>
  <c r="AP8" i="66" s="1"/>
  <c r="D8" i="66"/>
  <c r="AC8" i="66" s="1"/>
  <c r="AO8" i="66" s="1"/>
  <c r="C8" i="66"/>
  <c r="AB8" i="66" s="1"/>
  <c r="AN8" i="66" s="1"/>
  <c r="B8" i="66"/>
  <c r="AA8" i="66" s="1"/>
  <c r="X7" i="66"/>
  <c r="J7" i="66"/>
  <c r="AI7" i="66" s="1"/>
  <c r="AU7" i="66" s="1"/>
  <c r="I7" i="66"/>
  <c r="AH7" i="66" s="1"/>
  <c r="AT7" i="66" s="1"/>
  <c r="H7" i="66"/>
  <c r="AG7" i="66" s="1"/>
  <c r="AS7" i="66" s="1"/>
  <c r="G7" i="66"/>
  <c r="AF7" i="66" s="1"/>
  <c r="AR7" i="66" s="1"/>
  <c r="F7" i="66"/>
  <c r="AE7" i="66" s="1"/>
  <c r="AQ7" i="66" s="1"/>
  <c r="E7" i="66"/>
  <c r="AD7" i="66" s="1"/>
  <c r="AP7" i="66" s="1"/>
  <c r="D7" i="66"/>
  <c r="AC7" i="66" s="1"/>
  <c r="AO7" i="66" s="1"/>
  <c r="C7" i="66"/>
  <c r="AB7" i="66" s="1"/>
  <c r="AN7" i="66" s="1"/>
  <c r="B7" i="66"/>
  <c r="AA7" i="66" s="1"/>
  <c r="AM7" i="66" s="1"/>
  <c r="X6" i="66"/>
  <c r="J6" i="66"/>
  <c r="AI6" i="66" s="1"/>
  <c r="I6" i="66"/>
  <c r="AH6" i="66" s="1"/>
  <c r="H6" i="66"/>
  <c r="G6" i="66"/>
  <c r="AF6" i="66" s="1"/>
  <c r="AR6" i="66" s="1"/>
  <c r="F6" i="66"/>
  <c r="AE6" i="66" s="1"/>
  <c r="E6" i="66"/>
  <c r="D6" i="66"/>
  <c r="AC6" i="66" s="1"/>
  <c r="C6" i="66"/>
  <c r="AB6" i="66" s="1"/>
  <c r="AN6" i="66" s="1"/>
  <c r="B6" i="66"/>
  <c r="AA6" i="66" s="1"/>
  <c r="K9" i="66" l="1"/>
  <c r="K39" i="66"/>
  <c r="AO36" i="66"/>
  <c r="AJ36" i="66"/>
  <c r="AV50" i="66"/>
  <c r="K14" i="66"/>
  <c r="K22" i="66"/>
  <c r="K51" i="66"/>
  <c r="K7" i="66"/>
  <c r="K29" i="66"/>
  <c r="K23" i="66"/>
  <c r="K35" i="66"/>
  <c r="K11" i="66"/>
  <c r="K41" i="66"/>
  <c r="K53" i="66"/>
  <c r="AJ34" i="66"/>
  <c r="AV38" i="66"/>
  <c r="E57" i="66"/>
  <c r="K27" i="66"/>
  <c r="AA39" i="66"/>
  <c r="AM39" i="66" s="1"/>
  <c r="K47" i="66"/>
  <c r="G57" i="66"/>
  <c r="H57" i="66"/>
  <c r="AA22" i="66"/>
  <c r="AM22" i="66" s="1"/>
  <c r="AA51" i="66"/>
  <c r="AM51" i="66" s="1"/>
  <c r="AJ17" i="66"/>
  <c r="K34" i="66"/>
  <c r="AJ16" i="66"/>
  <c r="AM16" i="66"/>
  <c r="AM11" i="66"/>
  <c r="AJ11" i="66"/>
  <c r="AM8" i="66"/>
  <c r="AJ8" i="66"/>
  <c r="AR57" i="66"/>
  <c r="AJ9" i="66"/>
  <c r="AM9" i="66"/>
  <c r="AM6" i="66"/>
  <c r="AV13" i="66"/>
  <c r="AE57" i="66"/>
  <c r="AQ6" i="66"/>
  <c r="AV7" i="66"/>
  <c r="AM15" i="66"/>
  <c r="AJ15" i="66"/>
  <c r="AO6" i="66"/>
  <c r="AM10" i="66"/>
  <c r="AJ10" i="66"/>
  <c r="AO12" i="66"/>
  <c r="AJ12" i="66"/>
  <c r="AH57" i="66"/>
  <c r="K20" i="66"/>
  <c r="AA20" i="66"/>
  <c r="AJ41" i="66"/>
  <c r="AM43" i="66"/>
  <c r="AJ43" i="66"/>
  <c r="AJ46" i="66"/>
  <c r="AM46" i="66"/>
  <c r="AV53" i="66"/>
  <c r="J57" i="66"/>
  <c r="AB14" i="66"/>
  <c r="AN14" i="66" s="1"/>
  <c r="AM17" i="66"/>
  <c r="AM26" i="66"/>
  <c r="AJ26" i="66"/>
  <c r="AV35" i="66"/>
  <c r="AV47" i="66"/>
  <c r="AI57" i="66"/>
  <c r="K49" i="66"/>
  <c r="AB49" i="66"/>
  <c r="K6" i="66"/>
  <c r="K12" i="66"/>
  <c r="AM21" i="66"/>
  <c r="AJ21" i="66"/>
  <c r="AJ29" i="66"/>
  <c r="K37" i="66"/>
  <c r="AB37" i="66"/>
  <c r="AM41" i="66"/>
  <c r="K44" i="66"/>
  <c r="AA44" i="66"/>
  <c r="AM54" i="66"/>
  <c r="AV48" i="66"/>
  <c r="X57" i="66"/>
  <c r="AM27" i="66"/>
  <c r="AJ27" i="66"/>
  <c r="K8" i="66"/>
  <c r="AJ13" i="66"/>
  <c r="AM18" i="66"/>
  <c r="AJ18" i="66"/>
  <c r="K32" i="66"/>
  <c r="AA32" i="66"/>
  <c r="AM52" i="66"/>
  <c r="AJ52" i="66"/>
  <c r="K56" i="66"/>
  <c r="AA56" i="66"/>
  <c r="I57" i="66"/>
  <c r="AV29" i="66"/>
  <c r="C57" i="66"/>
  <c r="K10" i="66"/>
  <c r="K16" i="66"/>
  <c r="AV24" i="66"/>
  <c r="AM40" i="66"/>
  <c r="AJ40" i="66"/>
  <c r="AM42" i="66"/>
  <c r="K15" i="66"/>
  <c r="AM31" i="66"/>
  <c r="AJ31" i="66"/>
  <c r="B57" i="66"/>
  <c r="AJ24" i="66"/>
  <c r="K54" i="66"/>
  <c r="AC54" i="66"/>
  <c r="AO54" i="66" s="1"/>
  <c r="D57" i="66"/>
  <c r="AD6" i="66"/>
  <c r="K13" i="66"/>
  <c r="AM33" i="66"/>
  <c r="AJ33" i="66"/>
  <c r="AJ53" i="66"/>
  <c r="AJ7" i="66"/>
  <c r="K17" i="66"/>
  <c r="AV23" i="66"/>
  <c r="AM30" i="66"/>
  <c r="K38" i="66"/>
  <c r="K42" i="66"/>
  <c r="AC42" i="66"/>
  <c r="AO42" i="66" s="1"/>
  <c r="AM45" i="66"/>
  <c r="AJ45" i="66"/>
  <c r="AF57" i="66"/>
  <c r="AT6" i="66"/>
  <c r="AT57" i="66" s="1"/>
  <c r="K25" i="66"/>
  <c r="AB25" i="66"/>
  <c r="AM28" i="66"/>
  <c r="AJ28" i="66"/>
  <c r="AM55" i="66"/>
  <c r="AJ55" i="66"/>
  <c r="F57" i="66"/>
  <c r="AV19" i="66"/>
  <c r="AG6" i="66"/>
  <c r="AU6" i="66"/>
  <c r="AJ19" i="66"/>
  <c r="K30" i="66"/>
  <c r="AC30" i="66"/>
  <c r="AO30" i="66" s="1"/>
  <c r="AJ48" i="66"/>
  <c r="AM34" i="66"/>
  <c r="K46" i="66"/>
  <c r="K24" i="66"/>
  <c r="K36" i="66"/>
  <c r="K48" i="66"/>
  <c r="K19" i="66"/>
  <c r="K31" i="66"/>
  <c r="AJ38" i="66"/>
  <c r="K43" i="66"/>
  <c r="AJ50" i="66"/>
  <c r="K55" i="66"/>
  <c r="K26" i="66"/>
  <c r="K50" i="66"/>
  <c r="K21" i="66"/>
  <c r="K33" i="66"/>
  <c r="K45" i="66"/>
  <c r="AJ23" i="66"/>
  <c r="K28" i="66"/>
  <c r="AJ35" i="66"/>
  <c r="K40" i="66"/>
  <c r="AJ47" i="66"/>
  <c r="K52" i="66"/>
  <c r="K18" i="66"/>
  <c r="AJ22" i="66" l="1"/>
  <c r="AV34" i="66"/>
  <c r="AV18" i="66"/>
  <c r="AV26" i="66"/>
  <c r="AV51" i="66"/>
  <c r="AV17" i="66"/>
  <c r="AV9" i="66"/>
  <c r="AV22" i="66"/>
  <c r="AV12" i="66"/>
  <c r="AV21" i="66"/>
  <c r="AV27" i="66"/>
  <c r="AV10" i="66"/>
  <c r="AV46" i="66"/>
  <c r="AV8" i="66"/>
  <c r="AV39" i="66"/>
  <c r="AV31" i="66"/>
  <c r="AV15" i="66"/>
  <c r="AV11" i="66"/>
  <c r="AV33" i="66"/>
  <c r="AV52" i="66"/>
  <c r="AV43" i="66"/>
  <c r="AV16" i="66"/>
  <c r="AV55" i="66"/>
  <c r="AV28" i="66"/>
  <c r="AU57" i="66"/>
  <c r="AQ57" i="66"/>
  <c r="AV45" i="66"/>
  <c r="AV40" i="66"/>
  <c r="AV41" i="66"/>
  <c r="AV36" i="66"/>
  <c r="AJ39" i="66"/>
  <c r="AJ14" i="66"/>
  <c r="AO57" i="66"/>
  <c r="AJ6" i="66"/>
  <c r="AC57" i="66"/>
  <c r="AJ51" i="66"/>
  <c r="AJ30" i="66"/>
  <c r="AM32" i="66"/>
  <c r="AJ32" i="66"/>
  <c r="AN25" i="66"/>
  <c r="AJ25" i="66"/>
  <c r="AN37" i="66"/>
  <c r="AJ37" i="66"/>
  <c r="AV14" i="66"/>
  <c r="AM44" i="66"/>
  <c r="AJ44" i="66"/>
  <c r="K57" i="66"/>
  <c r="AM20" i="66"/>
  <c r="AJ20" i="66"/>
  <c r="AG57" i="66"/>
  <c r="AS6" i="66"/>
  <c r="AB57" i="66"/>
  <c r="AM56" i="66"/>
  <c r="AJ56" i="66"/>
  <c r="AJ42" i="66"/>
  <c r="AD57" i="66"/>
  <c r="AP6" i="66"/>
  <c r="AV42" i="66"/>
  <c r="AV30" i="66"/>
  <c r="AJ54" i="66"/>
  <c r="AN49" i="66"/>
  <c r="AJ49" i="66"/>
  <c r="AA57" i="66"/>
  <c r="AV54" i="66"/>
  <c r="AP57" i="66" l="1"/>
  <c r="AV44" i="66"/>
  <c r="AV37" i="66"/>
  <c r="AV56" i="66"/>
  <c r="AV25" i="66"/>
  <c r="AS57" i="66"/>
  <c r="AV32" i="66"/>
  <c r="AV49" i="66"/>
  <c r="AV20" i="66"/>
  <c r="AN57" i="66"/>
  <c r="AJ57" i="66"/>
  <c r="AV6" i="66"/>
  <c r="AM57" i="66"/>
  <c r="AV57" i="66" l="1"/>
  <c r="C13" i="41"/>
  <c r="C12" i="41"/>
  <c r="C11" i="41"/>
  <c r="C9" i="41"/>
  <c r="C8" i="41"/>
  <c r="C6" i="41"/>
  <c r="C5" i="41"/>
  <c r="C4" i="41"/>
  <c r="G58" i="65" l="1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15" i="65"/>
  <c r="G14" i="65"/>
  <c r="G13" i="65"/>
  <c r="G12" i="65"/>
  <c r="G11" i="65"/>
  <c r="G10" i="65"/>
  <c r="G9" i="65"/>
  <c r="G8" i="65"/>
  <c r="M5" i="41" l="1"/>
  <c r="O4" i="41"/>
  <c r="O5" i="41" s="1"/>
  <c r="L26" i="46" l="1"/>
  <c r="L31" i="46"/>
  <c r="L25" i="46"/>
  <c r="L27" i="46"/>
  <c r="L40" i="46"/>
  <c r="L8" i="46"/>
  <c r="L32" i="46"/>
  <c r="L9" i="46"/>
  <c r="L11" i="46"/>
  <c r="L42" i="46"/>
  <c r="L49" i="46"/>
  <c r="L30" i="46"/>
  <c r="L13" i="46"/>
  <c r="L43" i="46"/>
  <c r="L14" i="46"/>
  <c r="L44" i="46"/>
  <c r="L15" i="46"/>
  <c r="L45" i="46"/>
  <c r="L16" i="46"/>
  <c r="L47" i="46"/>
  <c r="L56" i="46"/>
  <c r="L28" i="46"/>
  <c r="L57" i="46"/>
  <c r="L18" i="46"/>
  <c r="L50" i="46"/>
  <c r="L19" i="46"/>
  <c r="L35" i="46"/>
  <c r="L51" i="46"/>
  <c r="L33" i="46"/>
  <c r="L20" i="46"/>
  <c r="L52" i="46"/>
  <c r="L21" i="46"/>
  <c r="L38" i="46"/>
  <c r="L54" i="46"/>
  <c r="L37" i="46"/>
  <c r="L7" i="46"/>
  <c r="L23" i="46"/>
  <c r="L39" i="46"/>
  <c r="L55" i="46"/>
  <c r="L17" i="46"/>
  <c r="L29" i="46"/>
  <c r="L41" i="46"/>
  <c r="L53" i="46"/>
  <c r="L10" i="46"/>
  <c r="L22" i="46"/>
  <c r="L34" i="46"/>
  <c r="L46" i="46"/>
  <c r="L12" i="46"/>
  <c r="L24" i="46"/>
  <c r="L36" i="46"/>
  <c r="L48" i="46"/>
  <c r="L58" i="46" l="1"/>
  <c r="D59" i="65" l="1"/>
  <c r="E58" i="65" s="1"/>
  <c r="B59" i="65"/>
  <c r="C58" i="65"/>
  <c r="E57" i="65"/>
  <c r="C57" i="65"/>
  <c r="C56" i="65"/>
  <c r="C55" i="65"/>
  <c r="E54" i="65"/>
  <c r="C54" i="65"/>
  <c r="C53" i="65"/>
  <c r="C52" i="65"/>
  <c r="E51" i="65"/>
  <c r="C51" i="65"/>
  <c r="C50" i="65"/>
  <c r="C49" i="65"/>
  <c r="E48" i="65"/>
  <c r="C48" i="65"/>
  <c r="C47" i="65"/>
  <c r="C46" i="65"/>
  <c r="E45" i="65"/>
  <c r="C45" i="65"/>
  <c r="C44" i="65"/>
  <c r="C43" i="65"/>
  <c r="E42" i="65"/>
  <c r="C42" i="65"/>
  <c r="C41" i="65"/>
  <c r="C40" i="65"/>
  <c r="E39" i="65"/>
  <c r="C39" i="65"/>
  <c r="C38" i="65"/>
  <c r="C37" i="65"/>
  <c r="E36" i="65"/>
  <c r="C36" i="65"/>
  <c r="E35" i="65"/>
  <c r="C35" i="65"/>
  <c r="C34" i="65"/>
  <c r="E33" i="65"/>
  <c r="C33" i="65"/>
  <c r="E32" i="65"/>
  <c r="C32" i="65"/>
  <c r="E31" i="65"/>
  <c r="C31" i="65"/>
  <c r="E30" i="65"/>
  <c r="C30" i="65"/>
  <c r="E29" i="65"/>
  <c r="C29" i="65"/>
  <c r="E28" i="65"/>
  <c r="C28" i="65"/>
  <c r="E27" i="65"/>
  <c r="C27" i="65"/>
  <c r="E26" i="65"/>
  <c r="C26" i="65"/>
  <c r="E25" i="65"/>
  <c r="C25" i="65"/>
  <c r="E24" i="65"/>
  <c r="C24" i="65"/>
  <c r="E23" i="65"/>
  <c r="C23" i="65"/>
  <c r="E22" i="65"/>
  <c r="C22" i="65"/>
  <c r="E21" i="65"/>
  <c r="C21" i="65"/>
  <c r="E20" i="65"/>
  <c r="C20" i="65"/>
  <c r="E19" i="65"/>
  <c r="C19" i="65"/>
  <c r="E18" i="65"/>
  <c r="C18" i="65"/>
  <c r="E17" i="65"/>
  <c r="C17" i="65"/>
  <c r="E16" i="65"/>
  <c r="C16" i="65"/>
  <c r="E15" i="65"/>
  <c r="C15" i="65"/>
  <c r="E14" i="65"/>
  <c r="C14" i="65"/>
  <c r="E13" i="65"/>
  <c r="C13" i="65"/>
  <c r="E12" i="65"/>
  <c r="C12" i="65"/>
  <c r="E11" i="65"/>
  <c r="C11" i="65"/>
  <c r="E10" i="65"/>
  <c r="C10" i="65"/>
  <c r="E9" i="65"/>
  <c r="C9" i="65"/>
  <c r="E8" i="65"/>
  <c r="C8" i="65"/>
  <c r="K6" i="65"/>
  <c r="J6" i="65" s="1"/>
  <c r="J11" i="65" l="1"/>
  <c r="J44" i="65"/>
  <c r="J31" i="65"/>
  <c r="J15" i="65"/>
  <c r="J25" i="65"/>
  <c r="J40" i="65"/>
  <c r="J45" i="65"/>
  <c r="J51" i="65"/>
  <c r="J56" i="65"/>
  <c r="J32" i="65"/>
  <c r="J29" i="65"/>
  <c r="J46" i="65"/>
  <c r="H6" i="65"/>
  <c r="H11" i="65" s="1"/>
  <c r="J36" i="65"/>
  <c r="I6" i="65"/>
  <c r="I9" i="65" s="1"/>
  <c r="J10" i="65"/>
  <c r="J13" i="65"/>
  <c r="J26" i="65"/>
  <c r="J47" i="65"/>
  <c r="J52" i="65"/>
  <c r="J57" i="65"/>
  <c r="J19" i="65"/>
  <c r="J41" i="65"/>
  <c r="J16" i="65"/>
  <c r="J23" i="65"/>
  <c r="J37" i="65"/>
  <c r="J42" i="65"/>
  <c r="J58" i="65"/>
  <c r="J20" i="65"/>
  <c r="J33" i="65"/>
  <c r="J53" i="65"/>
  <c r="J17" i="65"/>
  <c r="J30" i="65"/>
  <c r="J38" i="65"/>
  <c r="J43" i="65"/>
  <c r="J48" i="65"/>
  <c r="J14" i="65"/>
  <c r="J27" i="65"/>
  <c r="J34" i="65"/>
  <c r="J12" i="65"/>
  <c r="J54" i="65"/>
  <c r="J9" i="65"/>
  <c r="J8" i="65"/>
  <c r="J24" i="65"/>
  <c r="J22" i="65"/>
  <c r="J49" i="65"/>
  <c r="J21" i="65"/>
  <c r="J39" i="65"/>
  <c r="J18" i="65"/>
  <c r="J28" i="65"/>
  <c r="J35" i="65"/>
  <c r="J50" i="65"/>
  <c r="J55" i="65"/>
  <c r="E38" i="65"/>
  <c r="E41" i="65"/>
  <c r="E44" i="65"/>
  <c r="E47" i="65"/>
  <c r="E50" i="65"/>
  <c r="E53" i="65"/>
  <c r="E56" i="65"/>
  <c r="C59" i="65"/>
  <c r="E59" i="65"/>
  <c r="G59" i="65"/>
  <c r="E34" i="65"/>
  <c r="E37" i="65"/>
  <c r="E40" i="65"/>
  <c r="E43" i="65"/>
  <c r="E46" i="65"/>
  <c r="E49" i="65"/>
  <c r="E52" i="65"/>
  <c r="E55" i="65"/>
  <c r="I51" i="65" l="1"/>
  <c r="I33" i="65"/>
  <c r="H8" i="65"/>
  <c r="H27" i="65"/>
  <c r="I39" i="65"/>
  <c r="H52" i="65"/>
  <c r="H22" i="65"/>
  <c r="H16" i="65"/>
  <c r="I56" i="65"/>
  <c r="H21" i="65"/>
  <c r="I55" i="65"/>
  <c r="I53" i="65"/>
  <c r="H36" i="65"/>
  <c r="H54" i="65"/>
  <c r="H30" i="65"/>
  <c r="J59" i="65"/>
  <c r="I21" i="65"/>
  <c r="I50" i="65"/>
  <c r="I15" i="65"/>
  <c r="I57" i="65"/>
  <c r="H56" i="65"/>
  <c r="I49" i="65"/>
  <c r="I47" i="65"/>
  <c r="H12" i="65"/>
  <c r="H42" i="65"/>
  <c r="H51" i="65"/>
  <c r="I46" i="65"/>
  <c r="I44" i="65"/>
  <c r="H9" i="65"/>
  <c r="K9" i="65" s="1"/>
  <c r="H29" i="65"/>
  <c r="I52" i="65"/>
  <c r="I43" i="65"/>
  <c r="I48" i="65"/>
  <c r="H40" i="65"/>
  <c r="I38" i="65"/>
  <c r="I58" i="65"/>
  <c r="I30" i="65"/>
  <c r="H32" i="65"/>
  <c r="H37" i="65"/>
  <c r="I37" i="65"/>
  <c r="H15" i="65"/>
  <c r="I54" i="65"/>
  <c r="I27" i="65"/>
  <c r="H53" i="65"/>
  <c r="I36" i="65"/>
  <c r="I41" i="65"/>
  <c r="I40" i="65"/>
  <c r="H34" i="65"/>
  <c r="I34" i="65"/>
  <c r="H24" i="65"/>
  <c r="H48" i="65"/>
  <c r="I42" i="65"/>
  <c r="H26" i="65"/>
  <c r="H31" i="65"/>
  <c r="H33" i="65"/>
  <c r="I12" i="65"/>
  <c r="H25" i="65"/>
  <c r="I45" i="65"/>
  <c r="I18" i="65"/>
  <c r="I24" i="65"/>
  <c r="H58" i="65"/>
  <c r="H10" i="65"/>
  <c r="H41" i="65"/>
  <c r="H28" i="65"/>
  <c r="H55" i="65"/>
  <c r="H19" i="65"/>
  <c r="H14" i="65"/>
  <c r="H20" i="65"/>
  <c r="H49" i="65"/>
  <c r="H13" i="65"/>
  <c r="H18" i="65"/>
  <c r="H47" i="65"/>
  <c r="H35" i="65"/>
  <c r="H17" i="65"/>
  <c r="H46" i="65"/>
  <c r="H44" i="65"/>
  <c r="H23" i="65"/>
  <c r="H57" i="65"/>
  <c r="H45" i="65"/>
  <c r="H43" i="65"/>
  <c r="H50" i="65"/>
  <c r="H39" i="65"/>
  <c r="H38" i="65"/>
  <c r="I31" i="65"/>
  <c r="I8" i="65"/>
  <c r="I14" i="65"/>
  <c r="I17" i="65"/>
  <c r="I25" i="65"/>
  <c r="I20" i="65"/>
  <c r="I23" i="65"/>
  <c r="I10" i="65"/>
  <c r="I26" i="65"/>
  <c r="I13" i="65"/>
  <c r="I32" i="65"/>
  <c r="I29" i="65"/>
  <c r="I16" i="65"/>
  <c r="I19" i="65"/>
  <c r="I22" i="65"/>
  <c r="I35" i="65"/>
  <c r="I28" i="65"/>
  <c r="I11" i="65"/>
  <c r="K52" i="65" l="1"/>
  <c r="K51" i="65"/>
  <c r="K22" i="65"/>
  <c r="K46" i="65"/>
  <c r="K56" i="65"/>
  <c r="K16" i="65"/>
  <c r="K31" i="65"/>
  <c r="K57" i="65"/>
  <c r="K15" i="65"/>
  <c r="K21" i="65"/>
  <c r="K8" i="65"/>
  <c r="K58" i="65"/>
  <c r="K25" i="65"/>
  <c r="K33" i="65"/>
  <c r="K53" i="65"/>
  <c r="K39" i="65"/>
  <c r="K27" i="65"/>
  <c r="K55" i="65"/>
  <c r="K32" i="65"/>
  <c r="K40" i="65"/>
  <c r="K36" i="65"/>
  <c r="K34" i="65"/>
  <c r="K30" i="65"/>
  <c r="K14" i="65"/>
  <c r="K44" i="65"/>
  <c r="K12" i="65"/>
  <c r="K54" i="65"/>
  <c r="K47" i="65"/>
  <c r="K41" i="65"/>
  <c r="K48" i="65"/>
  <c r="K38" i="65"/>
  <c r="K49" i="65"/>
  <c r="K43" i="65"/>
  <c r="I59" i="65"/>
  <c r="K24" i="65"/>
  <c r="K37" i="65"/>
  <c r="K42" i="65"/>
  <c r="K18" i="65"/>
  <c r="K50" i="65"/>
  <c r="K19" i="65"/>
  <c r="K29" i="65"/>
  <c r="K26" i="65"/>
  <c r="K45" i="65"/>
  <c r="K11" i="65"/>
  <c r="K13" i="65"/>
  <c r="K23" i="65"/>
  <c r="K17" i="65"/>
  <c r="K35" i="65"/>
  <c r="K10" i="65"/>
  <c r="H59" i="65"/>
  <c r="K20" i="65"/>
  <c r="K28" i="65"/>
  <c r="K59" i="65" l="1"/>
  <c r="L28" i="65" s="1"/>
  <c r="L44" i="65" l="1"/>
  <c r="L40" i="65"/>
  <c r="L43" i="65"/>
  <c r="L15" i="65"/>
  <c r="L48" i="65"/>
  <c r="L52" i="65"/>
  <c r="L53" i="65"/>
  <c r="L45" i="65"/>
  <c r="L9" i="65"/>
  <c r="L42" i="65"/>
  <c r="L58" i="65"/>
  <c r="L32" i="65"/>
  <c r="L51" i="65"/>
  <c r="L22" i="65"/>
  <c r="L46" i="65"/>
  <c r="L36" i="65"/>
  <c r="L50" i="65"/>
  <c r="L31" i="65"/>
  <c r="L49" i="65"/>
  <c r="L26" i="65"/>
  <c r="L33" i="65"/>
  <c r="L10" i="65"/>
  <c r="L39" i="65"/>
  <c r="L35" i="65"/>
  <c r="L19" i="65"/>
  <c r="L56" i="65"/>
  <c r="L37" i="65"/>
  <c r="L30" i="65"/>
  <c r="L13" i="65"/>
  <c r="L8" i="65"/>
  <c r="L17" i="65"/>
  <c r="L25" i="65"/>
  <c r="L21" i="65"/>
  <c r="L55" i="65"/>
  <c r="L14" i="65"/>
  <c r="L12" i="65"/>
  <c r="L27" i="65"/>
  <c r="L57" i="65"/>
  <c r="L11" i="65"/>
  <c r="L54" i="65"/>
  <c r="L47" i="65"/>
  <c r="L16" i="65"/>
  <c r="L23" i="65"/>
  <c r="L20" i="65"/>
  <c r="L18" i="65"/>
  <c r="L38" i="65"/>
  <c r="L24" i="65"/>
  <c r="L34" i="65"/>
  <c r="L29" i="65"/>
  <c r="L41" i="65"/>
  <c r="C10" i="41" l="1"/>
  <c r="L59" i="65"/>
  <c r="V57" i="61"/>
  <c r="G10" i="41" l="1"/>
  <c r="H9" i="41"/>
  <c r="H8" i="41"/>
  <c r="H7" i="41"/>
  <c r="H6" i="41"/>
  <c r="H5" i="41"/>
  <c r="H4" i="41"/>
  <c r="H10" i="41" l="1"/>
  <c r="H15" i="41" s="1"/>
  <c r="Q58" i="63"/>
  <c r="P58" i="63"/>
  <c r="R54" i="63" s="1"/>
  <c r="S54" i="63" s="1"/>
  <c r="O58" i="63"/>
  <c r="K58" i="63"/>
  <c r="L53" i="63" s="1"/>
  <c r="H58" i="63"/>
  <c r="D58" i="63"/>
  <c r="C58" i="63"/>
  <c r="V57" i="63"/>
  <c r="L57" i="63"/>
  <c r="M57" i="63" s="1"/>
  <c r="E57" i="63"/>
  <c r="F57" i="63" s="1"/>
  <c r="V56" i="63"/>
  <c r="R56" i="63"/>
  <c r="S56" i="63" s="1"/>
  <c r="L56" i="63"/>
  <c r="M56" i="63" s="1"/>
  <c r="F56" i="63"/>
  <c r="E56" i="63"/>
  <c r="V55" i="63"/>
  <c r="L55" i="63"/>
  <c r="M55" i="63" s="1"/>
  <c r="E55" i="63"/>
  <c r="F55" i="63" s="1"/>
  <c r="V54" i="63"/>
  <c r="L54" i="63"/>
  <c r="M54" i="63" s="1"/>
  <c r="E54" i="63"/>
  <c r="F54" i="63" s="1"/>
  <c r="V53" i="63"/>
  <c r="M53" i="63"/>
  <c r="I53" i="63"/>
  <c r="J53" i="63" s="1"/>
  <c r="E53" i="63"/>
  <c r="F53" i="63" s="1"/>
  <c r="V52" i="63"/>
  <c r="L52" i="63"/>
  <c r="M52" i="63" s="1"/>
  <c r="E52" i="63"/>
  <c r="F52" i="63" s="1"/>
  <c r="V51" i="63"/>
  <c r="L51" i="63"/>
  <c r="M51" i="63" s="1"/>
  <c r="E51" i="63"/>
  <c r="F51" i="63" s="1"/>
  <c r="V50" i="63"/>
  <c r="R50" i="63"/>
  <c r="S50" i="63" s="1"/>
  <c r="L50" i="63"/>
  <c r="M50" i="63" s="1"/>
  <c r="E50" i="63"/>
  <c r="F50" i="63" s="1"/>
  <c r="V49" i="63"/>
  <c r="L49" i="63"/>
  <c r="M49" i="63" s="1"/>
  <c r="E49" i="63"/>
  <c r="F49" i="63" s="1"/>
  <c r="V48" i="63"/>
  <c r="L48" i="63"/>
  <c r="M48" i="63" s="1"/>
  <c r="E48" i="63"/>
  <c r="F48" i="63" s="1"/>
  <c r="V47" i="63"/>
  <c r="E47" i="63"/>
  <c r="F47" i="63" s="1"/>
  <c r="V46" i="63"/>
  <c r="R46" i="63"/>
  <c r="S46" i="63" s="1"/>
  <c r="L46" i="63"/>
  <c r="M46" i="63" s="1"/>
  <c r="E46" i="63"/>
  <c r="F46" i="63" s="1"/>
  <c r="V45" i="63"/>
  <c r="R45" i="63"/>
  <c r="S45" i="63" s="1"/>
  <c r="L45" i="63"/>
  <c r="M45" i="63" s="1"/>
  <c r="E45" i="63"/>
  <c r="F45" i="63" s="1"/>
  <c r="V44" i="63"/>
  <c r="R44" i="63"/>
  <c r="S44" i="63" s="1"/>
  <c r="L44" i="63"/>
  <c r="M44" i="63" s="1"/>
  <c r="I44" i="63"/>
  <c r="J44" i="63" s="1"/>
  <c r="E44" i="63"/>
  <c r="F44" i="63" s="1"/>
  <c r="V43" i="63"/>
  <c r="L43" i="63"/>
  <c r="M43" i="63" s="1"/>
  <c r="I43" i="63"/>
  <c r="J43" i="63" s="1"/>
  <c r="E43" i="63"/>
  <c r="F43" i="63" s="1"/>
  <c r="V42" i="63"/>
  <c r="R42" i="63"/>
  <c r="S42" i="63" s="1"/>
  <c r="L42" i="63"/>
  <c r="M42" i="63" s="1"/>
  <c r="E42" i="63"/>
  <c r="F42" i="63" s="1"/>
  <c r="V41" i="63"/>
  <c r="E41" i="63"/>
  <c r="F41" i="63" s="1"/>
  <c r="V40" i="63"/>
  <c r="L40" i="63"/>
  <c r="M40" i="63" s="1"/>
  <c r="E40" i="63"/>
  <c r="F40" i="63" s="1"/>
  <c r="V39" i="63"/>
  <c r="R39" i="63"/>
  <c r="S39" i="63" s="1"/>
  <c r="M39" i="63"/>
  <c r="L39" i="63"/>
  <c r="E39" i="63"/>
  <c r="F39" i="63" s="1"/>
  <c r="V38" i="63"/>
  <c r="M38" i="63"/>
  <c r="L38" i="63"/>
  <c r="I38" i="63"/>
  <c r="J38" i="63" s="1"/>
  <c r="E38" i="63"/>
  <c r="F38" i="63" s="1"/>
  <c r="V37" i="63"/>
  <c r="L37" i="63"/>
  <c r="M37" i="63" s="1"/>
  <c r="E37" i="63"/>
  <c r="F37" i="63" s="1"/>
  <c r="V36" i="63"/>
  <c r="L36" i="63"/>
  <c r="M36" i="63" s="1"/>
  <c r="E36" i="63"/>
  <c r="F36" i="63" s="1"/>
  <c r="V35" i="63"/>
  <c r="I35" i="63"/>
  <c r="J35" i="63" s="1"/>
  <c r="E35" i="63"/>
  <c r="F35" i="63" s="1"/>
  <c r="V34" i="63"/>
  <c r="R34" i="63"/>
  <c r="S34" i="63" s="1"/>
  <c r="L34" i="63"/>
  <c r="M34" i="63" s="1"/>
  <c r="E34" i="63"/>
  <c r="F34" i="63" s="1"/>
  <c r="V33" i="63"/>
  <c r="R33" i="63"/>
  <c r="S33" i="63" s="1"/>
  <c r="L33" i="63"/>
  <c r="M33" i="63" s="1"/>
  <c r="E33" i="63"/>
  <c r="F33" i="63" s="1"/>
  <c r="V32" i="63"/>
  <c r="R32" i="63"/>
  <c r="S32" i="63" s="1"/>
  <c r="L32" i="63"/>
  <c r="M32" i="63" s="1"/>
  <c r="E32" i="63"/>
  <c r="F32" i="63" s="1"/>
  <c r="V31" i="63"/>
  <c r="R31" i="63"/>
  <c r="S31" i="63" s="1"/>
  <c r="M31" i="63"/>
  <c r="L31" i="63"/>
  <c r="I31" i="63"/>
  <c r="J31" i="63" s="1"/>
  <c r="E31" i="63"/>
  <c r="F31" i="63" s="1"/>
  <c r="V30" i="63"/>
  <c r="L30" i="63"/>
  <c r="M30" i="63" s="1"/>
  <c r="N30" i="63" s="1"/>
  <c r="I30" i="63"/>
  <c r="J30" i="63" s="1"/>
  <c r="E30" i="63"/>
  <c r="F30" i="63" s="1"/>
  <c r="V29" i="63"/>
  <c r="J29" i="63"/>
  <c r="I29" i="63"/>
  <c r="E29" i="63"/>
  <c r="F29" i="63" s="1"/>
  <c r="V28" i="63"/>
  <c r="R28" i="63"/>
  <c r="S28" i="63" s="1"/>
  <c r="L28" i="63"/>
  <c r="M28" i="63" s="1"/>
  <c r="E28" i="63"/>
  <c r="F28" i="63" s="1"/>
  <c r="V27" i="63"/>
  <c r="L27" i="63"/>
  <c r="M27" i="63" s="1"/>
  <c r="N27" i="63" s="1"/>
  <c r="I27" i="63"/>
  <c r="J27" i="63" s="1"/>
  <c r="E27" i="63"/>
  <c r="F27" i="63" s="1"/>
  <c r="V26" i="63"/>
  <c r="R26" i="63"/>
  <c r="S26" i="63" s="1"/>
  <c r="L26" i="63"/>
  <c r="M26" i="63" s="1"/>
  <c r="N26" i="63" s="1"/>
  <c r="I26" i="63"/>
  <c r="J26" i="63" s="1"/>
  <c r="F26" i="63"/>
  <c r="E26" i="63"/>
  <c r="V25" i="63"/>
  <c r="L25" i="63"/>
  <c r="M25" i="63" s="1"/>
  <c r="I25" i="63"/>
  <c r="J25" i="63" s="1"/>
  <c r="E25" i="63"/>
  <c r="F25" i="63" s="1"/>
  <c r="V24" i="63"/>
  <c r="S24" i="63"/>
  <c r="R24" i="63"/>
  <c r="L24" i="63"/>
  <c r="M24" i="63" s="1"/>
  <c r="E24" i="63"/>
  <c r="F24" i="63" s="1"/>
  <c r="V23" i="63"/>
  <c r="E23" i="63"/>
  <c r="F23" i="63" s="1"/>
  <c r="V22" i="63"/>
  <c r="L22" i="63"/>
  <c r="M22" i="63" s="1"/>
  <c r="E22" i="63"/>
  <c r="F22" i="63" s="1"/>
  <c r="V21" i="63"/>
  <c r="S21" i="63"/>
  <c r="R21" i="63"/>
  <c r="M21" i="63"/>
  <c r="N21" i="63" s="1"/>
  <c r="L21" i="63"/>
  <c r="I21" i="63"/>
  <c r="J21" i="63" s="1"/>
  <c r="E21" i="63"/>
  <c r="F21" i="63" s="1"/>
  <c r="V20" i="63"/>
  <c r="L20" i="63"/>
  <c r="M20" i="63" s="1"/>
  <c r="I20" i="63"/>
  <c r="J20" i="63" s="1"/>
  <c r="E20" i="63"/>
  <c r="F20" i="63" s="1"/>
  <c r="V19" i="63"/>
  <c r="L19" i="63"/>
  <c r="M19" i="63" s="1"/>
  <c r="E19" i="63"/>
  <c r="F19" i="63" s="1"/>
  <c r="V18" i="63"/>
  <c r="R18" i="63"/>
  <c r="S18" i="63" s="1"/>
  <c r="L18" i="63"/>
  <c r="M18" i="63" s="1"/>
  <c r="I18" i="63"/>
  <c r="J18" i="63" s="1"/>
  <c r="E18" i="63"/>
  <c r="F18" i="63" s="1"/>
  <c r="V17" i="63"/>
  <c r="L17" i="63"/>
  <c r="M17" i="63" s="1"/>
  <c r="I17" i="63"/>
  <c r="J17" i="63" s="1"/>
  <c r="E17" i="63"/>
  <c r="F17" i="63" s="1"/>
  <c r="V16" i="63"/>
  <c r="M16" i="63"/>
  <c r="L16" i="63"/>
  <c r="E16" i="63"/>
  <c r="F16" i="63" s="1"/>
  <c r="V15" i="63"/>
  <c r="R15" i="63"/>
  <c r="S15" i="63" s="1"/>
  <c r="L15" i="63"/>
  <c r="M15" i="63" s="1"/>
  <c r="N15" i="63" s="1"/>
  <c r="I15" i="63"/>
  <c r="J15" i="63" s="1"/>
  <c r="E15" i="63"/>
  <c r="F15" i="63" s="1"/>
  <c r="V14" i="63"/>
  <c r="R14" i="63"/>
  <c r="S14" i="63" s="1"/>
  <c r="L14" i="63"/>
  <c r="M14" i="63" s="1"/>
  <c r="I14" i="63"/>
  <c r="J14" i="63" s="1"/>
  <c r="E14" i="63"/>
  <c r="F14" i="63" s="1"/>
  <c r="V13" i="63"/>
  <c r="M13" i="63"/>
  <c r="L13" i="63"/>
  <c r="E13" i="63"/>
  <c r="F13" i="63" s="1"/>
  <c r="V12" i="63"/>
  <c r="R12" i="63"/>
  <c r="S12" i="63" s="1"/>
  <c r="L12" i="63"/>
  <c r="M12" i="63" s="1"/>
  <c r="N12" i="63" s="1"/>
  <c r="I12" i="63"/>
  <c r="J12" i="63" s="1"/>
  <c r="E12" i="63"/>
  <c r="F12" i="63" s="1"/>
  <c r="V11" i="63"/>
  <c r="R11" i="63"/>
  <c r="S11" i="63" s="1"/>
  <c r="M11" i="63"/>
  <c r="L11" i="63"/>
  <c r="E11" i="63"/>
  <c r="F11" i="63" s="1"/>
  <c r="V10" i="63"/>
  <c r="L10" i="63"/>
  <c r="M10" i="63" s="1"/>
  <c r="E10" i="63"/>
  <c r="F10" i="63" s="1"/>
  <c r="V9" i="63"/>
  <c r="R9" i="63"/>
  <c r="S9" i="63" s="1"/>
  <c r="L9" i="63"/>
  <c r="M9" i="63" s="1"/>
  <c r="I9" i="63"/>
  <c r="J9" i="63" s="1"/>
  <c r="E9" i="63"/>
  <c r="F9" i="63" s="1"/>
  <c r="V8" i="63"/>
  <c r="R8" i="63"/>
  <c r="S8" i="63" s="1"/>
  <c r="L8" i="63"/>
  <c r="M8" i="63" s="1"/>
  <c r="F8" i="63"/>
  <c r="E8" i="63"/>
  <c r="V7" i="63"/>
  <c r="R7" i="63"/>
  <c r="M7" i="63"/>
  <c r="L7" i="63"/>
  <c r="I7" i="63"/>
  <c r="E7" i="63"/>
  <c r="F7" i="63" s="1"/>
  <c r="N18" i="63" l="1"/>
  <c r="N20" i="63"/>
  <c r="N25" i="63"/>
  <c r="E58" i="63"/>
  <c r="N31" i="63"/>
  <c r="N38" i="63"/>
  <c r="N9" i="63"/>
  <c r="N17" i="63"/>
  <c r="N10" i="63"/>
  <c r="W16" i="63"/>
  <c r="N14" i="63"/>
  <c r="N49" i="63"/>
  <c r="N44" i="63"/>
  <c r="W28" i="63"/>
  <c r="N52" i="63"/>
  <c r="W14" i="63"/>
  <c r="N43" i="63"/>
  <c r="F58" i="63"/>
  <c r="G36" i="63" s="1"/>
  <c r="W10" i="63"/>
  <c r="I52" i="63"/>
  <c r="J52" i="63" s="1"/>
  <c r="I46" i="63"/>
  <c r="J46" i="63" s="1"/>
  <c r="N46" i="63" s="1"/>
  <c r="I40" i="63"/>
  <c r="J40" i="63" s="1"/>
  <c r="N40" i="63" s="1"/>
  <c r="I34" i="63"/>
  <c r="J34" i="63" s="1"/>
  <c r="N34" i="63" s="1"/>
  <c r="I28" i="63"/>
  <c r="J28" i="63" s="1"/>
  <c r="N28" i="63" s="1"/>
  <c r="I22" i="63"/>
  <c r="J22" i="63" s="1"/>
  <c r="N22" i="63" s="1"/>
  <c r="I16" i="63"/>
  <c r="J16" i="63" s="1"/>
  <c r="N16" i="63" s="1"/>
  <c r="I55" i="63"/>
  <c r="J55" i="63" s="1"/>
  <c r="N55" i="63" s="1"/>
  <c r="I49" i="63"/>
  <c r="J49" i="63" s="1"/>
  <c r="I41" i="63"/>
  <c r="J41" i="63" s="1"/>
  <c r="I32" i="63"/>
  <c r="J32" i="63" s="1"/>
  <c r="N32" i="63" s="1"/>
  <c r="I23" i="63"/>
  <c r="J23" i="63" s="1"/>
  <c r="I11" i="63"/>
  <c r="J11" i="63" s="1"/>
  <c r="N11" i="63" s="1"/>
  <c r="I54" i="63"/>
  <c r="J54" i="63" s="1"/>
  <c r="I48" i="63"/>
  <c r="J48" i="63" s="1"/>
  <c r="I39" i="63"/>
  <c r="J39" i="63" s="1"/>
  <c r="N39" i="63" s="1"/>
  <c r="I37" i="63"/>
  <c r="J37" i="63" s="1"/>
  <c r="N37" i="63" s="1"/>
  <c r="I19" i="63"/>
  <c r="J19" i="63" s="1"/>
  <c r="N19" i="63" s="1"/>
  <c r="I57" i="63"/>
  <c r="J57" i="63" s="1"/>
  <c r="N57" i="63" s="1"/>
  <c r="I51" i="63"/>
  <c r="J51" i="63" s="1"/>
  <c r="N51" i="63" s="1"/>
  <c r="I33" i="63"/>
  <c r="J33" i="63" s="1"/>
  <c r="N33" i="63" s="1"/>
  <c r="I13" i="63"/>
  <c r="J13" i="63" s="1"/>
  <c r="N13" i="63" s="1"/>
  <c r="I42" i="63"/>
  <c r="J42" i="63" s="1"/>
  <c r="N42" i="63" s="1"/>
  <c r="I24" i="63"/>
  <c r="J24" i="63" s="1"/>
  <c r="N24" i="63" s="1"/>
  <c r="I8" i="63"/>
  <c r="J8" i="63" s="1"/>
  <c r="N8" i="63" s="1"/>
  <c r="I56" i="63"/>
  <c r="J56" i="63" s="1"/>
  <c r="N56" i="63" s="1"/>
  <c r="I50" i="63"/>
  <c r="J50" i="63" s="1"/>
  <c r="N50" i="63" s="1"/>
  <c r="I45" i="63"/>
  <c r="J45" i="63" s="1"/>
  <c r="N45" i="63" s="1"/>
  <c r="I36" i="63"/>
  <c r="J36" i="63" s="1"/>
  <c r="N36" i="63" s="1"/>
  <c r="I10" i="63"/>
  <c r="J10" i="63" s="1"/>
  <c r="J7" i="63"/>
  <c r="N7" i="63" s="1"/>
  <c r="W17" i="63"/>
  <c r="W42" i="63"/>
  <c r="S7" i="63"/>
  <c r="I47" i="63"/>
  <c r="J47" i="63" s="1"/>
  <c r="N53" i="63"/>
  <c r="V58" i="63"/>
  <c r="W29" i="63" s="1"/>
  <c r="R19" i="63"/>
  <c r="S19" i="63" s="1"/>
  <c r="R30" i="63"/>
  <c r="S30" i="63" s="1"/>
  <c r="R37" i="63"/>
  <c r="S37" i="63" s="1"/>
  <c r="R48" i="63"/>
  <c r="S48" i="63" s="1"/>
  <c r="R55" i="63"/>
  <c r="S55" i="63" s="1"/>
  <c r="R49" i="63"/>
  <c r="S49" i="63" s="1"/>
  <c r="R52" i="63"/>
  <c r="S52" i="63" s="1"/>
  <c r="R53" i="63"/>
  <c r="S53" i="63" s="1"/>
  <c r="R47" i="63"/>
  <c r="S47" i="63" s="1"/>
  <c r="R41" i="63"/>
  <c r="S41" i="63" s="1"/>
  <c r="R35" i="63"/>
  <c r="S35" i="63" s="1"/>
  <c r="R29" i="63"/>
  <c r="S29" i="63" s="1"/>
  <c r="R23" i="63"/>
  <c r="S23" i="63" s="1"/>
  <c r="W54" i="63"/>
  <c r="R25" i="63"/>
  <c r="S25" i="63" s="1"/>
  <c r="R36" i="63"/>
  <c r="S36" i="63" s="1"/>
  <c r="R43" i="63"/>
  <c r="S43" i="63" s="1"/>
  <c r="R10" i="63"/>
  <c r="S10" i="63" s="1"/>
  <c r="W21" i="63"/>
  <c r="R27" i="63"/>
  <c r="S27" i="63" s="1"/>
  <c r="R17" i="63"/>
  <c r="S17" i="63" s="1"/>
  <c r="R20" i="63"/>
  <c r="S20" i="63" s="1"/>
  <c r="R22" i="63"/>
  <c r="S22" i="63" s="1"/>
  <c r="R38" i="63"/>
  <c r="S38" i="63" s="1"/>
  <c r="R40" i="63"/>
  <c r="S40" i="63" s="1"/>
  <c r="W45" i="63"/>
  <c r="R51" i="63"/>
  <c r="S51" i="63" s="1"/>
  <c r="R57" i="63"/>
  <c r="S57" i="63" s="1"/>
  <c r="R13" i="63"/>
  <c r="S13" i="63" s="1"/>
  <c r="R16" i="63"/>
  <c r="S16" i="63" s="1"/>
  <c r="N48" i="63"/>
  <c r="W51" i="63"/>
  <c r="N54" i="63"/>
  <c r="L58" i="63"/>
  <c r="L23" i="63"/>
  <c r="M23" i="63" s="1"/>
  <c r="N23" i="63" s="1"/>
  <c r="L29" i="63"/>
  <c r="M29" i="63" s="1"/>
  <c r="N29" i="63" s="1"/>
  <c r="L35" i="63"/>
  <c r="M35" i="63" s="1"/>
  <c r="N35" i="63" s="1"/>
  <c r="L41" i="63"/>
  <c r="M41" i="63" s="1"/>
  <c r="N41" i="63" s="1"/>
  <c r="L47" i="63"/>
  <c r="M47" i="63" s="1"/>
  <c r="W32" i="63" l="1"/>
  <c r="W50" i="63"/>
  <c r="W44" i="63"/>
  <c r="W22" i="63"/>
  <c r="W7" i="63"/>
  <c r="W13" i="63"/>
  <c r="W39" i="63"/>
  <c r="W48" i="63"/>
  <c r="W46" i="63"/>
  <c r="W40" i="63"/>
  <c r="W56" i="63"/>
  <c r="G28" i="63"/>
  <c r="G57" i="63"/>
  <c r="G43" i="63"/>
  <c r="G26" i="63"/>
  <c r="G47" i="63"/>
  <c r="G16" i="63"/>
  <c r="G55" i="63"/>
  <c r="I58" i="63"/>
  <c r="G50" i="63"/>
  <c r="G35" i="63"/>
  <c r="G22" i="63"/>
  <c r="T17" i="63"/>
  <c r="T23" i="63"/>
  <c r="T19" i="63"/>
  <c r="S58" i="63"/>
  <c r="T37" i="63" s="1"/>
  <c r="T7" i="63"/>
  <c r="G27" i="63"/>
  <c r="G7" i="63"/>
  <c r="G32" i="63"/>
  <c r="G24" i="63"/>
  <c r="G44" i="63"/>
  <c r="G41" i="63"/>
  <c r="R58" i="63"/>
  <c r="T20" i="63"/>
  <c r="G15" i="63"/>
  <c r="G11" i="63"/>
  <c r="G45" i="63"/>
  <c r="G31" i="63"/>
  <c r="G29" i="63"/>
  <c r="G21" i="63"/>
  <c r="G54" i="63"/>
  <c r="G48" i="63"/>
  <c r="G19" i="63"/>
  <c r="G39" i="63"/>
  <c r="G37" i="63"/>
  <c r="G10" i="63"/>
  <c r="G23" i="63"/>
  <c r="T35" i="63"/>
  <c r="G14" i="63"/>
  <c r="G53" i="63"/>
  <c r="G12" i="63"/>
  <c r="G20" i="63"/>
  <c r="T30" i="63"/>
  <c r="G49" i="63"/>
  <c r="N47" i="63"/>
  <c r="T16" i="63"/>
  <c r="T27" i="63"/>
  <c r="T41" i="63"/>
  <c r="W55" i="63"/>
  <c r="W49" i="63"/>
  <c r="W37" i="63"/>
  <c r="W19" i="63"/>
  <c r="W31" i="63"/>
  <c r="W11" i="63"/>
  <c r="W34" i="63"/>
  <c r="W8" i="63"/>
  <c r="W25" i="63"/>
  <c r="W18" i="63"/>
  <c r="W52" i="63"/>
  <c r="W43" i="63"/>
  <c r="W38" i="63"/>
  <c r="W12" i="63"/>
  <c r="W41" i="63"/>
  <c r="W36" i="63"/>
  <c r="W23" i="63"/>
  <c r="W53" i="63"/>
  <c r="W47" i="63"/>
  <c r="W20" i="63"/>
  <c r="G51" i="63"/>
  <c r="W9" i="63"/>
  <c r="W15" i="63"/>
  <c r="G46" i="63"/>
  <c r="W24" i="63"/>
  <c r="W35" i="63"/>
  <c r="T13" i="63"/>
  <c r="T47" i="63"/>
  <c r="M58" i="63"/>
  <c r="G34" i="63"/>
  <c r="G33" i="63"/>
  <c r="T57" i="63"/>
  <c r="T53" i="63"/>
  <c r="W33" i="63"/>
  <c r="W27" i="63"/>
  <c r="W26" i="63"/>
  <c r="T51" i="63"/>
  <c r="T10" i="63"/>
  <c r="T52" i="63"/>
  <c r="G25" i="63"/>
  <c r="G18" i="63"/>
  <c r="T43" i="63"/>
  <c r="T49" i="63"/>
  <c r="G56" i="63"/>
  <c r="G13" i="63"/>
  <c r="T40" i="63"/>
  <c r="T36" i="63"/>
  <c r="T55" i="63"/>
  <c r="G30" i="63"/>
  <c r="G40" i="63"/>
  <c r="G9" i="63"/>
  <c r="G8" i="63"/>
  <c r="W57" i="63"/>
  <c r="T38" i="63"/>
  <c r="T25" i="63"/>
  <c r="T48" i="63"/>
  <c r="G38" i="63"/>
  <c r="J58" i="63"/>
  <c r="G52" i="63"/>
  <c r="W30" i="63"/>
  <c r="G42" i="63"/>
  <c r="G17" i="63"/>
  <c r="N58" i="63" l="1"/>
  <c r="G58" i="63"/>
  <c r="T26" i="63"/>
  <c r="T14" i="63"/>
  <c r="T28" i="63"/>
  <c r="T8" i="63"/>
  <c r="T42" i="63"/>
  <c r="T34" i="63"/>
  <c r="T54" i="63"/>
  <c r="T11" i="63"/>
  <c r="T32" i="63"/>
  <c r="T21" i="63"/>
  <c r="T33" i="63"/>
  <c r="T46" i="63"/>
  <c r="T56" i="63"/>
  <c r="T44" i="63"/>
  <c r="T45" i="63"/>
  <c r="T15" i="63"/>
  <c r="T39" i="63"/>
  <c r="T50" i="63"/>
  <c r="T31" i="63"/>
  <c r="T18" i="63"/>
  <c r="T24" i="63"/>
  <c r="T12" i="63"/>
  <c r="T9" i="63"/>
  <c r="T22" i="63"/>
  <c r="T29" i="63"/>
  <c r="W58" i="63"/>
  <c r="T58" i="63" l="1"/>
  <c r="W47" i="61" l="1"/>
  <c r="B14" i="41"/>
  <c r="B10" i="41"/>
  <c r="E11" i="41"/>
  <c r="P3" i="55" s="1"/>
  <c r="E12" i="41"/>
  <c r="I27" i="46" l="1"/>
  <c r="I37" i="46"/>
  <c r="I48" i="46"/>
  <c r="I19" i="46"/>
  <c r="I17" i="46"/>
  <c r="I15" i="46"/>
  <c r="I44" i="46"/>
  <c r="I40" i="46"/>
  <c r="I31" i="46"/>
  <c r="I30" i="46"/>
  <c r="I16" i="46"/>
  <c r="I56" i="46"/>
  <c r="I52" i="46"/>
  <c r="I33" i="46"/>
  <c r="I49" i="46"/>
  <c r="I7" i="46"/>
  <c r="I13" i="46"/>
  <c r="I10" i="46"/>
  <c r="I39" i="46"/>
  <c r="I42" i="46"/>
  <c r="I9" i="46"/>
  <c r="I26" i="46"/>
  <c r="I38" i="46"/>
  <c r="I54" i="46"/>
  <c r="I41" i="46"/>
  <c r="I22" i="46"/>
  <c r="I45" i="46"/>
  <c r="I25" i="46"/>
  <c r="I57" i="46"/>
  <c r="I12" i="46"/>
  <c r="I23" i="46"/>
  <c r="I53" i="46"/>
  <c r="I8" i="46"/>
  <c r="I50" i="46"/>
  <c r="I14" i="46"/>
  <c r="I32" i="46"/>
  <c r="I34" i="46"/>
  <c r="I35" i="46"/>
  <c r="I46" i="46"/>
  <c r="I55" i="46"/>
  <c r="I51" i="46"/>
  <c r="I28" i="46"/>
  <c r="I47" i="46"/>
  <c r="I20" i="46"/>
  <c r="I18" i="46"/>
  <c r="I24" i="46"/>
  <c r="I43" i="46"/>
  <c r="I11" i="46"/>
  <c r="I21" i="46"/>
  <c r="I29" i="46"/>
  <c r="I36" i="46"/>
  <c r="W51" i="61"/>
  <c r="W16" i="61"/>
  <c r="W12" i="61"/>
  <c r="W24" i="61"/>
  <c r="W36" i="61"/>
  <c r="W48" i="61"/>
  <c r="W13" i="61"/>
  <c r="W25" i="61"/>
  <c r="W37" i="61"/>
  <c r="W49" i="61"/>
  <c r="W14" i="61"/>
  <c r="W26" i="61"/>
  <c r="W38" i="61"/>
  <c r="W50" i="61"/>
  <c r="W39" i="61"/>
  <c r="W40" i="61"/>
  <c r="W17" i="61"/>
  <c r="W41" i="61"/>
  <c r="W53" i="61"/>
  <c r="W6" i="61"/>
  <c r="W18" i="61"/>
  <c r="W30" i="61"/>
  <c r="W42" i="61"/>
  <c r="W54" i="61"/>
  <c r="W15" i="61"/>
  <c r="W52" i="61"/>
  <c r="W31" i="61"/>
  <c r="W55" i="61"/>
  <c r="W8" i="61"/>
  <c r="W20" i="61"/>
  <c r="W32" i="61"/>
  <c r="W44" i="61"/>
  <c r="W56" i="61"/>
  <c r="W27" i="61"/>
  <c r="W28" i="61"/>
  <c r="W19" i="61"/>
  <c r="W43" i="61"/>
  <c r="W9" i="61"/>
  <c r="W21" i="61"/>
  <c r="W33" i="61"/>
  <c r="W45" i="61"/>
  <c r="W29" i="61"/>
  <c r="W7" i="61"/>
  <c r="W10" i="61"/>
  <c r="W22" i="61"/>
  <c r="W34" i="61"/>
  <c r="W46" i="61"/>
  <c r="W11" i="61"/>
  <c r="W23" i="61"/>
  <c r="W35" i="61"/>
  <c r="B15" i="41"/>
  <c r="W57" i="61" l="1"/>
  <c r="C22" i="62"/>
  <c r="B14" i="62"/>
  <c r="D13" i="62"/>
  <c r="D12" i="62"/>
  <c r="D11" i="62"/>
  <c r="E10" i="62"/>
  <c r="B10" i="62"/>
  <c r="D9" i="62"/>
  <c r="F9" i="62" s="1"/>
  <c r="D8" i="62"/>
  <c r="F8" i="62" s="1"/>
  <c r="D7" i="62"/>
  <c r="F7" i="62" s="1"/>
  <c r="D6" i="62"/>
  <c r="F6" i="62" s="1"/>
  <c r="D5" i="62"/>
  <c r="F5" i="62" s="1"/>
  <c r="D4" i="62"/>
  <c r="F4" i="62" s="1"/>
  <c r="K57" i="61"/>
  <c r="J57" i="61"/>
  <c r="I57" i="61"/>
  <c r="G57" i="61"/>
  <c r="E57" i="61"/>
  <c r="C57" i="61"/>
  <c r="D45" i="61" l="1"/>
  <c r="D17" i="61"/>
  <c r="D48" i="61"/>
  <c r="D32" i="61"/>
  <c r="D16" i="61"/>
  <c r="D55" i="61"/>
  <c r="D51" i="61"/>
  <c r="D47" i="61"/>
  <c r="L47" i="61" s="1"/>
  <c r="D43" i="61"/>
  <c r="D39" i="61"/>
  <c r="D35" i="61"/>
  <c r="D31" i="61"/>
  <c r="L31" i="61" s="1"/>
  <c r="D27" i="61"/>
  <c r="D23" i="61"/>
  <c r="D19" i="61"/>
  <c r="D15" i="61"/>
  <c r="L15" i="61" s="1"/>
  <c r="D11" i="61"/>
  <c r="D7" i="61"/>
  <c r="D49" i="61"/>
  <c r="D37" i="61"/>
  <c r="D29" i="61"/>
  <c r="D21" i="61"/>
  <c r="D9" i="61"/>
  <c r="D56" i="61"/>
  <c r="D44" i="61"/>
  <c r="D36" i="61"/>
  <c r="D24" i="61"/>
  <c r="D12" i="61"/>
  <c r="D54" i="61"/>
  <c r="D50" i="61"/>
  <c r="D46" i="61"/>
  <c r="D42" i="61"/>
  <c r="D38" i="61"/>
  <c r="D34" i="61"/>
  <c r="D30" i="61"/>
  <c r="D26" i="61"/>
  <c r="D22" i="61"/>
  <c r="D18" i="61"/>
  <c r="D14" i="61"/>
  <c r="D10" i="61"/>
  <c r="D6" i="61"/>
  <c r="D53" i="61"/>
  <c r="D41" i="61"/>
  <c r="D33" i="61"/>
  <c r="L33" i="61" s="1"/>
  <c r="D25" i="61"/>
  <c r="D13" i="61"/>
  <c r="D52" i="61"/>
  <c r="D40" i="61"/>
  <c r="D28" i="61"/>
  <c r="D20" i="61"/>
  <c r="D8" i="61"/>
  <c r="F53" i="61"/>
  <c r="F49" i="61"/>
  <c r="F45" i="61"/>
  <c r="F41" i="61"/>
  <c r="F37" i="61"/>
  <c r="F33" i="61"/>
  <c r="F29" i="61"/>
  <c r="F25" i="61"/>
  <c r="F21" i="61"/>
  <c r="F17" i="61"/>
  <c r="F13" i="61"/>
  <c r="F9" i="61"/>
  <c r="F56" i="61"/>
  <c r="F48" i="61"/>
  <c r="F36" i="61"/>
  <c r="F28" i="61"/>
  <c r="F12" i="61"/>
  <c r="F55" i="61"/>
  <c r="F51" i="61"/>
  <c r="F47" i="61"/>
  <c r="F43" i="61"/>
  <c r="F39" i="61"/>
  <c r="F35" i="61"/>
  <c r="F31" i="61"/>
  <c r="F27" i="61"/>
  <c r="F23" i="61"/>
  <c r="F19" i="61"/>
  <c r="F15" i="61"/>
  <c r="F11" i="61"/>
  <c r="F7" i="61"/>
  <c r="F52" i="61"/>
  <c r="F44" i="61"/>
  <c r="F32" i="61"/>
  <c r="F20" i="61"/>
  <c r="F16" i="61"/>
  <c r="F54" i="61"/>
  <c r="F50" i="61"/>
  <c r="F46" i="61"/>
  <c r="F42" i="61"/>
  <c r="F38" i="61"/>
  <c r="F34" i="61"/>
  <c r="F30" i="61"/>
  <c r="F26" i="61"/>
  <c r="F22" i="61"/>
  <c r="F18" i="61"/>
  <c r="F14" i="61"/>
  <c r="F10" i="61"/>
  <c r="F6" i="61"/>
  <c r="F40" i="61"/>
  <c r="F24" i="61"/>
  <c r="F8" i="61"/>
  <c r="F10" i="62"/>
  <c r="D14" i="62"/>
  <c r="B45" i="61"/>
  <c r="B29" i="61"/>
  <c r="B48" i="61"/>
  <c r="B28" i="61"/>
  <c r="B55" i="61"/>
  <c r="B51" i="61"/>
  <c r="B47" i="61"/>
  <c r="B43" i="61"/>
  <c r="B39" i="61"/>
  <c r="B35" i="61"/>
  <c r="B31" i="61"/>
  <c r="B27" i="61"/>
  <c r="B23" i="61"/>
  <c r="B19" i="61"/>
  <c r="B15" i="61"/>
  <c r="B11" i="61"/>
  <c r="B7" i="61"/>
  <c r="B53" i="61"/>
  <c r="B49" i="61"/>
  <c r="B41" i="61"/>
  <c r="B37" i="61"/>
  <c r="B33" i="61"/>
  <c r="B25" i="61"/>
  <c r="B17" i="61"/>
  <c r="B9" i="61"/>
  <c r="B56" i="61"/>
  <c r="B44" i="61"/>
  <c r="B36" i="61"/>
  <c r="B54" i="61"/>
  <c r="B50" i="61"/>
  <c r="B46" i="61"/>
  <c r="B42" i="61"/>
  <c r="B38" i="61"/>
  <c r="B34" i="61"/>
  <c r="B30" i="61"/>
  <c r="B26" i="61"/>
  <c r="B22" i="61"/>
  <c r="B18" i="61"/>
  <c r="B14" i="61"/>
  <c r="B10" i="61"/>
  <c r="B6" i="61"/>
  <c r="B21" i="61"/>
  <c r="B13" i="61"/>
  <c r="B52" i="61"/>
  <c r="B40" i="61"/>
  <c r="B32" i="61"/>
  <c r="B24" i="61"/>
  <c r="B8" i="61"/>
  <c r="B20" i="61"/>
  <c r="B12" i="61"/>
  <c r="B16" i="61"/>
  <c r="H53" i="61"/>
  <c r="H49" i="61"/>
  <c r="H45" i="61"/>
  <c r="H41" i="61"/>
  <c r="H37" i="61"/>
  <c r="H33" i="61"/>
  <c r="H29" i="61"/>
  <c r="H25" i="61"/>
  <c r="H21" i="61"/>
  <c r="H17" i="61"/>
  <c r="H13" i="61"/>
  <c r="H9" i="61"/>
  <c r="H48" i="61"/>
  <c r="H36" i="61"/>
  <c r="H28" i="61"/>
  <c r="H16" i="61"/>
  <c r="H56" i="61"/>
  <c r="H55" i="61"/>
  <c r="H51" i="61"/>
  <c r="H47" i="61"/>
  <c r="H43" i="61"/>
  <c r="H39" i="61"/>
  <c r="H35" i="61"/>
  <c r="H31" i="61"/>
  <c r="H27" i="61"/>
  <c r="H23" i="61"/>
  <c r="H19" i="61"/>
  <c r="H15" i="61"/>
  <c r="H11" i="61"/>
  <c r="H7" i="61"/>
  <c r="H52" i="61"/>
  <c r="H44" i="61"/>
  <c r="H40" i="61"/>
  <c r="H32" i="61"/>
  <c r="H24" i="61"/>
  <c r="H20" i="61"/>
  <c r="H12" i="61"/>
  <c r="H54" i="61"/>
  <c r="H50" i="61"/>
  <c r="H46" i="61"/>
  <c r="H42" i="61"/>
  <c r="H38" i="61"/>
  <c r="H34" i="61"/>
  <c r="H30" i="61"/>
  <c r="H26" i="61"/>
  <c r="H22" i="61"/>
  <c r="H18" i="61"/>
  <c r="H14" i="61"/>
  <c r="H10" i="61"/>
  <c r="H6" i="61"/>
  <c r="H8" i="61"/>
  <c r="B15" i="62"/>
  <c r="D10" i="62"/>
  <c r="L42" i="61" l="1"/>
  <c r="L37" i="61"/>
  <c r="F15" i="62"/>
  <c r="AE5" i="63"/>
  <c r="F57" i="61"/>
  <c r="L8" i="61"/>
  <c r="L52" i="61"/>
  <c r="L41" i="61"/>
  <c r="L14" i="61"/>
  <c r="L30" i="61"/>
  <c r="L46" i="61"/>
  <c r="L24" i="61"/>
  <c r="L9" i="61"/>
  <c r="L49" i="61"/>
  <c r="L19" i="61"/>
  <c r="L35" i="61"/>
  <c r="L51" i="61"/>
  <c r="L48" i="61"/>
  <c r="L40" i="61"/>
  <c r="L26" i="61"/>
  <c r="L12" i="61"/>
  <c r="L56" i="61"/>
  <c r="L32" i="61"/>
  <c r="L20" i="61"/>
  <c r="L13" i="61"/>
  <c r="L53" i="61"/>
  <c r="L18" i="61"/>
  <c r="L34" i="61"/>
  <c r="L50" i="61"/>
  <c r="L36" i="61"/>
  <c r="L21" i="61"/>
  <c r="L7" i="61"/>
  <c r="L23" i="61"/>
  <c r="L39" i="61"/>
  <c r="L55" i="61"/>
  <c r="L17" i="61"/>
  <c r="L10" i="61"/>
  <c r="D15" i="62"/>
  <c r="H57" i="61"/>
  <c r="B57" i="61"/>
  <c r="L28" i="61"/>
  <c r="L25" i="61"/>
  <c r="D57" i="61"/>
  <c r="L6" i="61"/>
  <c r="L22" i="61"/>
  <c r="L38" i="61"/>
  <c r="L54" i="61"/>
  <c r="L44" i="61"/>
  <c r="L29" i="61"/>
  <c r="L11" i="61"/>
  <c r="L27" i="61"/>
  <c r="L43" i="61"/>
  <c r="L16" i="61"/>
  <c r="L45" i="61"/>
  <c r="C14" i="41"/>
  <c r="L57" i="61" l="1"/>
  <c r="AD5" i="63"/>
  <c r="AC5" i="63"/>
  <c r="AB5" i="63"/>
  <c r="C15" i="41"/>
  <c r="AC15" i="63" l="1"/>
  <c r="AC12" i="63"/>
  <c r="AC31" i="63"/>
  <c r="AC30" i="63"/>
  <c r="AC25" i="63"/>
  <c r="AC38" i="63"/>
  <c r="AC20" i="63"/>
  <c r="AC18" i="63"/>
  <c r="AC21" i="63"/>
  <c r="AC27" i="63"/>
  <c r="AC26" i="63"/>
  <c r="AC33" i="63"/>
  <c r="AC39" i="63"/>
  <c r="AC41" i="63"/>
  <c r="AC57" i="63"/>
  <c r="AC45" i="63"/>
  <c r="AC13" i="63"/>
  <c r="AC43" i="63"/>
  <c r="AC29" i="63"/>
  <c r="AC28" i="63"/>
  <c r="AC48" i="63"/>
  <c r="AC17" i="63"/>
  <c r="AC8" i="63"/>
  <c r="AC34" i="63"/>
  <c r="AC32" i="63"/>
  <c r="AC49" i="63"/>
  <c r="AC19" i="63"/>
  <c r="AC52" i="63"/>
  <c r="AC23" i="63"/>
  <c r="AC35" i="63"/>
  <c r="AC36" i="63"/>
  <c r="AC9" i="63"/>
  <c r="AC42" i="63"/>
  <c r="AC44" i="63"/>
  <c r="AC46" i="63"/>
  <c r="AC55" i="63"/>
  <c r="AC51" i="63"/>
  <c r="AC50" i="63"/>
  <c r="AC16" i="63"/>
  <c r="AC54" i="63"/>
  <c r="AC22" i="63"/>
  <c r="AC24" i="63"/>
  <c r="AC37" i="63"/>
  <c r="AC7" i="63"/>
  <c r="AC10" i="63"/>
  <c r="AC40" i="63"/>
  <c r="AC56" i="63"/>
  <c r="AC14" i="63"/>
  <c r="AC53" i="63"/>
  <c r="AC11" i="63"/>
  <c r="AC47" i="63"/>
  <c r="AB36" i="63"/>
  <c r="AB55" i="63"/>
  <c r="AB19" i="63"/>
  <c r="AB27" i="63"/>
  <c r="AB20" i="63"/>
  <c r="AB47" i="63"/>
  <c r="AB8" i="63"/>
  <c r="AB10" i="63"/>
  <c r="AB24" i="63"/>
  <c r="AB21" i="63"/>
  <c r="AB9" i="63"/>
  <c r="AB37" i="63"/>
  <c r="AB22" i="63"/>
  <c r="AB38" i="63"/>
  <c r="AB28" i="63"/>
  <c r="AB30" i="63"/>
  <c r="AB29" i="63"/>
  <c r="AB34" i="63"/>
  <c r="AB39" i="63"/>
  <c r="AB48" i="63"/>
  <c r="AB33" i="63"/>
  <c r="AB54" i="63"/>
  <c r="AB16" i="63"/>
  <c r="AB7" i="63"/>
  <c r="AB11" i="63"/>
  <c r="AB18" i="63"/>
  <c r="AB44" i="63"/>
  <c r="AB35" i="63"/>
  <c r="AB25" i="63"/>
  <c r="AB40" i="63"/>
  <c r="AB32" i="63"/>
  <c r="AB42" i="63"/>
  <c r="AB13" i="63"/>
  <c r="AB12" i="63"/>
  <c r="AB15" i="63"/>
  <c r="AB50" i="63"/>
  <c r="AB41" i="63"/>
  <c r="AB56" i="63"/>
  <c r="AB49" i="63"/>
  <c r="AB31" i="63"/>
  <c r="AB17" i="63"/>
  <c r="AB52" i="63"/>
  <c r="AB45" i="63"/>
  <c r="AB57" i="63"/>
  <c r="AB51" i="63"/>
  <c r="AB23" i="63"/>
  <c r="AB26" i="63"/>
  <c r="AB46" i="63"/>
  <c r="AB53" i="63"/>
  <c r="AB43" i="63"/>
  <c r="AB14" i="63"/>
  <c r="X50" i="63"/>
  <c r="X17" i="63"/>
  <c r="X28" i="63"/>
  <c r="X56" i="63"/>
  <c r="X42" i="63"/>
  <c r="X16" i="63"/>
  <c r="X45" i="63"/>
  <c r="X51" i="63"/>
  <c r="X10" i="63"/>
  <c r="X14" i="63"/>
  <c r="X21" i="63"/>
  <c r="X54" i="63"/>
  <c r="X29" i="63"/>
  <c r="U37" i="63"/>
  <c r="X12" i="63"/>
  <c r="X57" i="63"/>
  <c r="U51" i="63"/>
  <c r="Y51" i="63" s="1"/>
  <c r="X23" i="63"/>
  <c r="Y23" i="63" s="1"/>
  <c r="X55" i="63"/>
  <c r="X39" i="63"/>
  <c r="U43" i="63"/>
  <c r="X26" i="63"/>
  <c r="Y26" i="63" s="1"/>
  <c r="X20" i="63"/>
  <c r="X19" i="63"/>
  <c r="X40" i="63"/>
  <c r="U10" i="63"/>
  <c r="Y10" i="63" s="1"/>
  <c r="X27" i="63"/>
  <c r="X47" i="63"/>
  <c r="X37" i="63"/>
  <c r="X13" i="63"/>
  <c r="X15" i="63"/>
  <c r="U40" i="63"/>
  <c r="Y40" i="63" s="1"/>
  <c r="X49" i="63"/>
  <c r="U53" i="63"/>
  <c r="X38" i="63"/>
  <c r="U23" i="63"/>
  <c r="X7" i="63"/>
  <c r="X48" i="63"/>
  <c r="U55" i="63"/>
  <c r="U57" i="63"/>
  <c r="X36" i="63"/>
  <c r="Y36" i="63" s="1"/>
  <c r="U41" i="63"/>
  <c r="U17" i="63"/>
  <c r="X44" i="63"/>
  <c r="X9" i="63"/>
  <c r="U19" i="63"/>
  <c r="U36" i="63"/>
  <c r="X41" i="63"/>
  <c r="U27" i="63"/>
  <c r="X32" i="63"/>
  <c r="X31" i="63"/>
  <c r="U38" i="63"/>
  <c r="X8" i="63"/>
  <c r="U20" i="63"/>
  <c r="U25" i="63"/>
  <c r="X34" i="63"/>
  <c r="U7" i="63"/>
  <c r="X33" i="63"/>
  <c r="U35" i="63"/>
  <c r="X24" i="63"/>
  <c r="X25" i="63"/>
  <c r="Y25" i="63" s="1"/>
  <c r="X22" i="63"/>
  <c r="X53" i="63"/>
  <c r="X30" i="63"/>
  <c r="Y30" i="63" s="1"/>
  <c r="U47" i="63"/>
  <c r="X43" i="63"/>
  <c r="Y43" i="63" s="1"/>
  <c r="X18" i="63"/>
  <c r="U49" i="63"/>
  <c r="U13" i="63"/>
  <c r="X52" i="63"/>
  <c r="Y52" i="63" s="1"/>
  <c r="U30" i="63"/>
  <c r="X35" i="63"/>
  <c r="Y35" i="63" s="1"/>
  <c r="X11" i="63"/>
  <c r="U48" i="63"/>
  <c r="Y48" i="63" s="1"/>
  <c r="U16" i="63"/>
  <c r="U52" i="63"/>
  <c r="X46" i="63"/>
  <c r="U29" i="63"/>
  <c r="Y29" i="63" s="1"/>
  <c r="U11" i="63"/>
  <c r="U18" i="63"/>
  <c r="Y18" i="63" s="1"/>
  <c r="U54" i="63"/>
  <c r="Y54" i="63" s="1"/>
  <c r="U31" i="63"/>
  <c r="Y31" i="63" s="1"/>
  <c r="U50" i="63"/>
  <c r="Y50" i="63" s="1"/>
  <c r="U14" i="63"/>
  <c r="U24" i="63"/>
  <c r="Y24" i="63" s="1"/>
  <c r="U44" i="63"/>
  <c r="Y44" i="63" s="1"/>
  <c r="U56" i="63"/>
  <c r="Y56" i="63" s="1"/>
  <c r="U8" i="63"/>
  <c r="Y8" i="63" s="1"/>
  <c r="U46" i="63"/>
  <c r="Y46" i="63" s="1"/>
  <c r="U33" i="63"/>
  <c r="Y33" i="63" s="1"/>
  <c r="U26" i="63"/>
  <c r="U39" i="63"/>
  <c r="Y39" i="63" s="1"/>
  <c r="U9" i="63"/>
  <c r="Y9" i="63" s="1"/>
  <c r="U42" i="63"/>
  <c r="Y42" i="63" s="1"/>
  <c r="U28" i="63"/>
  <c r="Y28" i="63" s="1"/>
  <c r="U21" i="63"/>
  <c r="Y21" i="63" s="1"/>
  <c r="U15" i="63"/>
  <c r="Y15" i="63" s="1"/>
  <c r="U32" i="63"/>
  <c r="Y32" i="63" s="1"/>
  <c r="U45" i="63"/>
  <c r="Y45" i="63" s="1"/>
  <c r="U22" i="63"/>
  <c r="U12" i="63"/>
  <c r="Y12" i="63" s="1"/>
  <c r="U34" i="63"/>
  <c r="Y34" i="63" s="1"/>
  <c r="AC58" i="63" l="1"/>
  <c r="Y13" i="63"/>
  <c r="U58" i="63"/>
  <c r="X58" i="63"/>
  <c r="Y7" i="63"/>
  <c r="Y49" i="63"/>
  <c r="Y37" i="63"/>
  <c r="AB58" i="63"/>
  <c r="Y22" i="63"/>
  <c r="Y14" i="63"/>
  <c r="Y41" i="63"/>
  <c r="Y47" i="63"/>
  <c r="Y19" i="63"/>
  <c r="Y57" i="63"/>
  <c r="Y11" i="63"/>
  <c r="Y16" i="63"/>
  <c r="Y53" i="63"/>
  <c r="Y17" i="63"/>
  <c r="Y38" i="63"/>
  <c r="Y27" i="63"/>
  <c r="Y20" i="63"/>
  <c r="Y55" i="63"/>
  <c r="Z20" i="63" l="1"/>
  <c r="AD20" i="63" s="1"/>
  <c r="AE20" i="63" s="1"/>
  <c r="Z17" i="63"/>
  <c r="AD17" i="63" s="1"/>
  <c r="AE17" i="63" s="1"/>
  <c r="Z16" i="63"/>
  <c r="AD16" i="63" s="1"/>
  <c r="AE16" i="63" s="1"/>
  <c r="Z22" i="63"/>
  <c r="AD22" i="63" s="1"/>
  <c r="AE22" i="63" s="1"/>
  <c r="Z38" i="63"/>
  <c r="AD38" i="63" s="1"/>
  <c r="AE38" i="63" s="1"/>
  <c r="Y58" i="63"/>
  <c r="Z41" i="63" s="1"/>
  <c r="AD41" i="63" s="1"/>
  <c r="AE41" i="63" s="1"/>
  <c r="Z7" i="63"/>
  <c r="AD7" i="63" l="1"/>
  <c r="Z27" i="63"/>
  <c r="AD27" i="63" s="1"/>
  <c r="AE27" i="63" s="1"/>
  <c r="Z37" i="63"/>
  <c r="AD37" i="63" s="1"/>
  <c r="AE37" i="63" s="1"/>
  <c r="Z42" i="63"/>
  <c r="AD42" i="63" s="1"/>
  <c r="AE42" i="63" s="1"/>
  <c r="Z46" i="63"/>
  <c r="AD46" i="63" s="1"/>
  <c r="AE46" i="63" s="1"/>
  <c r="Z25" i="63"/>
  <c r="AD25" i="63" s="1"/>
  <c r="AE25" i="63" s="1"/>
  <c r="Z29" i="63"/>
  <c r="AD29" i="63" s="1"/>
  <c r="AE29" i="63" s="1"/>
  <c r="Z21" i="63"/>
  <c r="AD21" i="63" s="1"/>
  <c r="AE21" i="63" s="1"/>
  <c r="Z18" i="63"/>
  <c r="AD18" i="63" s="1"/>
  <c r="AE18" i="63" s="1"/>
  <c r="Z40" i="63"/>
  <c r="AD40" i="63" s="1"/>
  <c r="AE40" i="63" s="1"/>
  <c r="Z32" i="63"/>
  <c r="AD32" i="63" s="1"/>
  <c r="AE32" i="63" s="1"/>
  <c r="Z45" i="63"/>
  <c r="AD45" i="63" s="1"/>
  <c r="AE45" i="63" s="1"/>
  <c r="Z50" i="63"/>
  <c r="AD50" i="63" s="1"/>
  <c r="AE50" i="63" s="1"/>
  <c r="Z31" i="63"/>
  <c r="AD31" i="63" s="1"/>
  <c r="AE31" i="63" s="1"/>
  <c r="Z12" i="63"/>
  <c r="AD12" i="63" s="1"/>
  <c r="AE12" i="63" s="1"/>
  <c r="Z24" i="63"/>
  <c r="AD24" i="63" s="1"/>
  <c r="AE24" i="63" s="1"/>
  <c r="Z43" i="63"/>
  <c r="AD43" i="63" s="1"/>
  <c r="AE43" i="63" s="1"/>
  <c r="Z39" i="63"/>
  <c r="AD39" i="63" s="1"/>
  <c r="AE39" i="63" s="1"/>
  <c r="Z35" i="63"/>
  <c r="AD35" i="63" s="1"/>
  <c r="AE35" i="63" s="1"/>
  <c r="Z44" i="63"/>
  <c r="AD44" i="63" s="1"/>
  <c r="AE44" i="63" s="1"/>
  <c r="Z28" i="63"/>
  <c r="AD28" i="63" s="1"/>
  <c r="AE28" i="63" s="1"/>
  <c r="Z51" i="63"/>
  <c r="AD51" i="63" s="1"/>
  <c r="AE51" i="63" s="1"/>
  <c r="Z33" i="63"/>
  <c r="AD33" i="63" s="1"/>
  <c r="AE33" i="63" s="1"/>
  <c r="Z10" i="63"/>
  <c r="AD10" i="63" s="1"/>
  <c r="AE10" i="63" s="1"/>
  <c r="Z52" i="63"/>
  <c r="AD52" i="63" s="1"/>
  <c r="AE52" i="63" s="1"/>
  <c r="Z15" i="63"/>
  <c r="AD15" i="63" s="1"/>
  <c r="AE15" i="63" s="1"/>
  <c r="Z54" i="63"/>
  <c r="AD54" i="63" s="1"/>
  <c r="AE54" i="63" s="1"/>
  <c r="Z36" i="63"/>
  <c r="AD36" i="63" s="1"/>
  <c r="AE36" i="63" s="1"/>
  <c r="Z34" i="63"/>
  <c r="AD34" i="63" s="1"/>
  <c r="AE34" i="63" s="1"/>
  <c r="Z26" i="63"/>
  <c r="AD26" i="63" s="1"/>
  <c r="AE26" i="63" s="1"/>
  <c r="Z8" i="63"/>
  <c r="AD8" i="63" s="1"/>
  <c r="AE8" i="63" s="1"/>
  <c r="Z30" i="63"/>
  <c r="AD30" i="63" s="1"/>
  <c r="AE30" i="63" s="1"/>
  <c r="Z48" i="63"/>
  <c r="AD48" i="63" s="1"/>
  <c r="AE48" i="63" s="1"/>
  <c r="Z56" i="63"/>
  <c r="AD56" i="63" s="1"/>
  <c r="AE56" i="63" s="1"/>
  <c r="Z23" i="63"/>
  <c r="AD23" i="63" s="1"/>
  <c r="AE23" i="63" s="1"/>
  <c r="Z9" i="63"/>
  <c r="AD9" i="63" s="1"/>
  <c r="AE9" i="63" s="1"/>
  <c r="Z49" i="63"/>
  <c r="AD49" i="63" s="1"/>
  <c r="AE49" i="63" s="1"/>
  <c r="Z13" i="63"/>
  <c r="AD13" i="63" s="1"/>
  <c r="AE13" i="63" s="1"/>
  <c r="Z19" i="63"/>
  <c r="AD19" i="63" s="1"/>
  <c r="AE19" i="63" s="1"/>
  <c r="Z57" i="63"/>
  <c r="AD57" i="63" s="1"/>
  <c r="AE57" i="63" s="1"/>
  <c r="Z11" i="63"/>
  <c r="AD11" i="63" s="1"/>
  <c r="AE11" i="63" s="1"/>
  <c r="Z47" i="63"/>
  <c r="AD47" i="63" s="1"/>
  <c r="AE47" i="63" s="1"/>
  <c r="Z14" i="63"/>
  <c r="AD14" i="63" s="1"/>
  <c r="AE14" i="63" s="1"/>
  <c r="Z53" i="63"/>
  <c r="AD53" i="63" s="1"/>
  <c r="AE53" i="63" s="1"/>
  <c r="Z55" i="63"/>
  <c r="AD55" i="63" s="1"/>
  <c r="AE55" i="63" s="1"/>
  <c r="J47" i="46"/>
  <c r="J46" i="46"/>
  <c r="J35" i="46"/>
  <c r="J34" i="46"/>
  <c r="J23" i="46"/>
  <c r="J22" i="46"/>
  <c r="J11" i="46"/>
  <c r="J10" i="46"/>
  <c r="J57" i="46"/>
  <c r="J56" i="46"/>
  <c r="J55" i="46"/>
  <c r="J54" i="46"/>
  <c r="J53" i="46"/>
  <c r="J52" i="46"/>
  <c r="J51" i="46"/>
  <c r="J50" i="46"/>
  <c r="J49" i="46"/>
  <c r="J48" i="46"/>
  <c r="J45" i="46"/>
  <c r="J44" i="46"/>
  <c r="J43" i="46"/>
  <c r="J42" i="46"/>
  <c r="J41" i="46"/>
  <c r="J40" i="46"/>
  <c r="J39" i="46"/>
  <c r="J38" i="46"/>
  <c r="J37" i="46"/>
  <c r="J36" i="46"/>
  <c r="J33" i="46"/>
  <c r="J32" i="46"/>
  <c r="J31" i="46"/>
  <c r="J30" i="46"/>
  <c r="J29" i="46"/>
  <c r="J28" i="46"/>
  <c r="J27" i="46"/>
  <c r="J26" i="46"/>
  <c r="J25" i="46"/>
  <c r="J24" i="46"/>
  <c r="J21" i="46"/>
  <c r="J20" i="46"/>
  <c r="J19" i="46"/>
  <c r="J18" i="46"/>
  <c r="J17" i="46"/>
  <c r="J16" i="46"/>
  <c r="J15" i="46"/>
  <c r="J14" i="46"/>
  <c r="J13" i="46"/>
  <c r="J12" i="46"/>
  <c r="J9" i="46"/>
  <c r="J8" i="46"/>
  <c r="J7" i="46"/>
  <c r="AD58" i="63" l="1"/>
  <c r="AE7" i="63"/>
  <c r="AE58" i="63" s="1"/>
  <c r="AF56" i="63" s="1"/>
  <c r="Z58" i="63"/>
  <c r="E5" i="41"/>
  <c r="E4" i="41"/>
  <c r="AF8" i="63" l="1"/>
  <c r="AF45" i="63"/>
  <c r="AF27" i="63"/>
  <c r="AF48" i="63"/>
  <c r="AF30" i="63"/>
  <c r="AF51" i="63"/>
  <c r="AF12" i="63"/>
  <c r="AF26" i="63"/>
  <c r="AF14" i="63"/>
  <c r="AF43" i="63"/>
  <c r="AF35" i="63"/>
  <c r="AF23" i="63"/>
  <c r="AF11" i="63"/>
  <c r="AF24" i="63"/>
  <c r="AF25" i="63"/>
  <c r="AF46" i="63"/>
  <c r="AF28" i="63"/>
  <c r="AF49" i="63"/>
  <c r="AF29" i="63"/>
  <c r="AF33" i="63"/>
  <c r="AF19" i="63"/>
  <c r="AF40" i="63"/>
  <c r="AF42" i="63"/>
  <c r="AF44" i="63"/>
  <c r="AF9" i="63"/>
  <c r="AF15" i="63"/>
  <c r="AF18" i="63"/>
  <c r="AF52" i="63"/>
  <c r="AF53" i="63"/>
  <c r="AF7" i="63"/>
  <c r="N6" i="61" s="1"/>
  <c r="C7" i="46" s="1"/>
  <c r="AF41" i="63"/>
  <c r="AF20" i="63"/>
  <c r="AF38" i="63"/>
  <c r="AF22" i="63"/>
  <c r="AF17" i="63"/>
  <c r="AF16" i="63"/>
  <c r="AF36" i="63"/>
  <c r="AF31" i="63"/>
  <c r="AF32" i="63"/>
  <c r="AF54" i="63"/>
  <c r="AF47" i="63"/>
  <c r="AF39" i="63"/>
  <c r="AF21" i="63"/>
  <c r="AF10" i="63"/>
  <c r="AF57" i="63"/>
  <c r="AF13" i="63"/>
  <c r="AF50" i="63"/>
  <c r="AF34" i="63"/>
  <c r="AF37" i="63"/>
  <c r="AF55" i="63"/>
  <c r="I5" i="41"/>
  <c r="I4" i="41"/>
  <c r="F56" i="55"/>
  <c r="C56" i="55"/>
  <c r="J49" i="55" s="1"/>
  <c r="B56" i="55"/>
  <c r="G55" i="55"/>
  <c r="H55" i="55" s="1"/>
  <c r="D55" i="55"/>
  <c r="G54" i="55"/>
  <c r="H54" i="55" s="1"/>
  <c r="D54" i="55"/>
  <c r="G53" i="55"/>
  <c r="H53" i="55" s="1"/>
  <c r="D53" i="55"/>
  <c r="G52" i="55"/>
  <c r="H52" i="55" s="1"/>
  <c r="D52" i="55"/>
  <c r="G51" i="55"/>
  <c r="H51" i="55" s="1"/>
  <c r="D51" i="55"/>
  <c r="G50" i="55"/>
  <c r="H50" i="55" s="1"/>
  <c r="D50" i="55"/>
  <c r="G49" i="55"/>
  <c r="H49" i="55" s="1"/>
  <c r="D49" i="55"/>
  <c r="G48" i="55"/>
  <c r="H48" i="55" s="1"/>
  <c r="D48" i="55"/>
  <c r="G47" i="55"/>
  <c r="H47" i="55" s="1"/>
  <c r="D47" i="55"/>
  <c r="G46" i="55"/>
  <c r="H46" i="55" s="1"/>
  <c r="D46" i="55"/>
  <c r="G45" i="55"/>
  <c r="H45" i="55" s="1"/>
  <c r="D45" i="55"/>
  <c r="G44" i="55"/>
  <c r="H44" i="55" s="1"/>
  <c r="D44" i="55"/>
  <c r="G43" i="55"/>
  <c r="H43" i="55" s="1"/>
  <c r="D43" i="55"/>
  <c r="G42" i="55"/>
  <c r="H42" i="55" s="1"/>
  <c r="D42" i="55"/>
  <c r="G41" i="55"/>
  <c r="H41" i="55" s="1"/>
  <c r="D41" i="55"/>
  <c r="G40" i="55"/>
  <c r="H40" i="55" s="1"/>
  <c r="D40" i="55"/>
  <c r="G39" i="55"/>
  <c r="H39" i="55" s="1"/>
  <c r="D39" i="55"/>
  <c r="G38" i="55"/>
  <c r="H38" i="55" s="1"/>
  <c r="D38" i="55"/>
  <c r="G37" i="55"/>
  <c r="H37" i="55" s="1"/>
  <c r="D37" i="55"/>
  <c r="G36" i="55"/>
  <c r="H36" i="55" s="1"/>
  <c r="D36" i="55"/>
  <c r="G35" i="55"/>
  <c r="H35" i="55" s="1"/>
  <c r="D35" i="55"/>
  <c r="G34" i="55"/>
  <c r="H34" i="55" s="1"/>
  <c r="D34" i="55"/>
  <c r="G33" i="55"/>
  <c r="H33" i="55" s="1"/>
  <c r="D33" i="55"/>
  <c r="G32" i="55"/>
  <c r="H32" i="55" s="1"/>
  <c r="D32" i="55"/>
  <c r="G31" i="55"/>
  <c r="H31" i="55" s="1"/>
  <c r="D31" i="55"/>
  <c r="G30" i="55"/>
  <c r="H30" i="55" s="1"/>
  <c r="D30" i="55"/>
  <c r="G29" i="55"/>
  <c r="H29" i="55" s="1"/>
  <c r="D29" i="55"/>
  <c r="G28" i="55"/>
  <c r="H28" i="55" s="1"/>
  <c r="D28" i="55"/>
  <c r="G27" i="55"/>
  <c r="H27" i="55" s="1"/>
  <c r="D27" i="55"/>
  <c r="G26" i="55"/>
  <c r="H26" i="55" s="1"/>
  <c r="D26" i="55"/>
  <c r="H25" i="55"/>
  <c r="G25" i="55"/>
  <c r="D25" i="55"/>
  <c r="G24" i="55"/>
  <c r="H24" i="55" s="1"/>
  <c r="D24" i="55"/>
  <c r="G23" i="55"/>
  <c r="H23" i="55" s="1"/>
  <c r="D23" i="55"/>
  <c r="G22" i="55"/>
  <c r="H22" i="55" s="1"/>
  <c r="D22" i="55"/>
  <c r="G21" i="55"/>
  <c r="H21" i="55" s="1"/>
  <c r="D21" i="55"/>
  <c r="G20" i="55"/>
  <c r="H20" i="55" s="1"/>
  <c r="D20" i="55"/>
  <c r="G19" i="55"/>
  <c r="H19" i="55" s="1"/>
  <c r="D19" i="55"/>
  <c r="G18" i="55"/>
  <c r="H18" i="55" s="1"/>
  <c r="D18" i="55"/>
  <c r="G17" i="55"/>
  <c r="H17" i="55" s="1"/>
  <c r="D17" i="55"/>
  <c r="G16" i="55"/>
  <c r="H16" i="55" s="1"/>
  <c r="D16" i="55"/>
  <c r="G15" i="55"/>
  <c r="H15" i="55" s="1"/>
  <c r="D15" i="55"/>
  <c r="G14" i="55"/>
  <c r="H14" i="55" s="1"/>
  <c r="D14" i="55"/>
  <c r="G13" i="55"/>
  <c r="H13" i="55" s="1"/>
  <c r="D13" i="55"/>
  <c r="G12" i="55"/>
  <c r="H12" i="55" s="1"/>
  <c r="D12" i="55"/>
  <c r="G11" i="55"/>
  <c r="H11" i="55" s="1"/>
  <c r="D11" i="55"/>
  <c r="G10" i="55"/>
  <c r="H10" i="55" s="1"/>
  <c r="D10" i="55"/>
  <c r="G9" i="55"/>
  <c r="H9" i="55" s="1"/>
  <c r="D9" i="55"/>
  <c r="G8" i="55"/>
  <c r="H8" i="55" s="1"/>
  <c r="D8" i="55"/>
  <c r="G7" i="55"/>
  <c r="H7" i="55" s="1"/>
  <c r="D7" i="55"/>
  <c r="G6" i="55"/>
  <c r="H6" i="55" s="1"/>
  <c r="D6" i="55"/>
  <c r="G5" i="55"/>
  <c r="H5" i="55" s="1"/>
  <c r="D5" i="55"/>
  <c r="N34" i="61" l="1"/>
  <c r="C35" i="46" s="1"/>
  <c r="N41" i="61"/>
  <c r="C42" i="46" s="1"/>
  <c r="N35" i="61"/>
  <c r="C36" i="46" s="1"/>
  <c r="J12" i="55"/>
  <c r="J13" i="55"/>
  <c r="N20" i="61"/>
  <c r="C21" i="46" s="1"/>
  <c r="N17" i="61"/>
  <c r="C18" i="46" s="1"/>
  <c r="N30" i="61"/>
  <c r="C31" i="46" s="1"/>
  <c r="N45" i="61"/>
  <c r="C46" i="46" s="1"/>
  <c r="N9" i="61"/>
  <c r="C10" i="46" s="1"/>
  <c r="N33" i="61"/>
  <c r="C34" i="46" s="1"/>
  <c r="N42" i="61"/>
  <c r="C43" i="46" s="1"/>
  <c r="N29" i="61"/>
  <c r="C30" i="46" s="1"/>
  <c r="N12" i="61"/>
  <c r="C13" i="46" s="1"/>
  <c r="N11" i="61"/>
  <c r="C12" i="46" s="1"/>
  <c r="N37" i="61"/>
  <c r="C38" i="46" s="1"/>
  <c r="N46" i="61"/>
  <c r="C47" i="46" s="1"/>
  <c r="N32" i="61"/>
  <c r="C33" i="46" s="1"/>
  <c r="N50" i="61"/>
  <c r="C51" i="46" s="1"/>
  <c r="N7" i="61"/>
  <c r="C8" i="46" s="1"/>
  <c r="N38" i="61"/>
  <c r="C39" i="46" s="1"/>
  <c r="N36" i="61"/>
  <c r="C37" i="46" s="1"/>
  <c r="N56" i="61"/>
  <c r="C57" i="46" s="1"/>
  <c r="N22" i="61"/>
  <c r="C23" i="46" s="1"/>
  <c r="N39" i="61"/>
  <c r="C40" i="46" s="1"/>
  <c r="N49" i="61"/>
  <c r="C50" i="46" s="1"/>
  <c r="N24" i="61"/>
  <c r="C25" i="46" s="1"/>
  <c r="N10" i="61"/>
  <c r="C11" i="46" s="1"/>
  <c r="N27" i="61"/>
  <c r="C28" i="46" s="1"/>
  <c r="N47" i="61"/>
  <c r="C48" i="46" s="1"/>
  <c r="N55" i="61"/>
  <c r="C56" i="46" s="1"/>
  <c r="N53" i="61"/>
  <c r="C54" i="46" s="1"/>
  <c r="N40" i="61"/>
  <c r="C41" i="46" s="1"/>
  <c r="N18" i="61"/>
  <c r="C19" i="46" s="1"/>
  <c r="N14" i="61"/>
  <c r="C15" i="46" s="1"/>
  <c r="N25" i="61"/>
  <c r="C26" i="46" s="1"/>
  <c r="N15" i="61"/>
  <c r="C16" i="46" s="1"/>
  <c r="N48" i="61"/>
  <c r="C49" i="46" s="1"/>
  <c r="N43" i="61"/>
  <c r="C44" i="46" s="1"/>
  <c r="N52" i="61"/>
  <c r="C53" i="46" s="1"/>
  <c r="N28" i="61"/>
  <c r="C29" i="46" s="1"/>
  <c r="N19" i="61"/>
  <c r="C20" i="46" s="1"/>
  <c r="N16" i="61"/>
  <c r="C17" i="46" s="1"/>
  <c r="N44" i="61"/>
  <c r="C45" i="46" s="1"/>
  <c r="N26" i="61"/>
  <c r="C27" i="46" s="1"/>
  <c r="N8" i="61"/>
  <c r="C9" i="46" s="1"/>
  <c r="N21" i="61"/>
  <c r="C22" i="46" s="1"/>
  <c r="N54" i="61"/>
  <c r="C55" i="46" s="1"/>
  <c r="N13" i="61"/>
  <c r="C14" i="46" s="1"/>
  <c r="N23" i="61"/>
  <c r="C24" i="46" s="1"/>
  <c r="N51" i="61"/>
  <c r="C52" i="46" s="1"/>
  <c r="N31" i="61"/>
  <c r="C32" i="46" s="1"/>
  <c r="AF58" i="63"/>
  <c r="J24" i="55"/>
  <c r="J48" i="55"/>
  <c r="M6" i="61"/>
  <c r="B7" i="46" s="1"/>
  <c r="M51" i="61"/>
  <c r="B52" i="46" s="1"/>
  <c r="M30" i="61"/>
  <c r="B31" i="46" s="1"/>
  <c r="M32" i="61"/>
  <c r="B33" i="46" s="1"/>
  <c r="M23" i="61"/>
  <c r="B24" i="46" s="1"/>
  <c r="M55" i="61"/>
  <c r="B56" i="46" s="1"/>
  <c r="M37" i="61"/>
  <c r="B38" i="46" s="1"/>
  <c r="M38" i="61"/>
  <c r="B39" i="46" s="1"/>
  <c r="M22" i="61"/>
  <c r="B23" i="46" s="1"/>
  <c r="M18" i="61"/>
  <c r="B19" i="46" s="1"/>
  <c r="M11" i="61"/>
  <c r="B12" i="46" s="1"/>
  <c r="M12" i="61"/>
  <c r="B13" i="46" s="1"/>
  <c r="M49" i="61"/>
  <c r="B50" i="46" s="1"/>
  <c r="M50" i="61"/>
  <c r="B51" i="46" s="1"/>
  <c r="M40" i="61"/>
  <c r="B41" i="46" s="1"/>
  <c r="M42" i="61"/>
  <c r="B43" i="46" s="1"/>
  <c r="M24" i="61"/>
  <c r="B25" i="46" s="1"/>
  <c r="M13" i="61"/>
  <c r="B14" i="46" s="1"/>
  <c r="M46" i="61"/>
  <c r="B47" i="46" s="1"/>
  <c r="M56" i="61"/>
  <c r="B57" i="46" s="1"/>
  <c r="M16" i="61"/>
  <c r="B17" i="46" s="1"/>
  <c r="M36" i="61"/>
  <c r="B37" i="46" s="1"/>
  <c r="M9" i="61"/>
  <c r="B10" i="46" s="1"/>
  <c r="M26" i="61"/>
  <c r="B27" i="46" s="1"/>
  <c r="M35" i="61"/>
  <c r="B36" i="46" s="1"/>
  <c r="M33" i="61"/>
  <c r="B34" i="46" s="1"/>
  <c r="M52" i="61"/>
  <c r="B53" i="46" s="1"/>
  <c r="M17" i="61"/>
  <c r="B18" i="46" s="1"/>
  <c r="M20" i="61"/>
  <c r="B21" i="46" s="1"/>
  <c r="M15" i="61"/>
  <c r="B16" i="46" s="1"/>
  <c r="M54" i="61"/>
  <c r="B55" i="46" s="1"/>
  <c r="M8" i="61"/>
  <c r="B9" i="46" s="1"/>
  <c r="M48" i="61"/>
  <c r="B49" i="46" s="1"/>
  <c r="M7" i="61"/>
  <c r="B8" i="46" s="1"/>
  <c r="M19" i="61"/>
  <c r="B20" i="46" s="1"/>
  <c r="M21" i="61"/>
  <c r="B22" i="46" s="1"/>
  <c r="M47" i="61"/>
  <c r="B48" i="46" s="1"/>
  <c r="M41" i="61"/>
  <c r="B42" i="46" s="1"/>
  <c r="M25" i="61"/>
  <c r="B26" i="46" s="1"/>
  <c r="M14" i="61"/>
  <c r="B15" i="46" s="1"/>
  <c r="M44" i="61"/>
  <c r="B45" i="46" s="1"/>
  <c r="M28" i="61"/>
  <c r="B29" i="46" s="1"/>
  <c r="M34" i="61"/>
  <c r="B35" i="46" s="1"/>
  <c r="M45" i="61"/>
  <c r="B46" i="46" s="1"/>
  <c r="M31" i="61"/>
  <c r="B32" i="46" s="1"/>
  <c r="M53" i="61"/>
  <c r="B54" i="46" s="1"/>
  <c r="M10" i="61"/>
  <c r="B11" i="46" s="1"/>
  <c r="M39" i="61"/>
  <c r="B40" i="46" s="1"/>
  <c r="M43" i="61"/>
  <c r="B44" i="46" s="1"/>
  <c r="M27" i="61"/>
  <c r="B28" i="46" s="1"/>
  <c r="M29" i="61"/>
  <c r="B30" i="46" s="1"/>
  <c r="J36" i="55"/>
  <c r="H56" i="55"/>
  <c r="I5" i="55" s="1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18" i="55" l="1"/>
  <c r="I9" i="55"/>
  <c r="I49" i="55"/>
  <c r="E54" i="55"/>
  <c r="I46" i="55"/>
  <c r="I16" i="55"/>
  <c r="I39" i="55"/>
  <c r="I41" i="55"/>
  <c r="I21" i="55"/>
  <c r="I30" i="55"/>
  <c r="I32" i="55"/>
  <c r="I15" i="55"/>
  <c r="I27" i="55"/>
  <c r="I54" i="55"/>
  <c r="I13" i="55"/>
  <c r="I24" i="55"/>
  <c r="E12" i="55"/>
  <c r="I55" i="55"/>
  <c r="E40" i="55"/>
  <c r="E43" i="55"/>
  <c r="I17" i="55"/>
  <c r="I25" i="55"/>
  <c r="E34" i="55"/>
  <c r="I8" i="55"/>
  <c r="I53" i="55"/>
  <c r="I33" i="55"/>
  <c r="I31" i="55"/>
  <c r="I6" i="55"/>
  <c r="I26" i="55"/>
  <c r="I34" i="55"/>
  <c r="I50" i="55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E13" i="41" l="1"/>
  <c r="E14" i="41" s="1"/>
  <c r="E9" i="41"/>
  <c r="I9" i="41" s="1"/>
  <c r="E8" i="41"/>
  <c r="I8" i="41" s="1"/>
  <c r="E7" i="41"/>
  <c r="E6" i="41"/>
  <c r="F53" i="46" l="1"/>
  <c r="F41" i="46"/>
  <c r="F29" i="46"/>
  <c r="F17" i="46"/>
  <c r="F52" i="46"/>
  <c r="F40" i="46"/>
  <c r="F28" i="46"/>
  <c r="F16" i="46"/>
  <c r="F51" i="46"/>
  <c r="F39" i="46"/>
  <c r="F27" i="46"/>
  <c r="F15" i="46"/>
  <c r="F38" i="46"/>
  <c r="F14" i="46"/>
  <c r="F49" i="46"/>
  <c r="F37" i="46"/>
  <c r="F25" i="46"/>
  <c r="F13" i="46"/>
  <c r="F48" i="46"/>
  <c r="F24" i="46"/>
  <c r="F35" i="46"/>
  <c r="F11" i="46"/>
  <c r="F34" i="46"/>
  <c r="F57" i="46"/>
  <c r="F9" i="46"/>
  <c r="F20" i="46"/>
  <c r="F43" i="46"/>
  <c r="F7" i="46"/>
  <c r="F30" i="46"/>
  <c r="F26" i="46"/>
  <c r="F12" i="46"/>
  <c r="F23" i="46"/>
  <c r="F46" i="46"/>
  <c r="F10" i="46"/>
  <c r="F21" i="46"/>
  <c r="F44" i="46"/>
  <c r="F8" i="46"/>
  <c r="F31" i="46"/>
  <c r="F54" i="46"/>
  <c r="F50" i="46"/>
  <c r="F36" i="46"/>
  <c r="F47" i="46"/>
  <c r="F22" i="46"/>
  <c r="F45" i="46"/>
  <c r="F56" i="46"/>
  <c r="F32" i="46"/>
  <c r="F55" i="46"/>
  <c r="F19" i="46"/>
  <c r="F42" i="46"/>
  <c r="F33" i="46"/>
  <c r="F18" i="46"/>
  <c r="R6" i="61"/>
  <c r="H7" i="46" s="1"/>
  <c r="R24" i="61"/>
  <c r="H25" i="46" s="1"/>
  <c r="R55" i="61"/>
  <c r="H56" i="46" s="1"/>
  <c r="R13" i="61"/>
  <c r="H14" i="46" s="1"/>
  <c r="R52" i="61"/>
  <c r="H53" i="46" s="1"/>
  <c r="R30" i="61"/>
  <c r="H31" i="46" s="1"/>
  <c r="R10" i="61"/>
  <c r="H11" i="46" s="1"/>
  <c r="R26" i="61"/>
  <c r="H27" i="46" s="1"/>
  <c r="R32" i="61"/>
  <c r="H33" i="46" s="1"/>
  <c r="R35" i="61"/>
  <c r="H36" i="46" s="1"/>
  <c r="R22" i="61"/>
  <c r="H23" i="46" s="1"/>
  <c r="R15" i="61"/>
  <c r="H16" i="46" s="1"/>
  <c r="R51" i="61"/>
  <c r="H52" i="46" s="1"/>
  <c r="R42" i="61"/>
  <c r="H43" i="46" s="1"/>
  <c r="R18" i="61"/>
  <c r="H19" i="46" s="1"/>
  <c r="R53" i="61"/>
  <c r="H54" i="46" s="1"/>
  <c r="R27" i="61"/>
  <c r="H28" i="46" s="1"/>
  <c r="R19" i="61"/>
  <c r="H20" i="46" s="1"/>
  <c r="R25" i="61"/>
  <c r="H26" i="46" s="1"/>
  <c r="R47" i="61"/>
  <c r="H48" i="46" s="1"/>
  <c r="R38" i="61"/>
  <c r="H39" i="46" s="1"/>
  <c r="R54" i="61"/>
  <c r="H55" i="46" s="1"/>
  <c r="R49" i="61"/>
  <c r="H50" i="46" s="1"/>
  <c r="R37" i="61"/>
  <c r="H38" i="46" s="1"/>
  <c r="R43" i="61"/>
  <c r="H44" i="46" s="1"/>
  <c r="R45" i="61"/>
  <c r="H46" i="46" s="1"/>
  <c r="R40" i="61"/>
  <c r="H41" i="46" s="1"/>
  <c r="R31" i="61"/>
  <c r="H32" i="46" s="1"/>
  <c r="R46" i="61"/>
  <c r="H47" i="46" s="1"/>
  <c r="R48" i="61"/>
  <c r="H49" i="46" s="1"/>
  <c r="R39" i="61"/>
  <c r="H40" i="46" s="1"/>
  <c r="R41" i="61"/>
  <c r="H42" i="46" s="1"/>
  <c r="R20" i="61"/>
  <c r="H21" i="46" s="1"/>
  <c r="R21" i="61"/>
  <c r="H22" i="46" s="1"/>
  <c r="R33" i="61"/>
  <c r="H34" i="46" s="1"/>
  <c r="R50" i="61"/>
  <c r="H51" i="46" s="1"/>
  <c r="R7" i="61"/>
  <c r="H8" i="46" s="1"/>
  <c r="R14" i="61"/>
  <c r="H15" i="46" s="1"/>
  <c r="R17" i="61"/>
  <c r="H18" i="46" s="1"/>
  <c r="R28" i="61"/>
  <c r="H29" i="46" s="1"/>
  <c r="R8" i="61"/>
  <c r="H9" i="46" s="1"/>
  <c r="R23" i="61"/>
  <c r="H24" i="46" s="1"/>
  <c r="R12" i="61"/>
  <c r="H13" i="46" s="1"/>
  <c r="R16" i="61"/>
  <c r="H17" i="46" s="1"/>
  <c r="R44" i="61"/>
  <c r="H45" i="46" s="1"/>
  <c r="R56" i="61"/>
  <c r="H57" i="46" s="1"/>
  <c r="R34" i="61"/>
  <c r="H35" i="46" s="1"/>
  <c r="R29" i="61"/>
  <c r="H30" i="46" s="1"/>
  <c r="R11" i="61"/>
  <c r="H12" i="46" s="1"/>
  <c r="R9" i="61"/>
  <c r="H10" i="46" s="1"/>
  <c r="R36" i="61"/>
  <c r="H37" i="46" s="1"/>
  <c r="I7" i="41"/>
  <c r="P29" i="61" s="1"/>
  <c r="Q6" i="61"/>
  <c r="G7" i="46" s="1"/>
  <c r="Q51" i="61"/>
  <c r="G52" i="46" s="1"/>
  <c r="Q21" i="61"/>
  <c r="G22" i="46" s="1"/>
  <c r="Q17" i="61"/>
  <c r="G18" i="46" s="1"/>
  <c r="Q48" i="61"/>
  <c r="G49" i="46" s="1"/>
  <c r="Q11" i="61"/>
  <c r="G12" i="46" s="1"/>
  <c r="Q55" i="61"/>
  <c r="G56" i="46" s="1"/>
  <c r="Q31" i="61"/>
  <c r="G32" i="46" s="1"/>
  <c r="Q24" i="61"/>
  <c r="G25" i="46" s="1"/>
  <c r="Q32" i="61"/>
  <c r="G33" i="46" s="1"/>
  <c r="Q43" i="61"/>
  <c r="G44" i="46" s="1"/>
  <c r="Q40" i="61"/>
  <c r="G41" i="46" s="1"/>
  <c r="Q42" i="61"/>
  <c r="G43" i="46" s="1"/>
  <c r="Q14" i="61"/>
  <c r="G15" i="46" s="1"/>
  <c r="Q23" i="61"/>
  <c r="G24" i="46" s="1"/>
  <c r="Q19" i="61"/>
  <c r="G20" i="46" s="1"/>
  <c r="Q13" i="61"/>
  <c r="G14" i="46" s="1"/>
  <c r="Q7" i="61"/>
  <c r="G8" i="46" s="1"/>
  <c r="Q49" i="61"/>
  <c r="G50" i="46" s="1"/>
  <c r="Q52" i="61"/>
  <c r="G53" i="46" s="1"/>
  <c r="Q45" i="61"/>
  <c r="G46" i="46" s="1"/>
  <c r="Q54" i="61"/>
  <c r="G55" i="46" s="1"/>
  <c r="Q22" i="61"/>
  <c r="G23" i="46" s="1"/>
  <c r="Q28" i="61"/>
  <c r="G29" i="46" s="1"/>
  <c r="Q29" i="61"/>
  <c r="G30" i="46" s="1"/>
  <c r="Q20" i="61"/>
  <c r="G21" i="46" s="1"/>
  <c r="Q10" i="61"/>
  <c r="G11" i="46" s="1"/>
  <c r="Q16" i="61"/>
  <c r="G17" i="46" s="1"/>
  <c r="Q27" i="61"/>
  <c r="G28" i="46" s="1"/>
  <c r="Q38" i="61"/>
  <c r="G39" i="46" s="1"/>
  <c r="Q18" i="61"/>
  <c r="G19" i="46" s="1"/>
  <c r="Q36" i="61"/>
  <c r="G37" i="46" s="1"/>
  <c r="Q30" i="61"/>
  <c r="G31" i="46" s="1"/>
  <c r="Q47" i="61"/>
  <c r="G48" i="46" s="1"/>
  <c r="Q56" i="61"/>
  <c r="G57" i="46" s="1"/>
  <c r="Q37" i="61"/>
  <c r="G38" i="46" s="1"/>
  <c r="Q35" i="61"/>
  <c r="G36" i="46" s="1"/>
  <c r="Q41" i="61"/>
  <c r="G42" i="46" s="1"/>
  <c r="Q50" i="61"/>
  <c r="G51" i="46" s="1"/>
  <c r="Q15" i="61"/>
  <c r="G16" i="46" s="1"/>
  <c r="Q9" i="61"/>
  <c r="G10" i="46" s="1"/>
  <c r="Q12" i="61"/>
  <c r="G13" i="46" s="1"/>
  <c r="Q53" i="61"/>
  <c r="G54" i="46" s="1"/>
  <c r="Q39" i="61"/>
  <c r="G40" i="46" s="1"/>
  <c r="Q26" i="61"/>
  <c r="G27" i="46" s="1"/>
  <c r="Q25" i="61"/>
  <c r="G26" i="46" s="1"/>
  <c r="Q44" i="61"/>
  <c r="G45" i="46" s="1"/>
  <c r="Q46" i="61"/>
  <c r="G47" i="46" s="1"/>
  <c r="Q34" i="61"/>
  <c r="G35" i="46" s="1"/>
  <c r="Q33" i="61"/>
  <c r="G34" i="46" s="1"/>
  <c r="Q8" i="61"/>
  <c r="G9" i="46" s="1"/>
  <c r="I6" i="41"/>
  <c r="E10" i="41"/>
  <c r="E15" i="41" s="1"/>
  <c r="C57" i="54"/>
  <c r="B57" i="54"/>
  <c r="P15" i="61" l="1"/>
  <c r="P38" i="61"/>
  <c r="P39" i="61"/>
  <c r="P42" i="61"/>
  <c r="P18" i="61"/>
  <c r="P49" i="61"/>
  <c r="P25" i="61"/>
  <c r="P43" i="61"/>
  <c r="P30" i="61"/>
  <c r="P26" i="61"/>
  <c r="P22" i="61"/>
  <c r="P44" i="61"/>
  <c r="P50" i="61"/>
  <c r="P14" i="61"/>
  <c r="P23" i="61"/>
  <c r="P37" i="61"/>
  <c r="P51" i="61"/>
  <c r="P33" i="61"/>
  <c r="P13" i="61"/>
  <c r="P41" i="61"/>
  <c r="P27" i="61"/>
  <c r="P53" i="61"/>
  <c r="P35" i="61"/>
  <c r="P6" i="61"/>
  <c r="P56" i="61"/>
  <c r="P32" i="61"/>
  <c r="P20" i="61"/>
  <c r="P34" i="61"/>
  <c r="P10" i="61"/>
  <c r="P46" i="61"/>
  <c r="P24" i="61"/>
  <c r="P54" i="61"/>
  <c r="P19" i="61"/>
  <c r="P21" i="61"/>
  <c r="P47" i="61"/>
  <c r="P16" i="61"/>
  <c r="P48" i="61"/>
  <c r="P7" i="61"/>
  <c r="P28" i="61"/>
  <c r="P17" i="61"/>
  <c r="P11" i="61"/>
  <c r="P36" i="61"/>
  <c r="P55" i="61"/>
  <c r="P40" i="61"/>
  <c r="P9" i="61"/>
  <c r="P31" i="61"/>
  <c r="P12" i="61"/>
  <c r="P8" i="61"/>
  <c r="P45" i="61"/>
  <c r="P52" i="61"/>
  <c r="O6" i="61"/>
  <c r="E7" i="46" s="1"/>
  <c r="O24" i="61"/>
  <c r="E25" i="46" s="1"/>
  <c r="O41" i="61"/>
  <c r="E42" i="46" s="1"/>
  <c r="O14" i="61"/>
  <c r="E15" i="46" s="1"/>
  <c r="O53" i="61"/>
  <c r="E54" i="46" s="1"/>
  <c r="O20" i="61"/>
  <c r="E21" i="46" s="1"/>
  <c r="O21" i="61"/>
  <c r="E22" i="46" s="1"/>
  <c r="O22" i="61"/>
  <c r="E23" i="46" s="1"/>
  <c r="O10" i="61"/>
  <c r="E11" i="46" s="1"/>
  <c r="O39" i="61"/>
  <c r="E40" i="46" s="1"/>
  <c r="O27" i="61"/>
  <c r="E28" i="46" s="1"/>
  <c r="O17" i="61"/>
  <c r="E18" i="46" s="1"/>
  <c r="O35" i="61"/>
  <c r="E36" i="46" s="1"/>
  <c r="O49" i="61"/>
  <c r="E50" i="46" s="1"/>
  <c r="O32" i="61"/>
  <c r="E33" i="46" s="1"/>
  <c r="O44" i="61"/>
  <c r="E45" i="46" s="1"/>
  <c r="O8" i="61"/>
  <c r="E9" i="46" s="1"/>
  <c r="O52" i="61"/>
  <c r="E53" i="46" s="1"/>
  <c r="O37" i="61"/>
  <c r="E38" i="46" s="1"/>
  <c r="O48" i="61"/>
  <c r="E49" i="46" s="1"/>
  <c r="O56" i="61"/>
  <c r="E57" i="46" s="1"/>
  <c r="O33" i="61"/>
  <c r="E34" i="46" s="1"/>
  <c r="O51" i="61"/>
  <c r="E52" i="46" s="1"/>
  <c r="O12" i="61"/>
  <c r="E13" i="46" s="1"/>
  <c r="O30" i="61"/>
  <c r="E31" i="46" s="1"/>
  <c r="O47" i="61"/>
  <c r="E48" i="46" s="1"/>
  <c r="O25" i="61"/>
  <c r="E26" i="46" s="1"/>
  <c r="O16" i="61"/>
  <c r="E17" i="46" s="1"/>
  <c r="O36" i="61"/>
  <c r="E37" i="46" s="1"/>
  <c r="O11" i="61"/>
  <c r="E12" i="46" s="1"/>
  <c r="O19" i="61"/>
  <c r="E20" i="46" s="1"/>
  <c r="O29" i="61"/>
  <c r="E30" i="46" s="1"/>
  <c r="O7" i="61"/>
  <c r="E8" i="46" s="1"/>
  <c r="O46" i="61"/>
  <c r="E47" i="46" s="1"/>
  <c r="O34" i="61"/>
  <c r="E35" i="46" s="1"/>
  <c r="O45" i="61"/>
  <c r="E46" i="46" s="1"/>
  <c r="O18" i="61"/>
  <c r="E19" i="46" s="1"/>
  <c r="O9" i="61"/>
  <c r="E10" i="46" s="1"/>
  <c r="O31" i="61"/>
  <c r="E32" i="46" s="1"/>
  <c r="O42" i="61"/>
  <c r="E43" i="46" s="1"/>
  <c r="O54" i="61"/>
  <c r="E55" i="46" s="1"/>
  <c r="O43" i="61"/>
  <c r="E44" i="46" s="1"/>
  <c r="O40" i="61"/>
  <c r="E41" i="46" s="1"/>
  <c r="O38" i="61"/>
  <c r="E39" i="46" s="1"/>
  <c r="O15" i="61"/>
  <c r="E16" i="46" s="1"/>
  <c r="O55" i="61"/>
  <c r="E56" i="46" s="1"/>
  <c r="O13" i="61"/>
  <c r="E14" i="46" s="1"/>
  <c r="O26" i="61"/>
  <c r="E27" i="46" s="1"/>
  <c r="O28" i="61"/>
  <c r="E29" i="46" s="1"/>
  <c r="O50" i="61"/>
  <c r="E51" i="46" s="1"/>
  <c r="O23" i="61"/>
  <c r="E24" i="46" s="1"/>
  <c r="I10" i="41"/>
  <c r="I15" i="41" s="1"/>
  <c r="O3" i="55" l="1"/>
  <c r="M3" i="55"/>
  <c r="N3" i="55"/>
  <c r="O38" i="55" l="1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M21" i="55"/>
  <c r="M15" i="55"/>
  <c r="M17" i="55"/>
  <c r="M31" i="55"/>
  <c r="M27" i="55"/>
  <c r="M24" i="55"/>
  <c r="M55" i="55"/>
  <c r="M46" i="55"/>
  <c r="M32" i="55"/>
  <c r="M53" i="55"/>
  <c r="M25" i="55"/>
  <c r="P22" i="55" l="1"/>
  <c r="D24" i="46" s="1"/>
  <c r="P48" i="55"/>
  <c r="D50" i="46" s="1"/>
  <c r="P52" i="55"/>
  <c r="D54" i="46" s="1"/>
  <c r="P15" i="55"/>
  <c r="D17" i="46" s="1"/>
  <c r="P30" i="55"/>
  <c r="D32" i="46" s="1"/>
  <c r="P53" i="55"/>
  <c r="D55" i="46" s="1"/>
  <c r="P39" i="55"/>
  <c r="D41" i="46" s="1"/>
  <c r="P35" i="55"/>
  <c r="D37" i="46" s="1"/>
  <c r="P19" i="55"/>
  <c r="D21" i="46" s="1"/>
  <c r="P14" i="55"/>
  <c r="D16" i="46" s="1"/>
  <c r="P43" i="55"/>
  <c r="D45" i="46" s="1"/>
  <c r="P24" i="55"/>
  <c r="D26" i="46" s="1"/>
  <c r="P28" i="55"/>
  <c r="D30" i="46" s="1"/>
  <c r="P54" i="55"/>
  <c r="D56" i="46" s="1"/>
  <c r="P26" i="55"/>
  <c r="D28" i="46" s="1"/>
  <c r="P36" i="55"/>
  <c r="D38" i="46" s="1"/>
  <c r="P16" i="55"/>
  <c r="D18" i="46" s="1"/>
  <c r="P50" i="55"/>
  <c r="D52" i="46" s="1"/>
  <c r="P13" i="55"/>
  <c r="D15" i="46" s="1"/>
  <c r="P27" i="55"/>
  <c r="D29" i="46" s="1"/>
  <c r="P38" i="55"/>
  <c r="D40" i="46" s="1"/>
  <c r="P17" i="55"/>
  <c r="D19" i="46" s="1"/>
  <c r="P21" i="55"/>
  <c r="D23" i="46" s="1"/>
  <c r="P7" i="55"/>
  <c r="D9" i="46" s="1"/>
  <c r="P10" i="55"/>
  <c r="D12" i="46" s="1"/>
  <c r="P34" i="55"/>
  <c r="D36" i="46" s="1"/>
  <c r="P41" i="55"/>
  <c r="D43" i="46" s="1"/>
  <c r="O56" i="55"/>
  <c r="P5" i="55"/>
  <c r="D7" i="46" s="1"/>
  <c r="M56" i="55"/>
  <c r="P44" i="55"/>
  <c r="D46" i="46" s="1"/>
  <c r="P8" i="55"/>
  <c r="D10" i="46" s="1"/>
  <c r="P46" i="55"/>
  <c r="D48" i="46" s="1"/>
  <c r="P9" i="55"/>
  <c r="D11" i="46" s="1"/>
  <c r="P37" i="55"/>
  <c r="D39" i="46" s="1"/>
  <c r="P33" i="55"/>
  <c r="D35" i="46" s="1"/>
  <c r="N56" i="55"/>
  <c r="P25" i="55"/>
  <c r="D27" i="46" s="1"/>
  <c r="P32" i="55"/>
  <c r="D34" i="46" s="1"/>
  <c r="P55" i="55"/>
  <c r="D57" i="46" s="1"/>
  <c r="P20" i="55"/>
  <c r="D22" i="46" s="1"/>
  <c r="P51" i="55"/>
  <c r="D53" i="46" s="1"/>
  <c r="P11" i="55"/>
  <c r="D13" i="46" s="1"/>
  <c r="P12" i="55"/>
  <c r="D14" i="46" s="1"/>
  <c r="P49" i="55"/>
  <c r="D51" i="46" s="1"/>
  <c r="P42" i="55"/>
  <c r="D44" i="46" s="1"/>
  <c r="P31" i="55"/>
  <c r="D33" i="46" s="1"/>
  <c r="P18" i="55"/>
  <c r="D20" i="46" s="1"/>
  <c r="P6" i="55"/>
  <c r="D8" i="46" s="1"/>
  <c r="P29" i="55"/>
  <c r="D31" i="46" s="1"/>
  <c r="P40" i="55"/>
  <c r="D42" i="46" s="1"/>
  <c r="P47" i="55"/>
  <c r="D49" i="46" s="1"/>
  <c r="P45" i="55"/>
  <c r="D47" i="46" s="1"/>
  <c r="P23" i="55"/>
  <c r="D25" i="46" s="1"/>
  <c r="B57" i="47"/>
  <c r="B58" i="47" s="1"/>
  <c r="B55" i="47"/>
  <c r="C50" i="47" s="1"/>
  <c r="P56" i="55" l="1"/>
  <c r="Q10" i="55" s="1"/>
  <c r="C54" i="47"/>
  <c r="D54" i="47" s="1"/>
  <c r="C16" i="47"/>
  <c r="D16" i="47" s="1"/>
  <c r="C33" i="47"/>
  <c r="D33" i="47" s="1"/>
  <c r="C4" i="47"/>
  <c r="D4" i="47" s="1"/>
  <c r="C24" i="47"/>
  <c r="D24" i="47" s="1"/>
  <c r="C37" i="47"/>
  <c r="D37" i="47" s="1"/>
  <c r="C12" i="47"/>
  <c r="D12" i="47" s="1"/>
  <c r="C32" i="47"/>
  <c r="D32" i="47" s="1"/>
  <c r="C41" i="47"/>
  <c r="D41" i="47" s="1"/>
  <c r="C20" i="47"/>
  <c r="D20" i="47" s="1"/>
  <c r="C40" i="47"/>
  <c r="D40" i="47" s="1"/>
  <c r="C45" i="47"/>
  <c r="D45" i="47" s="1"/>
  <c r="C28" i="47"/>
  <c r="D28" i="47" s="1"/>
  <c r="C52" i="47"/>
  <c r="D52" i="47" s="1"/>
  <c r="C49" i="47"/>
  <c r="D49" i="47" s="1"/>
  <c r="C36" i="47"/>
  <c r="D36" i="47" s="1"/>
  <c r="C7" i="47"/>
  <c r="D7" i="47" s="1"/>
  <c r="C5" i="47"/>
  <c r="D5" i="47" s="1"/>
  <c r="C53" i="47"/>
  <c r="D53" i="47" s="1"/>
  <c r="C44" i="47"/>
  <c r="D44" i="47" s="1"/>
  <c r="C15" i="47"/>
  <c r="D15" i="47" s="1"/>
  <c r="C9" i="47"/>
  <c r="D9" i="47" s="1"/>
  <c r="C11" i="47"/>
  <c r="D11" i="47" s="1"/>
  <c r="C6" i="47"/>
  <c r="D6" i="47" s="1"/>
  <c r="C10" i="47"/>
  <c r="D10" i="47" s="1"/>
  <c r="C23" i="47"/>
  <c r="D23" i="47" s="1"/>
  <c r="C31" i="47"/>
  <c r="D31" i="47" s="1"/>
  <c r="C17" i="47"/>
  <c r="D17" i="47" s="1"/>
  <c r="C27" i="47"/>
  <c r="D27" i="47" s="1"/>
  <c r="C22" i="47"/>
  <c r="D22" i="47" s="1"/>
  <c r="C19" i="47"/>
  <c r="D19" i="47" s="1"/>
  <c r="C43" i="47"/>
  <c r="D43" i="47" s="1"/>
  <c r="C21" i="47"/>
  <c r="D21" i="47" s="1"/>
  <c r="C35" i="47"/>
  <c r="D35" i="47" s="1"/>
  <c r="C26" i="47"/>
  <c r="D26" i="47" s="1"/>
  <c r="C51" i="47"/>
  <c r="D51" i="47" s="1"/>
  <c r="C25" i="47"/>
  <c r="D25" i="47" s="1"/>
  <c r="C39" i="47"/>
  <c r="D39" i="47" s="1"/>
  <c r="C38" i="47"/>
  <c r="D38" i="47" s="1"/>
  <c r="C13" i="47"/>
  <c r="D13" i="47" s="1"/>
  <c r="C8" i="47"/>
  <c r="D8" i="47" s="1"/>
  <c r="C29" i="47"/>
  <c r="D29" i="47" s="1"/>
  <c r="C47" i="47"/>
  <c r="D47" i="47" s="1"/>
  <c r="C42" i="47"/>
  <c r="D42" i="47" s="1"/>
  <c r="C14" i="47"/>
  <c r="D14" i="47" s="1"/>
  <c r="C30" i="47"/>
  <c r="D30" i="47" s="1"/>
  <c r="C46" i="47"/>
  <c r="D46" i="47" s="1"/>
  <c r="C48" i="47"/>
  <c r="D48" i="47" s="1"/>
  <c r="C18" i="47"/>
  <c r="D18" i="47" s="1"/>
  <c r="C34" i="47"/>
  <c r="D34" i="47" s="1"/>
  <c r="J58" i="46"/>
  <c r="D50" i="47"/>
  <c r="K14" i="46" l="1"/>
  <c r="M14" i="46" s="1"/>
  <c r="K33" i="46"/>
  <c r="M33" i="46" s="1"/>
  <c r="K49" i="46"/>
  <c r="M49" i="46" s="1"/>
  <c r="K12" i="46"/>
  <c r="M12" i="46" s="1"/>
  <c r="K17" i="46"/>
  <c r="M17" i="46" s="1"/>
  <c r="K24" i="46"/>
  <c r="M24" i="46" s="1"/>
  <c r="K46" i="46"/>
  <c r="M46" i="46" s="1"/>
  <c r="K56" i="46"/>
  <c r="M56" i="46" s="1"/>
  <c r="K8" i="46"/>
  <c r="M8" i="46" s="1"/>
  <c r="K7" i="46"/>
  <c r="M7" i="46" s="1"/>
  <c r="K47" i="46"/>
  <c r="M47" i="46" s="1"/>
  <c r="K22" i="46"/>
  <c r="M22" i="46" s="1"/>
  <c r="K32" i="46"/>
  <c r="M32" i="46" s="1"/>
  <c r="K30" i="46"/>
  <c r="M30" i="46" s="1"/>
  <c r="K53" i="46"/>
  <c r="M53" i="46" s="1"/>
  <c r="K34" i="46"/>
  <c r="M34" i="46" s="1"/>
  <c r="K36" i="46"/>
  <c r="M36" i="46" s="1"/>
  <c r="K43" i="46"/>
  <c r="M43" i="46" s="1"/>
  <c r="K18" i="46"/>
  <c r="M18" i="46" s="1"/>
  <c r="K35" i="46"/>
  <c r="M35" i="46" s="1"/>
  <c r="K40" i="46"/>
  <c r="M40" i="46" s="1"/>
  <c r="K42" i="46"/>
  <c r="M42" i="46" s="1"/>
  <c r="K55" i="46"/>
  <c r="M55" i="46" s="1"/>
  <c r="K19" i="46"/>
  <c r="M19" i="46" s="1"/>
  <c r="K29" i="46"/>
  <c r="M29" i="46" s="1"/>
  <c r="K38" i="46"/>
  <c r="M38" i="46" s="1"/>
  <c r="K44" i="46"/>
  <c r="M44" i="46" s="1"/>
  <c r="K45" i="46"/>
  <c r="M45" i="46" s="1"/>
  <c r="K50" i="46"/>
  <c r="M50" i="46" s="1"/>
  <c r="K15" i="46"/>
  <c r="M15" i="46" s="1"/>
  <c r="K25" i="46"/>
  <c r="M25" i="46" s="1"/>
  <c r="K11" i="46"/>
  <c r="M11" i="46" s="1"/>
  <c r="K27" i="46"/>
  <c r="M27" i="46" s="1"/>
  <c r="K16" i="46"/>
  <c r="M16" i="46" s="1"/>
  <c r="K39" i="46"/>
  <c r="M39" i="46" s="1"/>
  <c r="K41" i="46"/>
  <c r="M41" i="46" s="1"/>
  <c r="K37" i="46"/>
  <c r="M37" i="46" s="1"/>
  <c r="K26" i="46"/>
  <c r="M26" i="46" s="1"/>
  <c r="K21" i="46"/>
  <c r="M21" i="46" s="1"/>
  <c r="K28" i="46"/>
  <c r="M28" i="46" s="1"/>
  <c r="K13" i="46"/>
  <c r="K31" i="46"/>
  <c r="M31" i="46" s="1"/>
  <c r="K57" i="46"/>
  <c r="M57" i="46" s="1"/>
  <c r="K23" i="46"/>
  <c r="M23" i="46" s="1"/>
  <c r="K10" i="46"/>
  <c r="M10" i="46" s="1"/>
  <c r="K20" i="46"/>
  <c r="M20" i="46" s="1"/>
  <c r="K52" i="46"/>
  <c r="M52" i="46" s="1"/>
  <c r="K51" i="46"/>
  <c r="M51" i="46" s="1"/>
  <c r="K54" i="46"/>
  <c r="M54" i="46" s="1"/>
  <c r="K9" i="46"/>
  <c r="M9" i="46" s="1"/>
  <c r="K48" i="46"/>
  <c r="M48" i="46" s="1"/>
  <c r="Q34" i="55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C55" i="47"/>
  <c r="D55" i="47"/>
  <c r="K58" i="46" l="1"/>
  <c r="M13" i="46"/>
  <c r="Q56" i="55"/>
  <c r="S6" i="61" l="1"/>
  <c r="O57" i="61" l="1"/>
  <c r="P57" i="61"/>
  <c r="S47" i="61"/>
  <c r="T47" i="61" s="1"/>
  <c r="S9" i="61"/>
  <c r="T9" i="61" s="1"/>
  <c r="S22" i="61"/>
  <c r="T22" i="61" s="1"/>
  <c r="S43" i="61"/>
  <c r="T43" i="61" s="1"/>
  <c r="S11" i="61"/>
  <c r="T11" i="61" s="1"/>
  <c r="S24" i="61"/>
  <c r="T24" i="61" s="1"/>
  <c r="S8" i="61"/>
  <c r="T8" i="61" s="1"/>
  <c r="Q57" i="61"/>
  <c r="T6" i="61"/>
  <c r="S53" i="61"/>
  <c r="T53" i="61" s="1"/>
  <c r="S42" i="61"/>
  <c r="T42" i="61" s="1"/>
  <c r="S46" i="61"/>
  <c r="T46" i="61" s="1"/>
  <c r="S41" i="61"/>
  <c r="T41" i="61" s="1"/>
  <c r="S30" i="61"/>
  <c r="T30" i="61" s="1"/>
  <c r="S51" i="61"/>
  <c r="T51" i="61" s="1"/>
  <c r="S40" i="61"/>
  <c r="T40" i="61" s="1"/>
  <c r="S26" i="61"/>
  <c r="T26" i="61" s="1"/>
  <c r="S49" i="61"/>
  <c r="T49" i="61" s="1"/>
  <c r="M57" i="61"/>
  <c r="S38" i="61"/>
  <c r="T38" i="61" s="1"/>
  <c r="S16" i="61"/>
  <c r="T16" i="61" s="1"/>
  <c r="S19" i="61"/>
  <c r="T19" i="61" s="1"/>
  <c r="S36" i="61"/>
  <c r="T36" i="61" s="1"/>
  <c r="S17" i="61"/>
  <c r="T17" i="61" s="1"/>
  <c r="S48" i="61"/>
  <c r="T48" i="61" s="1"/>
  <c r="S13" i="61"/>
  <c r="T13" i="61" s="1"/>
  <c r="S56" i="61"/>
  <c r="T56" i="61" s="1"/>
  <c r="S25" i="61"/>
  <c r="T25" i="61" s="1"/>
  <c r="S14" i="61"/>
  <c r="T14" i="61" s="1"/>
  <c r="S52" i="61"/>
  <c r="T52" i="61" s="1"/>
  <c r="N57" i="61"/>
  <c r="S54" i="61"/>
  <c r="T54" i="61" s="1"/>
  <c r="S55" i="61"/>
  <c r="T55" i="61" s="1"/>
  <c r="S28" i="61"/>
  <c r="T28" i="61" s="1"/>
  <c r="S21" i="61"/>
  <c r="T21" i="61" s="1"/>
  <c r="S45" i="61"/>
  <c r="T45" i="61" s="1"/>
  <c r="S27" i="61"/>
  <c r="T27" i="61" s="1"/>
  <c r="S18" i="61"/>
  <c r="T18" i="61" s="1"/>
  <c r="S32" i="61"/>
  <c r="T32" i="61" s="1"/>
  <c r="S15" i="61"/>
  <c r="T15" i="61" s="1"/>
  <c r="S7" i="61"/>
  <c r="T7" i="61" s="1"/>
  <c r="S12" i="61"/>
  <c r="T12" i="61" s="1"/>
  <c r="S29" i="61"/>
  <c r="T29" i="61" s="1"/>
  <c r="S44" i="61"/>
  <c r="T44" i="61" s="1"/>
  <c r="S31" i="61"/>
  <c r="T31" i="61" s="1"/>
  <c r="S10" i="61"/>
  <c r="T10" i="61" s="1"/>
  <c r="S33" i="61"/>
  <c r="T33" i="61" s="1"/>
  <c r="S23" i="61"/>
  <c r="T23" i="61" s="1"/>
  <c r="S39" i="61"/>
  <c r="T39" i="61" s="1"/>
  <c r="S37" i="61"/>
  <c r="T37" i="61" s="1"/>
  <c r="R57" i="61"/>
  <c r="S20" i="61"/>
  <c r="T20" i="61" s="1"/>
  <c r="S35" i="61"/>
  <c r="T35" i="61" s="1"/>
  <c r="S34" i="61"/>
  <c r="T34" i="61" s="1"/>
  <c r="S50" i="61"/>
  <c r="T50" i="61" s="1"/>
  <c r="T57" i="61" l="1"/>
  <c r="S57" i="61"/>
  <c r="I58" i="46" l="1"/>
  <c r="G58" i="46" l="1"/>
  <c r="E58" i="46"/>
  <c r="H58" i="46"/>
  <c r="F58" i="46"/>
  <c r="C58" i="46"/>
  <c r="B58" i="46"/>
  <c r="M58" i="46" l="1"/>
  <c r="D58" i="46"/>
</calcChain>
</file>

<file path=xl/sharedStrings.xml><?xml version="1.0" encoding="utf-8"?>
<sst xmlns="http://schemas.openxmlformats.org/spreadsheetml/2006/main" count="983" uniqueCount="365">
  <si>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</si>
  <si>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</si>
  <si>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</si>
  <si>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</si>
  <si>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</si>
  <si>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</si>
  <si>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</si>
  <si>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</si>
  <si>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</si>
  <si>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</si>
  <si>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</si>
  <si>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</si>
  <si>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</si>
  <si>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</si>
  <si>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</si>
  <si>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</si>
  <si>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</si>
  <si>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</si>
  <si>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</si>
  <si>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</si>
  <si>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</si>
  <si>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</si>
  <si>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</si>
  <si>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</si>
  <si>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</si>
  <si>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</si>
  <si>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</si>
  <si>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</si>
  <si>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</si>
  <si>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</si>
  <si>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</si>
  <si>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</si>
  <si>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</si>
  <si>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</si>
  <si>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</si>
  <si>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</si>
  <si>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</si>
  <si>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</si>
  <si>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</si>
  <si>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</si>
  <si>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</si>
  <si>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</si>
  <si>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</si>
  <si>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</si>
  <si>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</si>
  <si>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</si>
  <si>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</si>
  <si>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</si>
  <si>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</si>
  <si>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</si>
  <si>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</si>
  <si>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</si>
  <si>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</si>
  <si>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</si>
  <si>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</si>
  <si>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</si>
  <si>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</si>
  <si>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</si>
  <si>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</si>
  <si>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</si>
  <si>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</si>
  <si>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</si>
  <si>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</si>
  <si>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</si>
  <si>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</si>
  <si>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</si>
  <si>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</si>
  <si>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</si>
  <si>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</si>
  <si>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</si>
  <si>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</si>
  <si>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</si>
  <si>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</si>
  <si>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</si>
  <si>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</si>
  <si>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</si>
  <si>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</si>
  <si>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</si>
  <si>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</si>
  <si>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</si>
  <si>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</si>
  <si>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</si>
  <si>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</si>
  <si>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</si>
  <si>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</si>
  <si>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</si>
  <si>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</si>
  <si>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</si>
  <si>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</si>
  <si>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</si>
  <si>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</si>
  <si>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</si>
  <si>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</si>
  <si>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</si>
  <si>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</si>
  <si>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</si>
  <si>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</si>
  <si>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</si>
  <si>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</si>
  <si>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</si>
  <si>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</si>
  <si>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</si>
  <si>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</si>
  <si>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</si>
  <si>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</si>
  <si>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</si>
  <si>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</si>
  <si>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</si>
  <si>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</si>
  <si>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</si>
  <si>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</si>
  <si>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</si>
  <si>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</si>
  <si>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</si>
  <si>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</si>
  <si>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</si>
  <si>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</si>
  <si>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</si>
  <si>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</si>
  <si>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</si>
  <si>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</si>
  <si>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</si>
  <si>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ISAN</t>
  </si>
  <si>
    <t>COMP ISAN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</si>
  <si>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</si>
  <si>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</si>
  <si>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</si>
  <si>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</si>
  <si>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</si>
  <si>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</si>
  <si>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</si>
  <si>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</si>
  <si>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</si>
  <si>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</si>
  <si>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</si>
  <si>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</si>
  <si>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</si>
  <si>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</si>
  <si>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</si>
  <si>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</si>
  <si>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</si>
  <si>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</si>
  <si>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</si>
  <si>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</si>
  <si>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</si>
  <si>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</si>
  <si>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</si>
  <si>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</si>
  <si>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</si>
  <si>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</si>
  <si>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</si>
  <si>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</si>
  <si>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</si>
  <si>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Mes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</si>
  <si>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</si>
  <si>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</si>
  <si>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</si>
  <si>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</si>
  <si>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</si>
  <si>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</si>
  <si>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</si>
  <si>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</si>
  <si>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</si>
  <si>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</si>
  <si>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</si>
  <si>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</si>
  <si>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</si>
  <si>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</si>
  <si>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</si>
  <si>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</si>
  <si>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</si>
  <si>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</si>
  <si>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</si>
  <si>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</si>
  <si>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</si>
  <si>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</si>
  <si>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</si>
  <si>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</si>
  <si>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</si>
  <si>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</si>
  <si>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</si>
  <si>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</si>
  <si>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</si>
  <si>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</si>
  <si>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</si>
  <si>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</si>
  <si>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</si>
  <si>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</si>
  <si>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</si>
  <si>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</si>
  <si>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</si>
  <si>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</si>
  <si>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</si>
  <si>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</si>
  <si>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</si>
  <si>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</si>
  <si>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</si>
  <si>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</si>
  <si>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</si>
  <si>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</si>
  <si>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</si>
  <si>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</si>
  <si>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</si>
  <si>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</si>
  <si>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</si>
  <si>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</si>
  <si>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</si>
  <si>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</si>
  <si>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</si>
  <si>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</si>
  <si>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</si>
  <si>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</si>
  <si>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</si>
  <si>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</si>
  <si>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</si>
  <si>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</si>
  <si>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</si>
  <si>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</si>
  <si>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POBLACIÓN 2020</t>
  </si>
  <si>
    <t>(PESOS)</t>
  </si>
  <si>
    <t>POBLACIÓN  2020</t>
  </si>
  <si>
    <t xml:space="preserve">  Población 2020, CENSO POBLACION Y VIVIENDA, INEGI</t>
  </si>
  <si>
    <t>COEFICIENTE CRECIMIENTO RECAUDACION</t>
  </si>
  <si>
    <t>RECAUDACIÓN 2020</t>
  </si>
  <si>
    <t>SUBTOTAL</t>
  </si>
  <si>
    <t>ORGANISMOS</t>
  </si>
  <si>
    <t>CERRALVO</t>
  </si>
  <si>
    <t>PROYECCIÓN DE POBLACIÓN 2021</t>
  </si>
  <si>
    <t>FFM 70%</t>
  </si>
  <si>
    <t>%</t>
  </si>
  <si>
    <t>CÁLCULO DE DISTRIBUCIÓN SEGÚN ART. DECIMO TRANSITORIO DE LA LEY DE EGRESOS DEL ESTADO 2022</t>
  </si>
  <si>
    <t>Cálculo de Distribución 2021 con ajuste anual 2021</t>
  </si>
  <si>
    <t>Cálculo de Distribución 2022</t>
  </si>
  <si>
    <t>PARTICIPACIONES AÑO ANTERIOR
FGP, FFM 70%, FOFIR, IEPS, ISAN, FEXHI</t>
  </si>
  <si>
    <t>PARTICIPACIONES AÑO ACTUAL
FGP, FFM 70%, FOFIR, IEPS, ISAN, FEXHI</t>
  </si>
  <si>
    <t>ANÁHUAC</t>
  </si>
  <si>
    <t>CADEREYTA JIMÉNEZ</t>
  </si>
  <si>
    <t>EL CARMEN</t>
  </si>
  <si>
    <t>CIÉNEGA DE FLORES</t>
  </si>
  <si>
    <t>DOCTOR GONZÁLEZ</t>
  </si>
  <si>
    <t>GARCÍA</t>
  </si>
  <si>
    <t>GENERAL TERÁN</t>
  </si>
  <si>
    <t>JUÁREZ</t>
  </si>
  <si>
    <t>MARÍN</t>
  </si>
  <si>
    <t>PARÁS</t>
  </si>
  <si>
    <t>PESQUERÍA</t>
  </si>
  <si>
    <t>SAN NICOLÁS DE LOS GARZA</t>
  </si>
  <si>
    <t>SAN PEDRO GARZA GARCÍA</t>
  </si>
  <si>
    <t>Participaciones 2022</t>
  </si>
  <si>
    <t>Monto Distribuido 2021</t>
  </si>
  <si>
    <t>Diferencia</t>
  </si>
  <si>
    <t>Impuesto sobre la Renta de Enajenación de Bienes Inmuebles (ISR BI)</t>
  </si>
  <si>
    <t>Fondo de Fomento Municipal (FFM)</t>
  </si>
  <si>
    <t>parte fija 2013</t>
  </si>
  <si>
    <t>SUBSECRETARÍA DE POLITICA DE INGRESOS, COORDINACIÓN DE PLANEACIÓN HACENDARIA</t>
  </si>
  <si>
    <t>PERSONAS EN POBREZA 2015</t>
  </si>
  <si>
    <t>PERSONAS EN POBREZA 2020</t>
  </si>
  <si>
    <t>IP/∑IP</t>
  </si>
  <si>
    <t>EP/∑EP</t>
  </si>
  <si>
    <t>15</t>
  </si>
  <si>
    <t>11</t>
  </si>
  <si>
    <t>12</t>
  </si>
  <si>
    <t>13</t>
  </si>
  <si>
    <t>14</t>
  </si>
  <si>
    <t>17</t>
  </si>
  <si>
    <t>16</t>
  </si>
  <si>
    <t>18</t>
  </si>
  <si>
    <t>19</t>
  </si>
  <si>
    <t>20</t>
  </si>
  <si>
    <t>23</t>
  </si>
  <si>
    <t>21</t>
  </si>
  <si>
    <t>22</t>
  </si>
  <si>
    <t>25</t>
  </si>
  <si>
    <t>27</t>
  </si>
  <si>
    <t>26</t>
  </si>
  <si>
    <t>29</t>
  </si>
  <si>
    <t>30</t>
  </si>
  <si>
    <t>32</t>
  </si>
  <si>
    <t>33</t>
  </si>
  <si>
    <t>34</t>
  </si>
  <si>
    <t>35</t>
  </si>
  <si>
    <t>61</t>
  </si>
  <si>
    <t>36</t>
  </si>
  <si>
    <t>28</t>
  </si>
  <si>
    <t>37</t>
  </si>
  <si>
    <t>39</t>
  </si>
  <si>
    <t>38</t>
  </si>
  <si>
    <t>40</t>
  </si>
  <si>
    <t>41</t>
  </si>
  <si>
    <t>42</t>
  </si>
  <si>
    <t>43</t>
  </si>
  <si>
    <t>44</t>
  </si>
  <si>
    <t>46</t>
  </si>
  <si>
    <t>49</t>
  </si>
  <si>
    <t>48</t>
  </si>
  <si>
    <t>47</t>
  </si>
  <si>
    <t>45</t>
  </si>
  <si>
    <t>70</t>
  </si>
  <si>
    <t>50</t>
  </si>
  <si>
    <t>51</t>
  </si>
  <si>
    <t>52</t>
  </si>
  <si>
    <t>53</t>
  </si>
  <si>
    <t>54</t>
  </si>
  <si>
    <t>55</t>
  </si>
  <si>
    <t>58</t>
  </si>
  <si>
    <t>31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</si>
  <si>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</si>
  <si>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</si>
  <si>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</si>
  <si>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</si>
  <si>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</si>
  <si>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</si>
  <si>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</si>
  <si>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</si>
  <si>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</si>
  <si>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</si>
  <si>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</si>
  <si>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</si>
  <si>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</si>
  <si>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CPP1i</t>
  </si>
  <si>
    <t>ICPi=(PP1i/∑PP1i)</t>
  </si>
  <si>
    <t>IP=(ICPi*CPP!i)</t>
  </si>
  <si>
    <t>(0.85*IP/∑IP)(Monto)</t>
  </si>
  <si>
    <t>EP=PP2i/PP1i</t>
  </si>
  <si>
    <t>(0.15*(EP/∑EP)(Monto)</t>
  </si>
  <si>
    <t>DIPi</t>
  </si>
  <si>
    <t>CDPEi</t>
  </si>
  <si>
    <t>Los sumas totales puden no coincidir debido al redondeo</t>
  </si>
  <si>
    <t>Participaciones</t>
  </si>
  <si>
    <t>FACTURACIÓN  2020
(2016-2020)</t>
  </si>
  <si>
    <t>RECAUDACIÓN 2021</t>
  </si>
  <si>
    <t>FACTURACIÓN 2021
(2011-2021)</t>
  </si>
  <si>
    <t>ISAI 2021</t>
  </si>
  <si>
    <t>Total de Distrbución Marzo 2022</t>
  </si>
  <si>
    <t>PROPORCION</t>
  </si>
  <si>
    <t>* EL COEFICIENTE DE PARTICIPACION DE LA REGLA I CORRESPONDE Al MES INMEDIATO ANTERIOR</t>
  </si>
  <si>
    <t>RETENCION FEIEF FGP</t>
  </si>
  <si>
    <t>Retención FEIEF</t>
  </si>
  <si>
    <t>CARENCIAS PROMEDIO EN SITUACION DE POBREZA 2020</t>
  </si>
  <si>
    <t>INCIDENCIA DE LA POBREZA 2020</t>
  </si>
  <si>
    <t>COEFICIENTE DE DISTRIBUCIÓN  30% FFM Art 14 Frac III MES DE JULIO</t>
  </si>
  <si>
    <t>CÁLCULO DE DISTRIBUCIÓN DE PARTICIPACIONES 1ER SEMESTRE 2022 VARIABLES ACTUALIZADAS</t>
  </si>
  <si>
    <t>DISTRIBUCIÓN DE PARTICIPACIONES 1ER SEMESTRE 2022</t>
  </si>
  <si>
    <t>DIFERENCIA 1ER SEMESTRE DE DISTRIBUCIÓN DE PARTICIPACIONES Vs CALCULO DE PARTICIPACIONES VARIABLES ACTUALIZADAS</t>
  </si>
  <si>
    <t>Nombre del Municipio</t>
  </si>
  <si>
    <t>Fondo General de Participaciones</t>
  </si>
  <si>
    <t>Fondo de Fomento Municipal
70%</t>
  </si>
  <si>
    <t>Fondo de Fomento Municipal
30%</t>
  </si>
  <si>
    <t>Impuesto Especial Sobre Producción y Servicios</t>
  </si>
  <si>
    <t>Fondo de Fiscalización y Recaudación</t>
  </si>
  <si>
    <t>Impuesto Sobre Adquisición de Vehículos Nuevos</t>
  </si>
  <si>
    <t>Fondo Compensación ISAN</t>
  </si>
  <si>
    <t>IEPS GYD</t>
  </si>
  <si>
    <t>ISR BI</t>
  </si>
  <si>
    <t>Total</t>
  </si>
  <si>
    <t>Fondo de Fiscalización</t>
  </si>
  <si>
    <t>Impuesto Sobre la Venta Final de Gasolinas y Diesel</t>
  </si>
  <si>
    <t>Impuesto sobre la Renta Enajenación de Inmuebles</t>
  </si>
  <si>
    <t>Las sumas puede no coincidr por el cuestiones de redondeo</t>
  </si>
  <si>
    <t>CÁLCULO DE DISTRIBUCIÓN DE PARTICIPACIONES AGOSTO 2022</t>
  </si>
  <si>
    <t>Participaciones Agosto 2022</t>
  </si>
  <si>
    <t>CÁLCULO  DE PARTICIPACIONES DE ISR MES DE AGOSTO 2022</t>
  </si>
  <si>
    <t>CORRESPONDIENTE AL PERIODO AGOSTO</t>
  </si>
  <si>
    <t>DISTRIBUCIÓN AGOSTO</t>
  </si>
  <si>
    <t>DEVOLUCIONES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</si>
</sst>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6" formatCode="&quot;$&quot;#,##0;[Red]\-&quot;$&quot;#,##0"/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#,##0\ &quot;$&quot;;[Red]\-#,##0\ &quot;$&quot;"/>
    <numFmt numFmtId="169" formatCode="&quot;$&quot;\ #,##0.00"/>
    <numFmt numFmtId="170" formatCode="\U\ #,##0.00"/>
    <numFmt numFmtId="171" formatCode="_(* #,##0.000000_);_(* \(#,##0.000000\);_(* &quot;-&quot;??_);_(@_)"/>
    <numFmt numFmtId="172" formatCode="0.000000"/>
    <numFmt numFmtId="173" formatCode="0.00000000"/>
    <numFmt numFmtId="174" formatCode="General_)"/>
    <numFmt numFmtId="175" formatCode="_-[$€-2]* #,##0.00_-;\-[$€-2]* #,##0.00_-;_-[$€-2]* &quot;-&quot;??_-"/>
    <numFmt numFmtId="176" formatCode="_-* #,##0_-;\-* #,##0_-;_-* &quot;-&quot;??_-;_-@_-"/>
    <numFmt numFmtId="177" formatCode="_-* #,##0.0000_-;\-* #,##0.0000_-;_-* &quot;-&quot;????_-;_-@_-"/>
    <numFmt numFmtId="178" formatCode="_-* #,##0.0000_-;\-* #,##0.0000_-;_-* &quot;-&quot;_-;_-@_-"/>
    <numFmt numFmtId="179" formatCode="_-* #,##0.0000_-;\-* #,##0.0000_-;_-* &quot;-&quot;??_-;_-@_-"/>
    <numFmt numFmtId="180" formatCode="_-* #,##0.00000_-;\-* #,##0.00000_-;_-* &quot;-&quot;??_-;_-@_-"/>
    <numFmt numFmtId="181" formatCode="#,##0.00_ ;[Red]\-#,##0.00\ "/>
    <numFmt numFmtId="182" formatCode="#,##0_ ;[Red]\-#,##0\ "/>
    <numFmt numFmtId="183" formatCode="#,##0.0000;[Red]\-#,##0.0000"/>
    <numFmt numFmtId="184" formatCode="_-* #,##0.000000_-;\-* #,##0.000000_-;_-* &quot;-&quot;????_-;_-@_-"/>
    <numFmt numFmtId="185" formatCode="#,##0.0000000_ ;[Red]\-#,##0.0000000\ "/>
    <numFmt numFmtId="186" formatCode="#,##0;[Red]\-#,##0;_-* &quot;-&quot;_-;_-@_-"/>
    <numFmt numFmtId="187" formatCode="0.00000000%"/>
    <numFmt numFmtId="188" formatCode="0.0000%"/>
    <numFmt numFmtId="189" formatCode="#,##0.00000000000;\-#,##0.00000000000"/>
    <numFmt numFmtId="190" formatCode="#,##0.0000;\-#,##0.0000"/>
    <numFmt numFmtId="191" formatCode="0.00000000000"/>
    <numFmt numFmtId="192" formatCode="0.000000000"/>
    <numFmt numFmtId="193" formatCode="_-* #,##0.000000_-;\-* #,##0.000000_-;_-* &quot;-&quot;??_-;_-@_-"/>
    <numFmt numFmtId="194" formatCode="0.0000000"/>
    <numFmt numFmtId="195" formatCode="#,##0.000000;\-#,##0.000000"/>
    <numFmt numFmtId="196" formatCode="_-* #,##0.000000_-;\-* #,##0.000000_-;_-* &quot;-&quot;_-;_-@_-"/>
    <numFmt numFmtId="197" formatCode="#,##0.000000;[Red]\-#,##0.000000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indexed="62"/>
      <name val="Arial"/>
      <family val="2"/>
    </font>
    <font>
      <vertAlign val="subscript"/>
      <sz val="8"/>
      <color rgb="FFFF000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8"/>
      <name val="Arial"/>
      <family val="2"/>
    </font>
    <font>
      <b/>
      <sz val="9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FF"/>
        <bgColor indexed="64"/>
      </patternFill>
    </fill>
  </fills>
  <borders count="9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/>
      <top style="double">
        <color auto="1"/>
      </top>
      <bottom style="medium">
        <color indexed="64"/>
      </bottom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medium">
        <color auto="1"/>
      </right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medium">
        <color indexed="64"/>
      </bottom>
      <diagonal/>
    </border>
  </borders>
  <cellStyleXfs count="12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68" fontId="10" fillId="0" borderId="0" applyFont="0" applyFill="0" applyBorder="0" applyAlignment="0" applyProtection="0"/>
    <xf numFmtId="0" fontId="23" fillId="3" borderId="0" applyNumberFormat="0" applyBorder="0" applyAlignment="0" applyProtection="0"/>
    <xf numFmtId="164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32" fillId="0" borderId="0"/>
    <xf numFmtId="0" fontId="12" fillId="0" borderId="0"/>
    <xf numFmtId="37" fontId="11" fillId="0" borderId="0"/>
    <xf numFmtId="0" fontId="15" fillId="23" borderId="4" applyNumberFormat="0" applyFont="0" applyAlignment="0" applyProtection="0"/>
    <xf numFmtId="169" fontId="12" fillId="0" borderId="0" applyFont="0" applyFill="0" applyBorder="0" applyAlignment="0" applyProtection="0">
      <alignment horizontal="right"/>
    </xf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170" fontId="13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4" fontId="1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75" fontId="10" fillId="0" borderId="0" applyFont="0" applyFill="0" applyBorder="0" applyAlignment="0" applyProtection="0"/>
    <xf numFmtId="0" fontId="23" fillId="3" borderId="0" applyNumberFormat="0" applyBorder="0" applyAlignment="0" applyProtection="0"/>
    <xf numFmtId="41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10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9" fillId="0" borderId="0"/>
    <xf numFmtId="43" fontId="10" fillId="0" borderId="0" applyFont="0" applyFill="0" applyBorder="0" applyAlignment="0" applyProtection="0"/>
    <xf numFmtId="0" fontId="44" fillId="0" borderId="0"/>
    <xf numFmtId="0" fontId="8" fillId="0" borderId="0"/>
    <xf numFmtId="43" fontId="45" fillId="0" borderId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  <xf numFmtId="0" fontId="48" fillId="2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169" fontId="10" fillId="0" borderId="0" applyFont="0" applyFill="0" applyBorder="0" applyAlignment="0" applyProtection="0">
      <alignment horizontal="right"/>
    </xf>
    <xf numFmtId="0" fontId="4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0" fontId="69" fillId="0" borderId="0"/>
    <xf numFmtId="0" fontId="1" fillId="28" borderId="0" applyNumberFormat="0" applyBorder="0" applyAlignment="0" applyProtection="0"/>
    <xf numFmtId="0" fontId="1" fillId="0" borderId="0"/>
    <xf numFmtId="0" fontId="70" fillId="29" borderId="0" applyNumberFormat="0" applyBorder="0" applyAlignment="0" applyProtection="0"/>
  </cellStyleXfs>
  <cellXfs count="471">
    <xf numFmtId="0" fontId="0" fillId="0" borderId="0" xfId="0"/>
    <xf numFmtId="37" fontId="10" fillId="0" borderId="0" xfId="37" applyFont="1" applyFill="1" applyProtection="1">
      <protection hidden="1"/>
    </xf>
    <xf numFmtId="37" fontId="10" fillId="0" borderId="0" xfId="37" applyFont="1" applyProtection="1">
      <protection hidden="1"/>
    </xf>
    <xf numFmtId="37" fontId="34" fillId="0" borderId="0" xfId="37" applyFont="1" applyProtection="1">
      <protection hidden="1"/>
    </xf>
    <xf numFmtId="37" fontId="39" fillId="0" borderId="0" xfId="37" applyFont="1" applyProtection="1">
      <protection hidden="1"/>
    </xf>
    <xf numFmtId="172" fontId="10" fillId="0" borderId="0" xfId="37" applyNumberFormat="1" applyFont="1" applyProtection="1">
      <protection hidden="1"/>
    </xf>
    <xf numFmtId="173" fontId="10" fillId="0" borderId="0" xfId="37" applyNumberFormat="1" applyFont="1" applyProtection="1">
      <protection hidden="1"/>
    </xf>
    <xf numFmtId="37" fontId="43" fillId="0" borderId="0" xfId="37" applyFont="1" applyAlignment="1" applyProtection="1">
      <alignment horizontal="center"/>
      <protection hidden="1"/>
    </xf>
    <xf numFmtId="37" fontId="10" fillId="0" borderId="0" xfId="37" applyFont="1" applyAlignment="1" applyProtection="1">
      <alignment wrapText="1"/>
      <protection hidden="1"/>
    </xf>
    <xf numFmtId="37" fontId="43" fillId="0" borderId="0" xfId="37" applyFont="1" applyAlignment="1" applyProtection="1">
      <protection hidden="1"/>
    </xf>
    <xf numFmtId="0" fontId="0" fillId="0" borderId="26" xfId="0" applyBorder="1" applyAlignment="1"/>
    <xf numFmtId="0" fontId="10" fillId="0" borderId="0" xfId="53"/>
    <xf numFmtId="0" fontId="10" fillId="0" borderId="0" xfId="53" applyFont="1" applyBorder="1" applyAlignment="1">
      <alignment vertical="center"/>
    </xf>
    <xf numFmtId="3" fontId="10" fillId="0" borderId="0" xfId="53" applyNumberFormat="1" applyBorder="1" applyAlignment="1">
      <alignment horizontal="center" vertical="center"/>
    </xf>
    <xf numFmtId="0" fontId="10" fillId="0" borderId="0" xfId="53" applyBorder="1" applyAlignment="1">
      <alignment horizontal="center" vertical="center"/>
    </xf>
    <xf numFmtId="0" fontId="10" fillId="0" borderId="0" xfId="53" applyFont="1"/>
    <xf numFmtId="176" fontId="0" fillId="0" borderId="0" xfId="51" applyNumberFormat="1" applyFont="1"/>
    <xf numFmtId="176" fontId="10" fillId="0" borderId="0" xfId="51" applyNumberFormat="1" applyFont="1"/>
    <xf numFmtId="0" fontId="10" fillId="24" borderId="0" xfId="106" applyFill="1"/>
    <xf numFmtId="176" fontId="0" fillId="24" borderId="0" xfId="51" applyNumberFormat="1" applyFont="1" applyFill="1"/>
    <xf numFmtId="177" fontId="10" fillId="24" borderId="34" xfId="106" applyNumberFormat="1" applyFill="1" applyBorder="1"/>
    <xf numFmtId="176" fontId="0" fillId="24" borderId="37" xfId="51" applyNumberFormat="1" applyFont="1" applyFill="1" applyBorder="1"/>
    <xf numFmtId="176" fontId="0" fillId="24" borderId="0" xfId="51" applyNumberFormat="1" applyFont="1" applyFill="1" applyBorder="1"/>
    <xf numFmtId="176" fontId="0" fillId="24" borderId="38" xfId="51" applyNumberFormat="1" applyFont="1" applyFill="1" applyBorder="1"/>
    <xf numFmtId="0" fontId="14" fillId="24" borderId="33" xfId="106" applyFont="1" applyFill="1" applyBorder="1"/>
    <xf numFmtId="178" fontId="10" fillId="24" borderId="36" xfId="106" applyNumberFormat="1" applyFill="1" applyBorder="1"/>
    <xf numFmtId="179" fontId="0" fillId="24" borderId="0" xfId="51" applyNumberFormat="1" applyFont="1" applyFill="1" applyBorder="1"/>
    <xf numFmtId="179" fontId="0" fillId="24" borderId="37" xfId="51" applyNumberFormat="1" applyFont="1" applyFill="1" applyBorder="1"/>
    <xf numFmtId="177" fontId="10" fillId="24" borderId="39" xfId="106" applyNumberFormat="1" applyFill="1" applyBorder="1"/>
    <xf numFmtId="41" fontId="0" fillId="24" borderId="40" xfId="51" applyNumberFormat="1" applyFont="1" applyFill="1" applyBorder="1"/>
    <xf numFmtId="176" fontId="0" fillId="24" borderId="41" xfId="51" applyNumberFormat="1" applyFont="1" applyFill="1" applyBorder="1"/>
    <xf numFmtId="176" fontId="0" fillId="24" borderId="42" xfId="51" applyNumberFormat="1" applyFont="1" applyFill="1" applyBorder="1"/>
    <xf numFmtId="176" fontId="0" fillId="24" borderId="43" xfId="51" applyNumberFormat="1" applyFont="1" applyFill="1" applyBorder="1"/>
    <xf numFmtId="0" fontId="14" fillId="24" borderId="44" xfId="106" applyFont="1" applyFill="1" applyBorder="1"/>
    <xf numFmtId="178" fontId="10" fillId="24" borderId="40" xfId="106" applyNumberFormat="1" applyFill="1" applyBorder="1"/>
    <xf numFmtId="179" fontId="0" fillId="24" borderId="42" xfId="51" applyNumberFormat="1" applyFont="1" applyFill="1" applyBorder="1"/>
    <xf numFmtId="179" fontId="0" fillId="24" borderId="41" xfId="51" applyNumberFormat="1" applyFont="1" applyFill="1" applyBorder="1"/>
    <xf numFmtId="0" fontId="46" fillId="24" borderId="0" xfId="106" applyFont="1" applyFill="1"/>
    <xf numFmtId="0" fontId="14" fillId="24" borderId="0" xfId="106" applyFont="1" applyFill="1"/>
    <xf numFmtId="0" fontId="14" fillId="0" borderId="0" xfId="106" applyFont="1"/>
    <xf numFmtId="176" fontId="46" fillId="24" borderId="0" xfId="51" applyNumberFormat="1" applyFont="1" applyFill="1" applyAlignment="1">
      <alignment horizontal="center" vertical="center"/>
    </xf>
    <xf numFmtId="0" fontId="34" fillId="24" borderId="0" xfId="106" applyFont="1" applyFill="1" applyAlignment="1">
      <alignment horizontal="center" vertical="center" wrapText="1"/>
    </xf>
    <xf numFmtId="0" fontId="14" fillId="24" borderId="32" xfId="106" applyFont="1" applyFill="1" applyBorder="1" applyAlignment="1">
      <alignment horizontal="center" vertical="center" wrapText="1"/>
    </xf>
    <xf numFmtId="0" fontId="14" fillId="24" borderId="45" xfId="106" applyFont="1" applyFill="1" applyBorder="1" applyAlignment="1">
      <alignment horizontal="center" vertical="center" wrapText="1"/>
    </xf>
    <xf numFmtId="0" fontId="14" fillId="24" borderId="46" xfId="106" applyFont="1" applyFill="1" applyBorder="1" applyAlignment="1">
      <alignment horizontal="center" vertical="center" wrapText="1"/>
    </xf>
    <xf numFmtId="0" fontId="14" fillId="24" borderId="31" xfId="106" applyFont="1" applyFill="1" applyBorder="1" applyAlignment="1">
      <alignment horizontal="center" vertical="center" wrapText="1"/>
    </xf>
    <xf numFmtId="0" fontId="14" fillId="24" borderId="47" xfId="106" applyFont="1" applyFill="1" applyBorder="1" applyAlignment="1">
      <alignment horizontal="center" vertical="center" wrapText="1"/>
    </xf>
    <xf numFmtId="0" fontId="14" fillId="24" borderId="30" xfId="106" applyFont="1" applyFill="1" applyBorder="1" applyAlignment="1">
      <alignment horizontal="center" vertical="center"/>
    </xf>
    <xf numFmtId="0" fontId="14" fillId="24" borderId="0" xfId="106" applyFont="1" applyFill="1" applyAlignment="1"/>
    <xf numFmtId="0" fontId="14" fillId="24" borderId="0" xfId="106" applyFont="1" applyFill="1" applyAlignment="1">
      <alignment horizontal="center" vertical="center" wrapText="1"/>
    </xf>
    <xf numFmtId="43" fontId="14" fillId="0" borderId="0" xfId="51" applyNumberFormat="1" applyFont="1" applyFill="1" applyBorder="1"/>
    <xf numFmtId="43" fontId="10" fillId="0" borderId="0" xfId="53" applyNumberFormat="1" applyFont="1"/>
    <xf numFmtId="43" fontId="0" fillId="0" borderId="0" xfId="51" applyNumberFormat="1" applyFont="1"/>
    <xf numFmtId="0" fontId="33" fillId="0" borderId="0" xfId="109" applyFont="1"/>
    <xf numFmtId="43" fontId="33" fillId="0" borderId="0" xfId="110" applyFon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10" fillId="24" borderId="11" xfId="37" applyFont="1" applyFill="1" applyBorder="1" applyAlignment="1" applyProtection="1">
      <alignment horizontal="left"/>
      <protection hidden="1"/>
    </xf>
    <xf numFmtId="37" fontId="10" fillId="24" borderId="12" xfId="37" applyFont="1" applyFill="1" applyBorder="1" applyAlignment="1" applyProtection="1">
      <alignment horizontal="left"/>
      <protection hidden="1"/>
    </xf>
    <xf numFmtId="37" fontId="10" fillId="24" borderId="0" xfId="37" applyFont="1" applyFill="1" applyProtection="1">
      <protection hidden="1"/>
    </xf>
    <xf numFmtId="37" fontId="14" fillId="24" borderId="13" xfId="37" applyFont="1" applyFill="1" applyBorder="1" applyAlignment="1" applyProtection="1">
      <alignment horizontal="left"/>
      <protection hidden="1"/>
    </xf>
    <xf numFmtId="37" fontId="10" fillId="24" borderId="0" xfId="37" applyFont="1" applyFill="1" applyBorder="1" applyProtection="1">
      <protection hidden="1"/>
    </xf>
    <xf numFmtId="173" fontId="10" fillId="24" borderId="0" xfId="37" applyNumberFormat="1" applyFont="1" applyFill="1" applyProtection="1">
      <protection hidden="1"/>
    </xf>
    <xf numFmtId="37" fontId="14" fillId="24" borderId="1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37" fontId="39" fillId="24" borderId="0" xfId="37" applyFont="1" applyFill="1" applyBorder="1" applyAlignment="1" applyProtection="1">
      <alignment horizontal="center" vertical="center" wrapText="1"/>
      <protection hidden="1"/>
    </xf>
    <xf numFmtId="37" fontId="39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37" fontId="10" fillId="24" borderId="11" xfId="37" applyFont="1" applyFill="1" applyBorder="1" applyProtection="1">
      <protection hidden="1"/>
    </xf>
    <xf numFmtId="37" fontId="10" fillId="24" borderId="12" xfId="37" applyFont="1" applyFill="1" applyBorder="1" applyProtection="1">
      <protection hidden="1"/>
    </xf>
    <xf numFmtId="37" fontId="10" fillId="24" borderId="21" xfId="37" applyFont="1" applyFill="1" applyBorder="1" applyProtection="1">
      <protection hidden="1"/>
    </xf>
    <xf numFmtId="37" fontId="14" fillId="24" borderId="13" xfId="37" applyFont="1" applyFill="1" applyBorder="1" applyProtection="1">
      <protection hidden="1"/>
    </xf>
    <xf numFmtId="37" fontId="14" fillId="24" borderId="14" xfId="37" applyFont="1" applyFill="1" applyBorder="1" applyProtection="1">
      <protection hidden="1"/>
    </xf>
    <xf numFmtId="0" fontId="10" fillId="24" borderId="0" xfId="106" applyFill="1" applyBorder="1"/>
    <xf numFmtId="0" fontId="14" fillId="24" borderId="0" xfId="106" applyFont="1" applyFill="1" applyBorder="1"/>
    <xf numFmtId="0" fontId="14" fillId="24" borderId="0" xfId="106" applyFont="1" applyFill="1" applyBorder="1" applyAlignment="1">
      <alignment horizontal="center" vertical="center" wrapText="1"/>
    </xf>
    <xf numFmtId="0" fontId="34" fillId="24" borderId="0" xfId="106" applyFont="1" applyFill="1" applyBorder="1" applyAlignment="1">
      <alignment horizontal="center" vertical="center" wrapText="1"/>
    </xf>
    <xf numFmtId="176" fontId="46" fillId="24" borderId="0" xfId="51" applyNumberFormat="1" applyFont="1" applyFill="1" applyBorder="1" applyAlignment="1">
      <alignment horizontal="center" vertical="center"/>
    </xf>
    <xf numFmtId="38" fontId="10" fillId="24" borderId="0" xfId="106" applyNumberFormat="1" applyFill="1" applyBorder="1"/>
    <xf numFmtId="38" fontId="14" fillId="24" borderId="0" xfId="106" applyNumberFormat="1" applyFont="1" applyFill="1" applyBorder="1"/>
    <xf numFmtId="38" fontId="14" fillId="24" borderId="0" xfId="51" applyNumberFormat="1" applyFont="1" applyFill="1" applyBorder="1"/>
    <xf numFmtId="181" fontId="0" fillId="24" borderId="0" xfId="51" applyNumberFormat="1" applyFont="1" applyFill="1" applyBorder="1"/>
    <xf numFmtId="176" fontId="0" fillId="24" borderId="0" xfId="102" applyNumberFormat="1" applyFont="1" applyFill="1"/>
    <xf numFmtId="176" fontId="0" fillId="0" borderId="0" xfId="102" applyNumberFormat="1" applyFont="1"/>
    <xf numFmtId="176" fontId="50" fillId="24" borderId="47" xfId="102" applyNumberFormat="1" applyFont="1" applyFill="1" applyBorder="1" applyAlignment="1">
      <alignment horizontal="center" vertical="center" wrapText="1"/>
    </xf>
    <xf numFmtId="176" fontId="50" fillId="24" borderId="46" xfId="102" applyNumberFormat="1" applyFont="1" applyFill="1" applyBorder="1" applyAlignment="1">
      <alignment horizontal="center" vertical="center" wrapText="1"/>
    </xf>
    <xf numFmtId="38" fontId="50" fillId="24" borderId="57" xfId="102" applyNumberFormat="1" applyFont="1" applyFill="1" applyBorder="1"/>
    <xf numFmtId="176" fontId="50" fillId="24" borderId="47" xfId="102" applyNumberFormat="1" applyFont="1" applyFill="1" applyBorder="1"/>
    <xf numFmtId="38" fontId="53" fillId="24" borderId="46" xfId="102" applyNumberFormat="1" applyFont="1" applyFill="1" applyBorder="1"/>
    <xf numFmtId="176" fontId="50" fillId="24" borderId="0" xfId="102" applyNumberFormat="1" applyFont="1" applyFill="1" applyBorder="1"/>
    <xf numFmtId="14" fontId="54" fillId="24" borderId="0" xfId="102" applyNumberFormat="1" applyFont="1" applyFill="1" applyAlignment="1">
      <alignment horizontal="left"/>
    </xf>
    <xf numFmtId="176" fontId="54" fillId="24" borderId="0" xfId="102" applyNumberFormat="1" applyFont="1" applyFill="1"/>
    <xf numFmtId="176" fontId="52" fillId="24" borderId="0" xfId="102" applyNumberFormat="1" applyFont="1" applyFill="1"/>
    <xf numFmtId="37" fontId="10" fillId="24" borderId="0" xfId="37" applyFont="1" applyFill="1" applyAlignment="1" applyProtection="1">
      <alignment wrapText="1"/>
      <protection hidden="1"/>
    </xf>
    <xf numFmtId="173" fontId="42" fillId="24" borderId="0" xfId="37" applyNumberFormat="1" applyFont="1" applyFill="1" applyAlignment="1" applyProtection="1">
      <alignment horizontal="center" vertical="center"/>
      <protection hidden="1"/>
    </xf>
    <xf numFmtId="39" fontId="14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4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6" fillId="24" borderId="0" xfId="37" applyFont="1" applyFill="1" applyBorder="1" applyAlignment="1" applyProtection="1">
      <alignment horizontal="center" vertical="center" wrapText="1"/>
      <protection hidden="1"/>
    </xf>
    <xf numFmtId="39" fontId="34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112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Protection="1">
      <protection hidden="1"/>
    </xf>
    <xf numFmtId="173" fontId="39" fillId="24" borderId="0" xfId="37" applyNumberFormat="1" applyFont="1" applyFill="1" applyProtection="1">
      <protection hidden="1"/>
    </xf>
    <xf numFmtId="39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Alignment="1" applyProtection="1">
      <alignment horizontal="center" vertical="center" wrapText="1"/>
      <protection hidden="1"/>
    </xf>
    <xf numFmtId="37" fontId="10" fillId="24" borderId="11" xfId="37" applyNumberFormat="1" applyFont="1" applyFill="1" applyBorder="1" applyProtection="1">
      <protection hidden="1"/>
    </xf>
    <xf numFmtId="37" fontId="10" fillId="24" borderId="69" xfId="37" applyFont="1" applyFill="1" applyBorder="1" applyProtection="1">
      <protection hidden="1"/>
    </xf>
    <xf numFmtId="37" fontId="10" fillId="24" borderId="12" xfId="37" applyNumberFormat="1" applyFont="1" applyFill="1" applyBorder="1" applyProtection="1">
      <protection hidden="1"/>
    </xf>
    <xf numFmtId="37" fontId="14" fillId="24" borderId="13" xfId="37" applyNumberFormat="1" applyFont="1" applyFill="1" applyBorder="1" applyProtection="1">
      <protection hidden="1"/>
    </xf>
    <xf numFmtId="37" fontId="14" fillId="24" borderId="25" xfId="37" applyFont="1" applyFill="1" applyBorder="1" applyAlignment="1" applyProtection="1">
      <alignment horizontal="center" vertical="center" wrapText="1"/>
      <protection hidden="1"/>
    </xf>
    <xf numFmtId="37" fontId="14" fillId="24" borderId="0" xfId="37" applyFont="1" applyFill="1" applyBorder="1" applyAlignment="1" applyProtection="1">
      <alignment horizontal="center" vertical="center" wrapText="1"/>
      <protection hidden="1"/>
    </xf>
    <xf numFmtId="0" fontId="53" fillId="26" borderId="49" xfId="109" applyFont="1" applyFill="1" applyBorder="1"/>
    <xf numFmtId="43" fontId="53" fillId="26" borderId="49" xfId="110" applyFont="1" applyFill="1" applyBorder="1" applyAlignment="1">
      <alignment horizontal="center" vertical="center"/>
    </xf>
    <xf numFmtId="0" fontId="53" fillId="26" borderId="49" xfId="109" applyFont="1" applyFill="1" applyBorder="1" applyAlignment="1">
      <alignment horizontal="center"/>
    </xf>
    <xf numFmtId="0" fontId="54" fillId="0" borderId="65" xfId="109" applyFont="1" applyBorder="1"/>
    <xf numFmtId="43" fontId="54" fillId="0" borderId="61" xfId="110" applyFont="1" applyBorder="1" applyAlignment="1">
      <alignment horizontal="center"/>
    </xf>
    <xf numFmtId="180" fontId="54" fillId="0" borderId="51" xfId="109" applyNumberFormat="1" applyFont="1" applyBorder="1" applyAlignment="1">
      <alignment horizontal="center"/>
    </xf>
    <xf numFmtId="3" fontId="54" fillId="0" borderId="56" xfId="109" applyNumberFormat="1" applyFont="1" applyBorder="1" applyAlignment="1"/>
    <xf numFmtId="0" fontId="54" fillId="0" borderId="66" xfId="109" applyFont="1" applyBorder="1"/>
    <xf numFmtId="43" fontId="54" fillId="0" borderId="62" xfId="110" applyFont="1" applyBorder="1"/>
    <xf numFmtId="180" fontId="54" fillId="0" borderId="50" xfId="109" applyNumberFormat="1" applyFont="1" applyBorder="1" applyAlignment="1">
      <alignment horizontal="center"/>
    </xf>
    <xf numFmtId="3" fontId="54" fillId="0" borderId="57" xfId="109" applyNumberFormat="1" applyFont="1" applyBorder="1"/>
    <xf numFmtId="0" fontId="54" fillId="0" borderId="66" xfId="109" applyFont="1" applyFill="1" applyBorder="1"/>
    <xf numFmtId="43" fontId="54" fillId="0" borderId="62" xfId="110" applyFont="1" applyFill="1" applyBorder="1" applyAlignment="1" applyProtection="1"/>
    <xf numFmtId="43" fontId="57" fillId="0" borderId="62" xfId="110" applyFont="1" applyBorder="1" applyAlignment="1">
      <alignment vertical="center"/>
    </xf>
    <xf numFmtId="0" fontId="54" fillId="24" borderId="66" xfId="109" applyFont="1" applyFill="1" applyBorder="1"/>
    <xf numFmtId="43" fontId="54" fillId="24" borderId="62" xfId="110" applyFont="1" applyFill="1" applyBorder="1"/>
    <xf numFmtId="43" fontId="49" fillId="0" borderId="62" xfId="110" applyFont="1" applyBorder="1"/>
    <xf numFmtId="0" fontId="51" fillId="0" borderId="66" xfId="109" applyFont="1" applyFill="1" applyBorder="1"/>
    <xf numFmtId="0" fontId="54" fillId="0" borderId="67" xfId="109" applyFont="1" applyBorder="1"/>
    <xf numFmtId="43" fontId="54" fillId="0" borderId="63" xfId="110" applyFont="1" applyBorder="1"/>
    <xf numFmtId="3" fontId="54" fillId="0" borderId="58" xfId="109" applyNumberFormat="1" applyFont="1" applyBorder="1"/>
    <xf numFmtId="0" fontId="53" fillId="27" borderId="60" xfId="109" applyFont="1" applyFill="1" applyBorder="1"/>
    <xf numFmtId="180" fontId="53" fillId="27" borderId="55" xfId="109" applyNumberFormat="1" applyFont="1" applyFill="1" applyBorder="1"/>
    <xf numFmtId="3" fontId="53" fillId="27" borderId="59" xfId="109" applyNumberFormat="1" applyFont="1" applyFill="1" applyBorder="1"/>
    <xf numFmtId="0" fontId="54" fillId="0" borderId="0" xfId="109" applyFont="1"/>
    <xf numFmtId="43" fontId="54" fillId="0" borderId="0" xfId="110" applyFont="1"/>
    <xf numFmtId="0" fontId="53" fillId="27" borderId="27" xfId="109" applyFont="1" applyFill="1" applyBorder="1"/>
    <xf numFmtId="43" fontId="53" fillId="0" borderId="29" xfId="110" applyFont="1" applyBorder="1"/>
    <xf numFmtId="0" fontId="53" fillId="27" borderId="54" xfId="109" applyFont="1" applyFill="1" applyBorder="1"/>
    <xf numFmtId="43" fontId="53" fillId="0" borderId="54" xfId="110" applyFont="1" applyBorder="1"/>
    <xf numFmtId="44" fontId="54" fillId="24" borderId="0" xfId="114" applyFont="1" applyFill="1" applyAlignment="1">
      <alignment horizontal="left"/>
    </xf>
    <xf numFmtId="176" fontId="14" fillId="0" borderId="72" xfId="51" applyNumberFormat="1" applyFont="1" applyFill="1" applyBorder="1"/>
    <xf numFmtId="176" fontId="14" fillId="0" borderId="73" xfId="51" applyNumberFormat="1" applyFont="1" applyFill="1" applyBorder="1"/>
    <xf numFmtId="38" fontId="14" fillId="0" borderId="73" xfId="51" applyNumberFormat="1" applyFont="1" applyFill="1" applyBorder="1"/>
    <xf numFmtId="176" fontId="14" fillId="0" borderId="74" xfId="51" applyNumberFormat="1" applyFont="1" applyFill="1" applyBorder="1"/>
    <xf numFmtId="176" fontId="14" fillId="0" borderId="27" xfId="51" applyNumberFormat="1" applyFont="1" applyFill="1" applyBorder="1"/>
    <xf numFmtId="176" fontId="14" fillId="0" borderId="75" xfId="51" applyNumberFormat="1" applyFont="1" applyFill="1" applyBorder="1"/>
    <xf numFmtId="176" fontId="14" fillId="0" borderId="28" xfId="51" applyNumberFormat="1" applyFont="1" applyFill="1" applyBorder="1"/>
    <xf numFmtId="38" fontId="0" fillId="24" borderId="42" xfId="51" applyNumberFormat="1" applyFont="1" applyFill="1" applyBorder="1"/>
    <xf numFmtId="183" fontId="10" fillId="24" borderId="42" xfId="106" applyNumberFormat="1" applyFill="1" applyBorder="1"/>
    <xf numFmtId="183" fontId="10" fillId="24" borderId="0" xfId="106" applyNumberFormat="1" applyFill="1" applyBorder="1"/>
    <xf numFmtId="41" fontId="0" fillId="24" borderId="36" xfId="51" applyNumberFormat="1" applyFont="1" applyFill="1" applyBorder="1"/>
    <xf numFmtId="172" fontId="10" fillId="24" borderId="20" xfId="40" applyNumberFormat="1" applyFont="1" applyFill="1" applyBorder="1" applyProtection="1">
      <protection hidden="1"/>
    </xf>
    <xf numFmtId="172" fontId="10" fillId="24" borderId="19" xfId="40" applyNumberFormat="1" applyFont="1" applyFill="1" applyBorder="1" applyProtection="1">
      <protection hidden="1"/>
    </xf>
    <xf numFmtId="172" fontId="14" fillId="24" borderId="15" xfId="40" applyNumberFormat="1" applyFont="1" applyFill="1" applyBorder="1" applyProtection="1">
      <protection hidden="1"/>
    </xf>
    <xf numFmtId="172" fontId="10" fillId="24" borderId="16" xfId="33" applyNumberFormat="1" applyFont="1" applyFill="1" applyBorder="1" applyProtection="1">
      <protection hidden="1"/>
    </xf>
    <xf numFmtId="172" fontId="10" fillId="24" borderId="17" xfId="33" applyNumberFormat="1" applyFont="1" applyFill="1" applyBorder="1" applyProtection="1">
      <protection hidden="1"/>
    </xf>
    <xf numFmtId="172" fontId="14" fillId="24" borderId="18" xfId="40" applyNumberFormat="1" applyFont="1" applyFill="1" applyBorder="1" applyProtection="1">
      <protection hidden="1"/>
    </xf>
    <xf numFmtId="172" fontId="14" fillId="24" borderId="15" xfId="37" applyNumberFormat="1" applyFont="1" applyFill="1" applyBorder="1" applyProtection="1">
      <protection hidden="1"/>
    </xf>
    <xf numFmtId="176" fontId="50" fillId="24" borderId="45" xfId="102" applyNumberFormat="1" applyFont="1" applyFill="1" applyBorder="1" applyAlignment="1">
      <alignment horizontal="center" vertical="center" wrapText="1"/>
    </xf>
    <xf numFmtId="0" fontId="14" fillId="24" borderId="0" xfId="106" applyFont="1" applyFill="1" applyBorder="1" applyAlignment="1">
      <alignment horizontal="center" vertical="center"/>
    </xf>
    <xf numFmtId="9" fontId="46" fillId="24" borderId="0" xfId="115" applyFont="1" applyFill="1" applyAlignment="1">
      <alignment horizontal="center" vertical="center"/>
    </xf>
    <xf numFmtId="179" fontId="0" fillId="24" borderId="42" xfId="115" applyNumberFormat="1" applyFont="1" applyFill="1" applyBorder="1"/>
    <xf numFmtId="179" fontId="0" fillId="24" borderId="0" xfId="115" applyNumberFormat="1" applyFont="1" applyFill="1" applyBorder="1"/>
    <xf numFmtId="0" fontId="14" fillId="24" borderId="76" xfId="106" applyFont="1" applyFill="1" applyBorder="1"/>
    <xf numFmtId="176" fontId="14" fillId="24" borderId="77" xfId="51" applyNumberFormat="1" applyFont="1" applyFill="1" applyBorder="1"/>
    <xf numFmtId="176" fontId="14" fillId="24" borderId="78" xfId="51" applyNumberFormat="1" applyFont="1" applyFill="1" applyBorder="1"/>
    <xf numFmtId="179" fontId="14" fillId="24" borderId="78" xfId="115" applyNumberFormat="1" applyFont="1" applyFill="1" applyBorder="1"/>
    <xf numFmtId="179" fontId="14" fillId="24" borderId="79" xfId="51" applyNumberFormat="1" applyFont="1" applyFill="1" applyBorder="1"/>
    <xf numFmtId="176" fontId="14" fillId="24" borderId="78" xfId="106" applyNumberFormat="1" applyFont="1" applyFill="1" applyBorder="1"/>
    <xf numFmtId="179" fontId="14" fillId="24" borderId="78" xfId="106" applyNumberFormat="1" applyFont="1" applyFill="1" applyBorder="1"/>
    <xf numFmtId="179" fontId="14" fillId="24" borderId="78" xfId="51" applyNumberFormat="1" applyFont="1" applyFill="1" applyBorder="1"/>
    <xf numFmtId="177" fontId="14" fillId="24" borderId="80" xfId="106" applyNumberFormat="1" applyFont="1" applyFill="1" applyBorder="1"/>
    <xf numFmtId="178" fontId="14" fillId="24" borderId="81" xfId="106" applyNumberFormat="1" applyFont="1" applyFill="1" applyBorder="1"/>
    <xf numFmtId="176" fontId="14" fillId="24" borderId="77" xfId="106" applyNumberFormat="1" applyFont="1" applyFill="1" applyBorder="1"/>
    <xf numFmtId="176" fontId="14" fillId="24" borderId="79" xfId="106" applyNumberFormat="1" applyFont="1" applyFill="1" applyBorder="1"/>
    <xf numFmtId="176" fontId="14" fillId="24" borderId="81" xfId="51" applyNumberFormat="1" applyFont="1" applyFill="1" applyBorder="1"/>
    <xf numFmtId="172" fontId="14" fillId="24" borderId="20" xfId="37" applyNumberFormat="1" applyFont="1" applyFill="1" applyBorder="1" applyProtection="1">
      <protection hidden="1"/>
    </xf>
    <xf numFmtId="172" fontId="14" fillId="24" borderId="19" xfId="37" applyNumberFormat="1" applyFont="1" applyFill="1" applyBorder="1" applyProtection="1">
      <protection hidden="1"/>
    </xf>
    <xf numFmtId="0" fontId="10" fillId="0" borderId="82" xfId="53" applyFont="1" applyBorder="1" applyAlignment="1">
      <alignment vertical="center" wrapText="1"/>
    </xf>
    <xf numFmtId="184" fontId="14" fillId="24" borderId="39" xfId="106" applyNumberFormat="1" applyFont="1" applyFill="1" applyBorder="1"/>
    <xf numFmtId="184" fontId="14" fillId="24" borderId="34" xfId="106" applyNumberFormat="1" applyFont="1" applyFill="1" applyBorder="1"/>
    <xf numFmtId="184" fontId="14" fillId="24" borderId="80" xfId="106" applyNumberFormat="1" applyFont="1" applyFill="1" applyBorder="1"/>
    <xf numFmtId="38" fontId="14" fillId="0" borderId="35" xfId="51" applyNumberFormat="1" applyFont="1" applyFill="1" applyBorder="1"/>
    <xf numFmtId="185" fontId="10" fillId="0" borderId="0" xfId="53" applyNumberFormat="1"/>
    <xf numFmtId="37" fontId="14" fillId="24" borderId="73" xfId="37" applyFont="1" applyFill="1" applyBorder="1" applyAlignment="1" applyProtection="1">
      <alignment horizontal="center" vertical="center" wrapText="1"/>
      <protection hidden="1"/>
    </xf>
    <xf numFmtId="37" fontId="10" fillId="0" borderId="26" xfId="37" applyFont="1" applyBorder="1" applyAlignment="1" applyProtection="1">
      <alignment wrapText="1"/>
      <protection hidden="1"/>
    </xf>
    <xf numFmtId="167" fontId="61" fillId="0" borderId="0" xfId="40" applyNumberFormat="1" applyFont="1" applyProtection="1">
      <protection hidden="1"/>
    </xf>
    <xf numFmtId="49" fontId="62" fillId="0" borderId="10" xfId="54" applyNumberFormat="1" applyFont="1" applyFill="1" applyBorder="1" applyAlignment="1" applyProtection="1">
      <alignment horizontal="center" vertical="center" wrapText="1"/>
      <protection hidden="1"/>
    </xf>
    <xf numFmtId="37" fontId="14" fillId="0" borderId="10" xfId="37" applyFont="1" applyFill="1" applyBorder="1" applyAlignment="1" applyProtection="1">
      <alignment horizontal="center" vertical="center" wrapText="1"/>
      <protection hidden="1"/>
    </xf>
    <xf numFmtId="37" fontId="60" fillId="0" borderId="0" xfId="37" applyFont="1" applyBorder="1" applyAlignment="1" applyProtection="1">
      <alignment horizontal="center" vertical="center" wrapText="1"/>
      <protection hidden="1"/>
    </xf>
    <xf numFmtId="37" fontId="63" fillId="0" borderId="0" xfId="37" applyFont="1" applyBorder="1" applyAlignment="1" applyProtection="1">
      <alignment horizontal="center" vertical="center" wrapText="1"/>
      <protection hidden="1"/>
    </xf>
    <xf numFmtId="37" fontId="10" fillId="0" borderId="11" xfId="37" applyFont="1" applyFill="1" applyBorder="1" applyAlignment="1" applyProtection="1">
      <alignment horizontal="left"/>
      <protection hidden="1"/>
    </xf>
    <xf numFmtId="37" fontId="10" fillId="0" borderId="69" xfId="37" applyFont="1" applyFill="1" applyBorder="1" applyAlignment="1" applyProtection="1">
      <alignment horizontal="right"/>
      <protection hidden="1"/>
    </xf>
    <xf numFmtId="37" fontId="14" fillId="0" borderId="69" xfId="37" applyFont="1" applyFill="1" applyBorder="1" applyAlignment="1" applyProtection="1">
      <alignment horizontal="right"/>
      <protection hidden="1"/>
    </xf>
    <xf numFmtId="37" fontId="14" fillId="0" borderId="23" xfId="37" applyNumberFormat="1" applyFont="1" applyFill="1" applyBorder="1" applyAlignment="1" applyProtection="1">
      <alignment horizontal="right"/>
      <protection hidden="1"/>
    </xf>
    <xf numFmtId="165" fontId="14" fillId="0" borderId="20" xfId="33" applyNumberFormat="1" applyFont="1" applyFill="1" applyBorder="1" applyProtection="1">
      <protection hidden="1"/>
    </xf>
    <xf numFmtId="37" fontId="10" fillId="0" borderId="12" xfId="37" applyFont="1" applyFill="1" applyBorder="1" applyAlignment="1" applyProtection="1">
      <alignment horizontal="left"/>
      <protection hidden="1"/>
    </xf>
    <xf numFmtId="37" fontId="10" fillId="0" borderId="21" xfId="37" applyFont="1" applyFill="1" applyBorder="1" applyAlignment="1" applyProtection="1">
      <alignment horizontal="right"/>
      <protection hidden="1"/>
    </xf>
    <xf numFmtId="37" fontId="10" fillId="0" borderId="83" xfId="37" applyFont="1" applyFill="1" applyBorder="1" applyAlignment="1" applyProtection="1">
      <protection hidden="1"/>
    </xf>
    <xf numFmtId="37" fontId="14" fillId="0" borderId="21" xfId="37" applyFont="1" applyFill="1" applyBorder="1" applyAlignment="1" applyProtection="1">
      <alignment horizontal="right"/>
      <protection hidden="1"/>
    </xf>
    <xf numFmtId="37" fontId="14" fillId="0" borderId="24" xfId="40" applyNumberFormat="1" applyFont="1" applyFill="1" applyBorder="1" applyProtection="1">
      <protection hidden="1"/>
    </xf>
    <xf numFmtId="165" fontId="14" fillId="0" borderId="19" xfId="33" applyNumberFormat="1" applyFont="1" applyFill="1" applyBorder="1" applyProtection="1">
      <protection hidden="1"/>
    </xf>
    <xf numFmtId="37" fontId="14" fillId="0" borderId="13" xfId="37" applyFont="1" applyFill="1" applyBorder="1" applyAlignment="1" applyProtection="1">
      <alignment horizontal="left"/>
      <protection hidden="1"/>
    </xf>
    <xf numFmtId="37" fontId="14" fillId="0" borderId="14" xfId="37" applyFont="1" applyFill="1" applyBorder="1" applyAlignment="1" applyProtection="1">
      <alignment horizontal="right"/>
      <protection hidden="1"/>
    </xf>
    <xf numFmtId="165" fontId="14" fillId="0" borderId="15" xfId="33" applyNumberFormat="1" applyFont="1" applyFill="1" applyBorder="1" applyProtection="1">
      <protection hidden="1"/>
    </xf>
    <xf numFmtId="37" fontId="14" fillId="0" borderId="0" xfId="37" applyFont="1" applyProtection="1">
      <protection hidden="1"/>
    </xf>
    <xf numFmtId="187" fontId="10" fillId="0" borderId="0" xfId="40" applyNumberFormat="1" applyFont="1" applyProtection="1">
      <protection hidden="1"/>
    </xf>
    <xf numFmtId="37" fontId="10" fillId="0" borderId="0" xfId="37" applyFont="1" applyBorder="1" applyProtection="1">
      <protection hidden="1"/>
    </xf>
    <xf numFmtId="164" fontId="10" fillId="0" borderId="0" xfId="33" applyFont="1" applyBorder="1" applyProtection="1">
      <protection hidden="1"/>
    </xf>
    <xf numFmtId="167" fontId="61" fillId="0" borderId="0" xfId="40" applyNumberFormat="1" applyFont="1" applyBorder="1" applyProtection="1">
      <protection hidden="1"/>
    </xf>
    <xf numFmtId="10" fontId="10" fillId="0" borderId="0" xfId="40" applyNumberFormat="1" applyFont="1" applyAlignment="1" applyProtection="1">
      <alignment horizontal="center"/>
      <protection hidden="1"/>
    </xf>
    <xf numFmtId="37" fontId="64" fillId="0" borderId="0" xfId="37" applyFont="1" applyProtection="1">
      <protection hidden="1"/>
    </xf>
    <xf numFmtId="188" fontId="10" fillId="0" borderId="0" xfId="40" applyNumberFormat="1" applyFont="1" applyProtection="1">
      <protection hidden="1"/>
    </xf>
    <xf numFmtId="189" fontId="10" fillId="0" borderId="0" xfId="37" applyNumberFormat="1" applyFont="1" applyProtection="1">
      <protection hidden="1"/>
    </xf>
    <xf numFmtId="190" fontId="10" fillId="0" borderId="0" xfId="37" applyNumberFormat="1" applyFont="1" applyProtection="1">
      <protection hidden="1"/>
    </xf>
    <xf numFmtId="0" fontId="14" fillId="0" borderId="82" xfId="53" applyFont="1" applyBorder="1" applyAlignment="1">
      <alignment horizontal="center" vertical="center" wrapText="1"/>
    </xf>
    <xf numFmtId="182" fontId="10" fillId="0" borderId="82" xfId="33" applyNumberFormat="1" applyFont="1" applyFill="1" applyBorder="1" applyAlignment="1">
      <alignment vertical="center" wrapText="1"/>
    </xf>
    <xf numFmtId="182" fontId="10" fillId="0" borderId="82" xfId="53" applyNumberFormat="1" applyFont="1" applyBorder="1" applyAlignment="1">
      <alignment horizontal="center" vertical="center" wrapText="1"/>
    </xf>
    <xf numFmtId="0" fontId="14" fillId="0" borderId="82" xfId="53" applyFont="1" applyBorder="1" applyAlignment="1">
      <alignment vertical="center" wrapText="1"/>
    </xf>
    <xf numFmtId="182" fontId="14" fillId="0" borderId="82" xfId="33" applyNumberFormat="1" applyFont="1" applyFill="1" applyBorder="1" applyAlignment="1">
      <alignment vertical="center" wrapText="1"/>
    </xf>
    <xf numFmtId="182" fontId="14" fillId="0" borderId="82" xfId="53" applyNumberFormat="1" applyFont="1" applyBorder="1" applyAlignment="1">
      <alignment horizontal="center" vertical="center" wrapText="1"/>
    </xf>
    <xf numFmtId="182" fontId="14" fillId="0" borderId="82" xfId="33" applyNumberFormat="1" applyFont="1" applyFill="1" applyBorder="1" applyAlignment="1">
      <alignment horizontal="center" vertical="center" wrapText="1"/>
    </xf>
    <xf numFmtId="0" fontId="14" fillId="0" borderId="82" xfId="53" applyFont="1" applyBorder="1" applyAlignment="1">
      <alignment horizontal="center" vertical="center"/>
    </xf>
    <xf numFmtId="182" fontId="14" fillId="0" borderId="82" xfId="53" applyNumberFormat="1" applyFont="1" applyBorder="1" applyAlignment="1">
      <alignment vertical="center"/>
    </xf>
    <xf numFmtId="182" fontId="14" fillId="0" borderId="82" xfId="53" applyNumberFormat="1" applyFont="1" applyBorder="1" applyAlignment="1">
      <alignment horizontal="center" vertical="center"/>
    </xf>
    <xf numFmtId="165" fontId="10" fillId="0" borderId="0" xfId="33" applyNumberFormat="1"/>
    <xf numFmtId="165" fontId="10" fillId="0" borderId="0" xfId="53" applyNumberFormat="1"/>
    <xf numFmtId="191" fontId="10" fillId="0" borderId="0" xfId="53" applyNumberFormat="1"/>
    <xf numFmtId="192" fontId="10" fillId="0" borderId="0" xfId="53" applyNumberFormat="1"/>
    <xf numFmtId="191" fontId="10" fillId="0" borderId="0" xfId="33" applyNumberFormat="1"/>
    <xf numFmtId="192" fontId="10" fillId="0" borderId="0" xfId="33" applyNumberFormat="1"/>
    <xf numFmtId="38" fontId="10" fillId="0" borderId="69" xfId="37" applyNumberFormat="1" applyFont="1" applyFill="1" applyBorder="1" applyAlignment="1" applyProtection="1">
      <alignment horizontal="right"/>
      <protection hidden="1"/>
    </xf>
    <xf numFmtId="38" fontId="10" fillId="0" borderId="21" xfId="37" applyNumberFormat="1" applyFont="1" applyFill="1" applyBorder="1" applyAlignment="1" applyProtection="1">
      <alignment horizontal="right"/>
      <protection hidden="1"/>
    </xf>
    <xf numFmtId="176" fontId="65" fillId="24" borderId="0" xfId="51" applyNumberFormat="1" applyFont="1" applyFill="1" applyBorder="1" applyAlignment="1">
      <alignment horizontal="center" vertical="center" wrapText="1"/>
    </xf>
    <xf numFmtId="0" fontId="47" fillId="24" borderId="0" xfId="0" applyFont="1" applyFill="1" applyBorder="1" applyAlignment="1">
      <alignment horizontal="center" vertical="center"/>
    </xf>
    <xf numFmtId="176" fontId="14" fillId="0" borderId="0" xfId="51" applyNumberFormat="1" applyFont="1" applyAlignment="1"/>
    <xf numFmtId="0" fontId="42" fillId="0" borderId="26" xfId="0" applyFont="1" applyBorder="1" applyAlignment="1">
      <alignment horizontal="center"/>
    </xf>
    <xf numFmtId="176" fontId="58" fillId="24" borderId="0" xfId="51" applyNumberFormat="1" applyFont="1" applyFill="1" applyAlignment="1"/>
    <xf numFmtId="9" fontId="14" fillId="24" borderId="73" xfId="40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/>
      <protection hidden="1"/>
    </xf>
    <xf numFmtId="37" fontId="34" fillId="0" borderId="0" xfId="37" applyFont="1" applyFill="1" applyBorder="1" applyAlignment="1" applyProtection="1">
      <alignment horizontal="center" vertical="center" wrapText="1"/>
      <protection hidden="1"/>
    </xf>
    <xf numFmtId="172" fontId="14" fillId="24" borderId="73" xfId="40" applyNumberFormat="1" applyFont="1" applyFill="1" applyBorder="1" applyAlignment="1" applyProtection="1">
      <alignment horizontal="center" vertical="center" wrapText="1"/>
      <protection hidden="1"/>
    </xf>
    <xf numFmtId="0" fontId="34" fillId="0" borderId="0" xfId="0" applyFont="1" applyFill="1" applyBorder="1" applyAlignment="1" applyProtection="1">
      <alignment horizontal="center" vertical="center" wrapText="1"/>
      <protection hidden="1"/>
    </xf>
    <xf numFmtId="172" fontId="34" fillId="0" borderId="0" xfId="112" applyNumberFormat="1" applyFont="1" applyFill="1" applyBorder="1" applyAlignment="1" applyProtection="1">
      <alignment horizontal="center" vertical="center" wrapText="1"/>
      <protection hidden="1"/>
    </xf>
    <xf numFmtId="0" fontId="14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41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40" applyFont="1" applyFill="1" applyBorder="1" applyAlignment="1" applyProtection="1">
      <alignment horizontal="center" vertical="center" wrapText="1"/>
      <protection hidden="1"/>
    </xf>
    <xf numFmtId="173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172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82" xfId="0" applyFont="1" applyFill="1" applyBorder="1" applyAlignment="1" applyProtection="1">
      <alignment horizontal="center" vertical="center" wrapText="1"/>
      <protection hidden="1"/>
    </xf>
    <xf numFmtId="9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69" fontId="34" fillId="0" borderId="0" xfId="112" applyFont="1" applyFill="1" applyBorder="1" applyAlignment="1" applyProtection="1">
      <alignment horizontal="center" vertical="center" wrapText="1"/>
      <protection hidden="1"/>
    </xf>
    <xf numFmtId="172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73" fontId="36" fillId="0" borderId="0" xfId="112" applyNumberFormat="1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Fill="1" applyProtection="1">
      <protection hidden="1"/>
    </xf>
    <xf numFmtId="37" fontId="39" fillId="0" borderId="0" xfId="37" applyFont="1" applyFill="1" applyBorder="1" applyAlignment="1" applyProtection="1">
      <alignment horizontal="center" vertical="center" wrapText="1"/>
      <protection hidden="1"/>
    </xf>
    <xf numFmtId="37" fontId="39" fillId="0" borderId="0" xfId="37" applyFont="1" applyFill="1" applyProtection="1">
      <protection hidden="1"/>
    </xf>
    <xf numFmtId="0" fontId="40" fillId="0" borderId="0" xfId="0" applyFont="1" applyFill="1" applyAlignment="1" applyProtection="1">
      <alignment horizontal="center" vertical="center" wrapText="1"/>
      <protection hidden="1"/>
    </xf>
    <xf numFmtId="172" fontId="39" fillId="0" borderId="0" xfId="37" applyNumberFormat="1" applyFont="1" applyFill="1" applyProtection="1">
      <protection hidden="1"/>
    </xf>
    <xf numFmtId="173" fontId="40" fillId="0" borderId="0" xfId="0" applyNumberFormat="1" applyFont="1" applyFill="1" applyAlignment="1" applyProtection="1">
      <alignment horizontal="center" vertical="center" wrapText="1"/>
      <protection hidden="1"/>
    </xf>
    <xf numFmtId="37" fontId="46" fillId="0" borderId="0" xfId="37" applyFont="1" applyAlignment="1" applyProtection="1">
      <alignment horizontal="center" vertical="center"/>
      <protection hidden="1"/>
    </xf>
    <xf numFmtId="37" fontId="10" fillId="0" borderId="0" xfId="37" applyFont="1" applyFill="1" applyBorder="1" applyAlignment="1" applyProtection="1">
      <alignment horizontal="center" vertical="center" wrapText="1"/>
      <protection hidden="1"/>
    </xf>
    <xf numFmtId="172" fontId="10" fillId="0" borderId="0" xfId="37" applyNumberFormat="1" applyFont="1" applyFill="1" applyBorder="1" applyAlignment="1" applyProtection="1">
      <alignment horizontal="center" vertical="center" wrapText="1"/>
      <protection hidden="1"/>
    </xf>
    <xf numFmtId="172" fontId="67" fillId="0" borderId="0" xfId="0" applyNumberFormat="1" applyFont="1" applyFill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 wrapText="1"/>
      <protection hidden="1"/>
    </xf>
    <xf numFmtId="165" fontId="10" fillId="0" borderId="69" xfId="33" applyNumberFormat="1" applyFont="1" applyFill="1" applyBorder="1" applyProtection="1">
      <protection hidden="1"/>
    </xf>
    <xf numFmtId="171" fontId="10" fillId="0" borderId="69" xfId="33" applyNumberFormat="1" applyFont="1" applyFill="1" applyBorder="1" applyProtection="1">
      <protection hidden="1"/>
    </xf>
    <xf numFmtId="165" fontId="10" fillId="0" borderId="23" xfId="33" applyNumberFormat="1" applyFont="1" applyFill="1" applyBorder="1" applyProtection="1">
      <protection hidden="1"/>
    </xf>
    <xf numFmtId="3" fontId="33" fillId="0" borderId="69" xfId="0" applyNumberFormat="1" applyFont="1" applyBorder="1" applyProtection="1">
      <protection hidden="1"/>
    </xf>
    <xf numFmtId="172" fontId="10" fillId="0" borderId="69" xfId="40" applyNumberFormat="1" applyFont="1" applyFill="1" applyBorder="1" applyProtection="1">
      <protection hidden="1"/>
    </xf>
    <xf numFmtId="172" fontId="10" fillId="0" borderId="23" xfId="40" applyNumberFormat="1" applyFont="1" applyFill="1" applyBorder="1" applyProtection="1">
      <protection hidden="1"/>
    </xf>
    <xf numFmtId="165" fontId="33" fillId="0" borderId="69" xfId="33" applyNumberFormat="1" applyFont="1" applyBorder="1" applyProtection="1">
      <protection hidden="1"/>
    </xf>
    <xf numFmtId="171" fontId="33" fillId="0" borderId="69" xfId="33" applyNumberFormat="1" applyFont="1" applyBorder="1" applyProtection="1">
      <protection hidden="1"/>
    </xf>
    <xf numFmtId="193" fontId="33" fillId="0" borderId="69" xfId="33" applyNumberFormat="1" applyFont="1" applyBorder="1" applyProtection="1">
      <protection hidden="1"/>
    </xf>
    <xf numFmtId="172" fontId="10" fillId="0" borderId="20" xfId="40" applyNumberFormat="1" applyFont="1" applyFill="1" applyBorder="1" applyProtection="1">
      <protection hidden="1"/>
    </xf>
    <xf numFmtId="37" fontId="10" fillId="0" borderId="11" xfId="37" applyFont="1" applyBorder="1" applyProtection="1">
      <protection hidden="1"/>
    </xf>
    <xf numFmtId="37" fontId="10" fillId="0" borderId="69" xfId="37" applyFont="1" applyBorder="1" applyProtection="1">
      <protection hidden="1"/>
    </xf>
    <xf numFmtId="165" fontId="10" fillId="0" borderId="21" xfId="33" applyNumberFormat="1" applyFont="1" applyFill="1" applyBorder="1" applyProtection="1">
      <protection hidden="1"/>
    </xf>
    <xf numFmtId="171" fontId="10" fillId="0" borderId="21" xfId="33" applyNumberFormat="1" applyFont="1" applyFill="1" applyBorder="1" applyProtection="1">
      <protection hidden="1"/>
    </xf>
    <xf numFmtId="165" fontId="10" fillId="0" borderId="24" xfId="33" applyNumberFormat="1" applyFont="1" applyFill="1" applyBorder="1" applyProtection="1">
      <protection hidden="1"/>
    </xf>
    <xf numFmtId="3" fontId="33" fillId="0" borderId="21" xfId="0" applyNumberFormat="1" applyFont="1" applyBorder="1" applyProtection="1">
      <protection hidden="1"/>
    </xf>
    <xf numFmtId="172" fontId="10" fillId="0" borderId="21" xfId="40" applyNumberFormat="1" applyFont="1" applyFill="1" applyBorder="1" applyProtection="1">
      <protection hidden="1"/>
    </xf>
    <xf numFmtId="172" fontId="10" fillId="0" borderId="24" xfId="40" applyNumberFormat="1" applyFont="1" applyFill="1" applyBorder="1" applyProtection="1">
      <protection hidden="1"/>
    </xf>
    <xf numFmtId="165" fontId="33" fillId="0" borderId="21" xfId="33" applyNumberFormat="1" applyFont="1" applyBorder="1" applyProtection="1">
      <protection hidden="1"/>
    </xf>
    <xf numFmtId="171" fontId="33" fillId="0" borderId="21" xfId="33" applyNumberFormat="1" applyFont="1" applyBorder="1" applyProtection="1">
      <protection hidden="1"/>
    </xf>
    <xf numFmtId="193" fontId="33" fillId="0" borderId="21" xfId="33" applyNumberFormat="1" applyFont="1" applyBorder="1" applyProtection="1">
      <protection hidden="1"/>
    </xf>
    <xf numFmtId="172" fontId="10" fillId="0" borderId="19" xfId="40" applyNumberFormat="1" applyFont="1" applyFill="1" applyBorder="1" applyProtection="1">
      <protection hidden="1"/>
    </xf>
    <xf numFmtId="37" fontId="10" fillId="0" borderId="12" xfId="37" applyFont="1" applyBorder="1" applyProtection="1">
      <protection hidden="1"/>
    </xf>
    <xf numFmtId="37" fontId="10" fillId="0" borderId="21" xfId="37" applyFont="1" applyBorder="1" applyProtection="1">
      <protection hidden="1"/>
    </xf>
    <xf numFmtId="165" fontId="35" fillId="0" borderId="14" xfId="33" applyNumberFormat="1" applyFont="1" applyFill="1" applyBorder="1" applyProtection="1">
      <protection hidden="1"/>
    </xf>
    <xf numFmtId="171" fontId="14" fillId="0" borderId="14" xfId="33" applyNumberFormat="1" applyFont="1" applyFill="1" applyBorder="1" applyProtection="1">
      <protection hidden="1"/>
    </xf>
    <xf numFmtId="165" fontId="14" fillId="0" borderId="22" xfId="40" applyNumberFormat="1" applyFont="1" applyFill="1" applyBorder="1" applyProtection="1">
      <protection hidden="1"/>
    </xf>
    <xf numFmtId="3" fontId="35" fillId="0" borderId="14" xfId="0" applyNumberFormat="1" applyFont="1" applyBorder="1" applyProtection="1">
      <protection hidden="1"/>
    </xf>
    <xf numFmtId="172" fontId="14" fillId="0" borderId="14" xfId="40" applyNumberFormat="1" applyFont="1" applyFill="1" applyBorder="1" applyProtection="1">
      <protection hidden="1"/>
    </xf>
    <xf numFmtId="165" fontId="14" fillId="0" borderId="14" xfId="33" applyNumberFormat="1" applyFont="1" applyFill="1" applyBorder="1" applyProtection="1">
      <protection hidden="1"/>
    </xf>
    <xf numFmtId="172" fontId="14" fillId="0" borderId="22" xfId="40" applyNumberFormat="1" applyFont="1" applyFill="1" applyBorder="1" applyProtection="1">
      <protection hidden="1"/>
    </xf>
    <xf numFmtId="165" fontId="14" fillId="0" borderId="13" xfId="33" applyNumberFormat="1" applyFont="1" applyFill="1" applyBorder="1" applyAlignment="1" applyProtection="1">
      <protection hidden="1"/>
    </xf>
    <xf numFmtId="165" fontId="14" fillId="0" borderId="14" xfId="33" applyNumberFormat="1" applyFont="1" applyFill="1" applyBorder="1" applyAlignment="1" applyProtection="1">
      <protection hidden="1"/>
    </xf>
    <xf numFmtId="171" fontId="14" fillId="0" borderId="14" xfId="33" applyNumberFormat="1" applyFont="1" applyFill="1" applyBorder="1" applyAlignment="1" applyProtection="1">
      <protection hidden="1"/>
    </xf>
    <xf numFmtId="165" fontId="14" fillId="0" borderId="15" xfId="33" applyNumberFormat="1" applyFont="1" applyFill="1" applyBorder="1" applyAlignment="1" applyProtection="1">
      <protection hidden="1"/>
    </xf>
    <xf numFmtId="172" fontId="14" fillId="0" borderId="15" xfId="40" applyNumberFormat="1" applyFont="1" applyFill="1" applyBorder="1" applyProtection="1">
      <protection hidden="1"/>
    </xf>
    <xf numFmtId="37" fontId="14" fillId="0" borderId="13" xfId="37" applyFont="1" applyBorder="1" applyProtection="1">
      <protection hidden="1"/>
    </xf>
    <xf numFmtId="37" fontId="14" fillId="0" borderId="14" xfId="37" applyFont="1" applyBorder="1" applyProtection="1">
      <protection hidden="1"/>
    </xf>
    <xf numFmtId="39" fontId="10" fillId="0" borderId="0" xfId="37" applyNumberFormat="1" applyFont="1" applyProtection="1">
      <protection hidden="1"/>
    </xf>
    <xf numFmtId="166" fontId="10" fillId="0" borderId="0" xfId="40" applyNumberFormat="1" applyFont="1" applyProtection="1">
      <protection hidden="1"/>
    </xf>
    <xf numFmtId="172" fontId="10" fillId="0" borderId="0" xfId="37" applyNumberFormat="1" applyFont="1" applyFill="1" applyProtection="1">
      <protection hidden="1"/>
    </xf>
    <xf numFmtId="173" fontId="10" fillId="0" borderId="0" xfId="37" applyNumberFormat="1" applyFont="1" applyFill="1" applyProtection="1">
      <protection hidden="1"/>
    </xf>
    <xf numFmtId="166" fontId="10" fillId="0" borderId="0" xfId="40" applyNumberFormat="1" applyFont="1" applyFill="1" applyProtection="1">
      <protection hidden="1"/>
    </xf>
    <xf numFmtId="38" fontId="14" fillId="0" borderId="14" xfId="37" applyNumberFormat="1" applyFont="1" applyFill="1" applyBorder="1" applyAlignment="1" applyProtection="1">
      <alignment horizontal="right"/>
      <protection hidden="1"/>
    </xf>
    <xf numFmtId="37" fontId="47" fillId="0" borderId="0" xfId="37" applyFont="1" applyProtection="1">
      <protection hidden="1"/>
    </xf>
    <xf numFmtId="172" fontId="10" fillId="0" borderId="20" xfId="40" applyNumberFormat="1" applyFont="1" applyBorder="1" applyProtection="1">
      <protection hidden="1"/>
    </xf>
    <xf numFmtId="172" fontId="10" fillId="0" borderId="19" xfId="40" applyNumberFormat="1" applyFont="1" applyBorder="1" applyProtection="1">
      <protection hidden="1"/>
    </xf>
    <xf numFmtId="172" fontId="14" fillId="0" borderId="15" xfId="40" applyNumberFormat="1" applyFont="1" applyBorder="1" applyProtection="1">
      <protection hidden="1"/>
    </xf>
    <xf numFmtId="194" fontId="10" fillId="0" borderId="69" xfId="40" applyNumberFormat="1" applyFont="1" applyFill="1" applyBorder="1" applyProtection="1">
      <protection hidden="1"/>
    </xf>
    <xf numFmtId="194" fontId="10" fillId="0" borderId="21" xfId="40" applyNumberFormat="1" applyFont="1" applyFill="1" applyBorder="1" applyProtection="1">
      <protection hidden="1"/>
    </xf>
    <xf numFmtId="194" fontId="14" fillId="0" borderId="14" xfId="40" applyNumberFormat="1" applyFont="1" applyFill="1" applyBorder="1" applyProtection="1">
      <protection hidden="1"/>
    </xf>
    <xf numFmtId="0" fontId="14" fillId="0" borderId="0" xfId="53" applyFont="1" applyAlignment="1">
      <alignment horizontal="center" vertical="center"/>
    </xf>
    <xf numFmtId="0" fontId="14" fillId="0" borderId="0" xfId="53" applyFont="1" applyBorder="1" applyAlignment="1">
      <alignment horizontal="center" vertical="center" wrapText="1"/>
    </xf>
    <xf numFmtId="38" fontId="10" fillId="0" borderId="0" xfId="53" applyNumberFormat="1" applyFont="1" applyBorder="1" applyAlignment="1">
      <alignment horizontal="center" vertical="center" wrapText="1"/>
    </xf>
    <xf numFmtId="165" fontId="14" fillId="0" borderId="0" xfId="33" applyNumberFormat="1" applyFont="1" applyFill="1" applyBorder="1" applyAlignment="1">
      <alignment vertical="center" wrapText="1"/>
    </xf>
    <xf numFmtId="165" fontId="14" fillId="0" borderId="0" xfId="33" applyNumberFormat="1" applyFont="1" applyBorder="1" applyAlignment="1">
      <alignment horizontal="center" vertical="center"/>
    </xf>
    <xf numFmtId="165" fontId="10" fillId="0" borderId="82" xfId="33" applyNumberFormat="1" applyFont="1" applyFill="1" applyBorder="1" applyAlignment="1">
      <alignment vertical="center" wrapText="1"/>
    </xf>
    <xf numFmtId="38" fontId="10" fillId="0" borderId="82" xfId="33" applyNumberFormat="1" applyFont="1" applyFill="1" applyBorder="1" applyAlignment="1">
      <alignment vertical="center" wrapText="1"/>
    </xf>
    <xf numFmtId="0" fontId="10" fillId="0" borderId="82" xfId="53" applyFont="1" applyBorder="1" applyAlignment="1">
      <alignment horizontal="center" vertical="center" wrapText="1"/>
    </xf>
    <xf numFmtId="38" fontId="10" fillId="0" borderId="82" xfId="53" applyNumberFormat="1" applyFont="1" applyBorder="1" applyAlignment="1">
      <alignment horizontal="center" vertical="center" wrapText="1"/>
    </xf>
    <xf numFmtId="165" fontId="14" fillId="0" borderId="82" xfId="33" applyNumberFormat="1" applyFont="1" applyFill="1" applyBorder="1" applyAlignment="1">
      <alignment vertical="center" wrapText="1"/>
    </xf>
    <xf numFmtId="165" fontId="14" fillId="0" borderId="82" xfId="33" applyNumberFormat="1" applyFont="1" applyBorder="1" applyAlignment="1">
      <alignment horizontal="center" vertical="center"/>
    </xf>
    <xf numFmtId="176" fontId="51" fillId="24" borderId="68" xfId="102" applyNumberFormat="1" applyFont="1" applyFill="1" applyBorder="1"/>
    <xf numFmtId="38" fontId="51" fillId="24" borderId="69" xfId="102" applyNumberFormat="1" applyFont="1" applyFill="1" applyBorder="1"/>
    <xf numFmtId="176" fontId="51" fillId="24" borderId="70" xfId="102" applyNumberFormat="1" applyFont="1" applyFill="1" applyBorder="1"/>
    <xf numFmtId="38" fontId="51" fillId="24" borderId="21" xfId="102" applyNumberFormat="1" applyFont="1" applyFill="1" applyBorder="1"/>
    <xf numFmtId="176" fontId="51" fillId="24" borderId="71" xfId="102" applyNumberFormat="1" applyFont="1" applyFill="1" applyBorder="1"/>
    <xf numFmtId="38" fontId="51" fillId="24" borderId="14" xfId="102" applyNumberFormat="1" applyFont="1" applyFill="1" applyBorder="1"/>
    <xf numFmtId="14" fontId="33" fillId="0" borderId="0" xfId="51" applyNumberFormat="1" applyFont="1" applyAlignment="1">
      <alignment horizontal="left"/>
    </xf>
    <xf numFmtId="176" fontId="53" fillId="27" borderId="64" xfId="110" applyNumberFormat="1" applyFont="1" applyFill="1" applyBorder="1"/>
    <xf numFmtId="186" fontId="66" fillId="24" borderId="0" xfId="33" applyNumberFormat="1" applyFont="1" applyFill="1" applyBorder="1"/>
    <xf numFmtId="172" fontId="47" fillId="24" borderId="0" xfId="0" applyNumberFormat="1" applyFont="1" applyFill="1" applyBorder="1"/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37" fontId="14" fillId="0" borderId="84" xfId="37" applyFont="1" applyFill="1" applyBorder="1" applyAlignment="1" applyProtection="1">
      <alignment horizontal="center" vertical="center" wrapText="1"/>
      <protection hidden="1"/>
    </xf>
    <xf numFmtId="195" fontId="14" fillId="0" borderId="14" xfId="37" applyNumberFormat="1" applyFont="1" applyFill="1" applyBorder="1" applyAlignment="1" applyProtection="1">
      <alignment horizontal="right"/>
      <protection hidden="1"/>
    </xf>
    <xf numFmtId="195" fontId="10" fillId="0" borderId="85" xfId="37" applyNumberFormat="1" applyFont="1" applyFill="1" applyBorder="1" applyAlignment="1" applyProtection="1">
      <alignment horizontal="right"/>
      <protection hidden="1"/>
    </xf>
    <xf numFmtId="195" fontId="10" fillId="0" borderId="83" xfId="37" applyNumberFormat="1" applyFont="1" applyFill="1" applyBorder="1" applyAlignment="1" applyProtection="1">
      <alignment horizontal="right"/>
      <protection hidden="1"/>
    </xf>
    <xf numFmtId="195" fontId="10" fillId="0" borderId="69" xfId="37" applyNumberFormat="1" applyFont="1" applyFill="1" applyBorder="1" applyAlignment="1" applyProtection="1">
      <alignment horizontal="right"/>
      <protection hidden="1"/>
    </xf>
    <xf numFmtId="0" fontId="10" fillId="0" borderId="0" xfId="53" applyBorder="1"/>
    <xf numFmtId="38" fontId="10" fillId="0" borderId="0" xfId="33" applyNumberFormat="1" applyFont="1" applyFill="1" applyBorder="1" applyAlignment="1">
      <alignment vertical="center" wrapText="1"/>
    </xf>
    <xf numFmtId="0" fontId="10" fillId="0" borderId="0" xfId="53" applyFont="1" applyBorder="1" applyAlignment="1">
      <alignment horizontal="center" vertical="center" wrapText="1"/>
    </xf>
    <xf numFmtId="38" fontId="14" fillId="0" borderId="0" xfId="33" applyNumberFormat="1" applyFont="1" applyBorder="1" applyAlignment="1">
      <alignment horizontal="center" vertical="center"/>
    </xf>
    <xf numFmtId="38" fontId="14" fillId="0" borderId="0" xfId="53" applyNumberFormat="1" applyFont="1" applyBorder="1" applyAlignment="1">
      <alignment horizontal="center" vertical="center"/>
    </xf>
    <xf numFmtId="37" fontId="71" fillId="0" borderId="0" xfId="37" applyFont="1" applyFill="1" applyBorder="1" applyAlignment="1" applyProtection="1">
      <alignment horizontal="right"/>
      <protection hidden="1"/>
    </xf>
    <xf numFmtId="38" fontId="10" fillId="0" borderId="0" xfId="53" applyNumberFormat="1"/>
    <xf numFmtId="173" fontId="41" fillId="24" borderId="25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0" xfId="0" applyFont="1" applyFill="1" applyBorder="1" applyAlignment="1" applyProtection="1">
      <alignment horizontal="center" vertical="center" wrapText="1"/>
      <protection hidden="1"/>
    </xf>
    <xf numFmtId="173" fontId="40" fillId="24" borderId="0" xfId="0" applyNumberFormat="1" applyFont="1" applyFill="1" applyAlignment="1" applyProtection="1">
      <alignment horizontal="center" vertical="center" wrapText="1"/>
      <protection hidden="1"/>
    </xf>
    <xf numFmtId="3" fontId="33" fillId="24" borderId="69" xfId="0" applyNumberFormat="1" applyFont="1" applyFill="1" applyBorder="1" applyProtection="1">
      <protection hidden="1"/>
    </xf>
    <xf numFmtId="3" fontId="33" fillId="24" borderId="21" xfId="0" applyNumberFormat="1" applyFont="1" applyFill="1" applyBorder="1" applyProtection="1">
      <protection hidden="1"/>
    </xf>
    <xf numFmtId="3" fontId="35" fillId="24" borderId="14" xfId="0" applyNumberFormat="1" applyFont="1" applyFill="1" applyBorder="1" applyProtection="1">
      <protection hidden="1"/>
    </xf>
    <xf numFmtId="173" fontId="41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82" xfId="0" applyFont="1" applyFill="1" applyBorder="1" applyAlignment="1" applyProtection="1">
      <alignment horizontal="center" vertical="center" wrapText="1"/>
      <protection hidden="1"/>
    </xf>
    <xf numFmtId="173" fontId="14" fillId="24" borderId="82" xfId="0" applyNumberFormat="1" applyFont="1" applyFill="1" applyBorder="1" applyAlignment="1" applyProtection="1">
      <alignment horizontal="center" vertical="center" wrapText="1"/>
      <protection hidden="1"/>
    </xf>
    <xf numFmtId="173" fontId="1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10" fillId="24" borderId="20" xfId="40" applyNumberFormat="1" applyFont="1" applyFill="1" applyBorder="1" applyProtection="1">
      <protection hidden="1"/>
    </xf>
    <xf numFmtId="173" fontId="10" fillId="24" borderId="19" xfId="40" applyNumberFormat="1" applyFont="1" applyFill="1" applyBorder="1" applyProtection="1">
      <protection hidden="1"/>
    </xf>
    <xf numFmtId="3" fontId="55" fillId="24" borderId="0" xfId="0" applyNumberFormat="1" applyFont="1" applyFill="1"/>
    <xf numFmtId="173" fontId="14" fillId="24" borderId="15" xfId="40" applyNumberFormat="1" applyFont="1" applyFill="1" applyBorder="1" applyProtection="1">
      <protection hidden="1"/>
    </xf>
    <xf numFmtId="176" fontId="14" fillId="0" borderId="0" xfId="51" applyNumberFormat="1" applyFont="1" applyFill="1" applyBorder="1"/>
    <xf numFmtId="38" fontId="14" fillId="0" borderId="0" xfId="51" applyNumberFormat="1" applyFont="1" applyFill="1" applyBorder="1"/>
    <xf numFmtId="14" fontId="33" fillId="0" borderId="0" xfId="51" applyNumberFormat="1" applyFont="1" applyBorder="1" applyAlignment="1">
      <alignment horizontal="left"/>
    </xf>
    <xf numFmtId="0" fontId="10" fillId="0" borderId="0" xfId="53" applyFont="1" applyBorder="1"/>
    <xf numFmtId="43" fontId="10" fillId="0" borderId="0" xfId="53" applyNumberFormat="1" applyFont="1" applyBorder="1"/>
    <xf numFmtId="43" fontId="0" fillId="0" borderId="0" xfId="51" applyNumberFormat="1" applyFont="1" applyBorder="1"/>
    <xf numFmtId="168" fontId="10" fillId="0" borderId="82" xfId="33" applyNumberFormat="1" applyFont="1" applyFill="1" applyBorder="1" applyAlignment="1">
      <alignment vertical="center" wrapText="1"/>
    </xf>
    <xf numFmtId="168" fontId="14" fillId="0" borderId="82" xfId="33" applyNumberFormat="1" applyFont="1" applyBorder="1" applyAlignment="1">
      <alignment horizontal="center" vertical="center"/>
    </xf>
    <xf numFmtId="176" fontId="10" fillId="24" borderId="0" xfId="51" applyNumberFormat="1" applyFont="1" applyFill="1" applyBorder="1"/>
    <xf numFmtId="38" fontId="10" fillId="24" borderId="0" xfId="51" applyNumberFormat="1" applyFont="1" applyFill="1" applyBorder="1"/>
    <xf numFmtId="193" fontId="0" fillId="24" borderId="0" xfId="51" applyNumberFormat="1" applyFont="1" applyFill="1" applyBorder="1"/>
    <xf numFmtId="197" fontId="10" fillId="24" borderId="0" xfId="106" applyNumberFormat="1" applyFill="1" applyBorder="1"/>
    <xf numFmtId="8" fontId="10" fillId="0" borderId="0" xfId="53" applyNumberFormat="1"/>
    <xf numFmtId="182" fontId="10" fillId="0" borderId="0" xfId="53" applyNumberFormat="1"/>
    <xf numFmtId="176" fontId="14" fillId="0" borderId="0" xfId="51" applyNumberFormat="1" applyFont="1" applyBorder="1" applyAlignment="1">
      <alignment horizontal="center"/>
    </xf>
    <xf numFmtId="0" fontId="14" fillId="24" borderId="0" xfId="106" applyFont="1" applyFill="1" applyBorder="1" applyAlignment="1">
      <alignment horizontal="center" vertical="center"/>
    </xf>
    <xf numFmtId="0" fontId="14" fillId="0" borderId="0" xfId="106" applyFont="1" applyBorder="1"/>
    <xf numFmtId="9" fontId="46" fillId="24" borderId="0" xfId="115" applyFont="1" applyFill="1" applyBorder="1" applyAlignment="1">
      <alignment horizontal="center" vertical="center"/>
    </xf>
    <xf numFmtId="0" fontId="46" fillId="24" borderId="0" xfId="106" applyFont="1" applyFill="1" applyBorder="1"/>
    <xf numFmtId="193" fontId="10" fillId="24" borderId="0" xfId="106" applyNumberFormat="1" applyFill="1" applyBorder="1"/>
    <xf numFmtId="196" fontId="10" fillId="24" borderId="0" xfId="106" applyNumberFormat="1" applyFill="1" applyBorder="1"/>
    <xf numFmtId="41" fontId="0" fillId="24" borderId="0" xfId="51" applyNumberFormat="1" applyFont="1" applyFill="1" applyBorder="1"/>
    <xf numFmtId="184" fontId="14" fillId="24" borderId="0" xfId="106" applyNumberFormat="1" applyFont="1" applyFill="1" applyBorder="1"/>
    <xf numFmtId="176" fontId="14" fillId="24" borderId="0" xfId="51" applyNumberFormat="1" applyFont="1" applyFill="1" applyBorder="1"/>
    <xf numFmtId="179" fontId="14" fillId="24" borderId="0" xfId="115" applyNumberFormat="1" applyFont="1" applyFill="1" applyBorder="1"/>
    <xf numFmtId="179" fontId="14" fillId="24" borderId="0" xfId="51" applyNumberFormat="1" applyFont="1" applyFill="1" applyBorder="1"/>
    <xf numFmtId="176" fontId="14" fillId="24" borderId="0" xfId="106" applyNumberFormat="1" applyFont="1" applyFill="1" applyBorder="1"/>
    <xf numFmtId="179" fontId="14" fillId="24" borderId="0" xfId="106" applyNumberFormat="1" applyFont="1" applyFill="1" applyBorder="1"/>
    <xf numFmtId="177" fontId="14" fillId="24" borderId="0" xfId="106" applyNumberFormat="1" applyFont="1" applyFill="1" applyBorder="1"/>
    <xf numFmtId="196" fontId="14" fillId="24" borderId="0" xfId="106" applyNumberFormat="1" applyFont="1" applyFill="1" applyBorder="1"/>
    <xf numFmtId="0" fontId="73" fillId="30" borderId="86" xfId="106" applyFont="1" applyFill="1" applyBorder="1" applyAlignment="1">
      <alignment horizontal="center" vertical="center"/>
    </xf>
    <xf numFmtId="0" fontId="73" fillId="30" borderId="87" xfId="106" applyFont="1" applyFill="1" applyBorder="1" applyAlignment="1">
      <alignment horizontal="center" vertical="center" wrapText="1"/>
    </xf>
    <xf numFmtId="176" fontId="73" fillId="30" borderId="87" xfId="33" applyNumberFormat="1" applyFont="1" applyFill="1" applyBorder="1" applyAlignment="1">
      <alignment horizontal="center" vertical="center" wrapText="1"/>
    </xf>
    <xf numFmtId="43" fontId="14" fillId="0" borderId="88" xfId="51" applyNumberFormat="1" applyFont="1" applyFill="1" applyBorder="1" applyAlignment="1">
      <alignment horizontal="center" vertical="center"/>
    </xf>
    <xf numFmtId="176" fontId="14" fillId="0" borderId="89" xfId="51" applyNumberFormat="1" applyFont="1" applyFill="1" applyBorder="1"/>
    <xf numFmtId="182" fontId="0" fillId="0" borderId="38" xfId="51" applyNumberFormat="1" applyFont="1" applyFill="1" applyBorder="1"/>
    <xf numFmtId="182" fontId="0" fillId="0" borderId="0" xfId="51" applyNumberFormat="1" applyFont="1" applyFill="1" applyBorder="1"/>
    <xf numFmtId="182" fontId="0" fillId="0" borderId="0" xfId="33" applyNumberFormat="1" applyFont="1" applyFill="1" applyBorder="1"/>
    <xf numFmtId="182" fontId="14" fillId="0" borderId="35" xfId="51" applyNumberFormat="1" applyFont="1" applyFill="1" applyBorder="1"/>
    <xf numFmtId="182" fontId="0" fillId="0" borderId="0" xfId="51" applyNumberFormat="1" applyFont="1"/>
    <xf numFmtId="182" fontId="0" fillId="0" borderId="90" xfId="51" applyNumberFormat="1" applyFont="1" applyBorder="1"/>
    <xf numFmtId="182" fontId="0" fillId="0" borderId="35" xfId="51" applyNumberFormat="1" applyFont="1" applyBorder="1"/>
    <xf numFmtId="182" fontId="0" fillId="0" borderId="91" xfId="51" applyNumberFormat="1" applyFont="1" applyBorder="1"/>
    <xf numFmtId="176" fontId="14" fillId="0" borderId="92" xfId="51" applyNumberFormat="1" applyFont="1" applyFill="1" applyBorder="1"/>
    <xf numFmtId="165" fontId="14" fillId="0" borderId="93" xfId="33" applyNumberFormat="1" applyFont="1" applyFill="1" applyBorder="1"/>
    <xf numFmtId="182" fontId="14" fillId="0" borderId="94" xfId="51" applyNumberFormat="1" applyFont="1" applyFill="1" applyBorder="1"/>
    <xf numFmtId="165" fontId="14" fillId="0" borderId="95" xfId="33" applyNumberFormat="1" applyFont="1" applyFill="1" applyBorder="1"/>
    <xf numFmtId="182" fontId="0" fillId="0" borderId="93" xfId="51" applyNumberFormat="1" applyFont="1" applyBorder="1"/>
    <xf numFmtId="182" fontId="0" fillId="0" borderId="94" xfId="51" applyNumberFormat="1" applyFont="1" applyBorder="1"/>
    <xf numFmtId="181" fontId="10" fillId="0" borderId="0" xfId="53" applyNumberFormat="1" applyFont="1"/>
    <xf numFmtId="164" fontId="10" fillId="0" borderId="0" xfId="33" applyFont="1"/>
    <xf numFmtId="181" fontId="10" fillId="0" borderId="0" xfId="51" applyNumberFormat="1" applyFont="1"/>
    <xf numFmtId="164" fontId="0" fillId="0" borderId="0" xfId="33" applyFont="1"/>
    <xf numFmtId="181" fontId="0" fillId="0" borderId="0" xfId="51" applyNumberFormat="1" applyFont="1"/>
    <xf numFmtId="6" fontId="10" fillId="0" borderId="0" xfId="53" applyNumberFormat="1"/>
    <xf numFmtId="38" fontId="51" fillId="24" borderId="61" xfId="102" applyNumberFormat="1" applyFont="1" applyFill="1" applyBorder="1"/>
    <xf numFmtId="38" fontId="51" fillId="24" borderId="62" xfId="102" applyNumberFormat="1" applyFont="1" applyFill="1" applyBorder="1"/>
    <xf numFmtId="38" fontId="51" fillId="24" borderId="63" xfId="102" applyNumberFormat="1" applyFont="1" applyFill="1" applyBorder="1"/>
    <xf numFmtId="38" fontId="50" fillId="24" borderId="58" xfId="102" applyNumberFormat="1" applyFont="1" applyFill="1" applyBorder="1"/>
    <xf numFmtId="38" fontId="50" fillId="24" borderId="45" xfId="102" applyNumberFormat="1" applyFont="1" applyFill="1" applyBorder="1"/>
    <xf numFmtId="0" fontId="14" fillId="0" borderId="0" xfId="53" applyFont="1" applyAlignment="1">
      <alignment horizontal="center" vertical="center"/>
    </xf>
    <xf numFmtId="0" fontId="14" fillId="0" borderId="0" xfId="53" applyFont="1" applyAlignment="1">
      <alignment horizontal="center"/>
    </xf>
    <xf numFmtId="176" fontId="14" fillId="0" borderId="0" xfId="51" applyNumberFormat="1" applyFont="1" applyAlignment="1">
      <alignment horizontal="center"/>
    </xf>
    <xf numFmtId="43" fontId="14" fillId="0" borderId="27" xfId="51" applyNumberFormat="1" applyFont="1" applyFill="1" applyBorder="1" applyAlignment="1">
      <alignment horizontal="center" vertical="center" wrapText="1"/>
    </xf>
    <xf numFmtId="43" fontId="14" fillId="0" borderId="28" xfId="51" applyNumberFormat="1" applyFont="1" applyFill="1" applyBorder="1" applyAlignment="1">
      <alignment horizontal="center" vertical="center" wrapText="1"/>
    </xf>
    <xf numFmtId="43" fontId="14" fillId="0" borderId="27" xfId="51" applyNumberFormat="1" applyFont="1" applyFill="1" applyBorder="1" applyAlignment="1">
      <alignment horizontal="center" vertical="center"/>
    </xf>
    <xf numFmtId="43" fontId="14" fillId="0" borderId="28" xfId="51" applyNumberFormat="1" applyFont="1" applyFill="1" applyBorder="1" applyAlignment="1">
      <alignment horizontal="center" vertical="center"/>
    </xf>
    <xf numFmtId="176" fontId="14" fillId="0" borderId="27" xfId="51" applyNumberFormat="1" applyFont="1" applyBorder="1" applyAlignment="1">
      <alignment horizontal="center" vertical="center"/>
    </xf>
    <xf numFmtId="176" fontId="14" fillId="0" borderId="28" xfId="51" applyNumberFormat="1" applyFont="1" applyBorder="1" applyAlignment="1">
      <alignment horizontal="center" vertical="center"/>
    </xf>
    <xf numFmtId="176" fontId="14" fillId="0" borderId="0" xfId="51" applyNumberFormat="1" applyFont="1" applyBorder="1" applyAlignment="1">
      <alignment horizontal="center"/>
    </xf>
    <xf numFmtId="176" fontId="14" fillId="0" borderId="0" xfId="51" applyNumberFormat="1" applyFont="1" applyBorder="1" applyAlignment="1">
      <alignment horizontal="center" vertical="center"/>
    </xf>
    <xf numFmtId="43" fontId="14" fillId="0" borderId="0" xfId="51" applyNumberFormat="1" applyFont="1" applyFill="1" applyBorder="1" applyAlignment="1">
      <alignment horizontal="center" vertical="center" wrapText="1"/>
    </xf>
    <xf numFmtId="43" fontId="14" fillId="0" borderId="0" xfId="51" applyNumberFormat="1" applyFont="1" applyFill="1" applyBorder="1" applyAlignment="1">
      <alignment horizontal="center" vertical="center"/>
    </xf>
    <xf numFmtId="37" fontId="42" fillId="0" borderId="26" xfId="37" applyFont="1" applyBorder="1" applyAlignment="1" applyProtection="1">
      <alignment horizontal="center"/>
      <protection hidden="1"/>
    </xf>
    <xf numFmtId="0" fontId="42" fillId="0" borderId="26" xfId="0" applyFont="1" applyBorder="1" applyAlignment="1">
      <alignment horizontal="center"/>
    </xf>
    <xf numFmtId="37" fontId="10" fillId="0" borderId="0" xfId="37" applyFont="1" applyAlignment="1" applyProtection="1">
      <alignment horizontal="left" vertical="top" wrapText="1"/>
      <protection hidden="1"/>
    </xf>
    <xf numFmtId="37" fontId="59" fillId="0" borderId="0" xfId="37" applyFont="1" applyAlignment="1" applyProtection="1">
      <alignment horizontal="center" vertical="center" wrapText="1"/>
      <protection hidden="1"/>
    </xf>
    <xf numFmtId="37" fontId="60" fillId="0" borderId="0" xfId="37" applyFont="1" applyAlignment="1" applyProtection="1">
      <alignment horizontal="center" vertical="center" wrapText="1"/>
      <protection hidden="1"/>
    </xf>
    <xf numFmtId="37" fontId="14" fillId="0" borderId="27" xfId="37" applyFont="1" applyFill="1" applyBorder="1" applyAlignment="1" applyProtection="1">
      <alignment horizontal="center" vertical="center" wrapText="1"/>
      <protection hidden="1"/>
    </xf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49" fontId="62" fillId="0" borderId="72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3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4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7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8" xfId="54" applyNumberFormat="1" applyFont="1" applyFill="1" applyBorder="1" applyAlignment="1" applyProtection="1">
      <alignment horizontal="center" vertical="center" wrapText="1"/>
      <protection hidden="1"/>
    </xf>
    <xf numFmtId="37" fontId="43" fillId="24" borderId="0" xfId="37" applyFont="1" applyFill="1" applyAlignment="1" applyProtection="1">
      <alignment horizontal="center" wrapText="1"/>
      <protection hidden="1"/>
    </xf>
    <xf numFmtId="37" fontId="72" fillId="24" borderId="0" xfId="37" applyFont="1" applyFill="1" applyAlignment="1" applyProtection="1">
      <alignment horizontal="center" wrapText="1"/>
      <protection hidden="1"/>
    </xf>
    <xf numFmtId="37" fontId="42" fillId="24" borderId="26" xfId="37" applyFont="1" applyFill="1" applyBorder="1" applyAlignment="1" applyProtection="1">
      <alignment horizontal="center" vertical="center"/>
      <protection hidden="1"/>
    </xf>
    <xf numFmtId="37" fontId="10" fillId="24" borderId="26" xfId="37" applyFont="1" applyFill="1" applyBorder="1" applyAlignment="1" applyProtection="1">
      <alignment horizontal="center" vertical="center"/>
      <protection hidden="1"/>
    </xf>
    <xf numFmtId="37" fontId="42" fillId="24" borderId="26" xfId="37" applyFont="1" applyFill="1" applyBorder="1" applyAlignment="1" applyProtection="1">
      <alignment horizontal="center" vertical="center" wrapText="1"/>
      <protection hidden="1"/>
    </xf>
    <xf numFmtId="0" fontId="14" fillId="24" borderId="0" xfId="106" applyFont="1" applyFill="1" applyBorder="1" applyAlignment="1">
      <alignment horizontal="center" vertical="center"/>
    </xf>
    <xf numFmtId="0" fontId="14" fillId="24" borderId="0" xfId="106" applyFont="1" applyFill="1" applyBorder="1" applyAlignment="1">
      <alignment horizontal="center"/>
    </xf>
    <xf numFmtId="0" fontId="10" fillId="24" borderId="0" xfId="106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/>
    </xf>
    <xf numFmtId="0" fontId="10" fillId="24" borderId="0" xfId="106" applyFill="1" applyAlignment="1">
      <alignment horizontal="center" vertical="center"/>
    </xf>
    <xf numFmtId="176" fontId="14" fillId="24" borderId="0" xfId="102" applyNumberFormat="1" applyFont="1" applyFill="1" applyAlignment="1">
      <alignment horizontal="center"/>
    </xf>
    <xf numFmtId="176" fontId="14" fillId="24" borderId="0" xfId="51" applyNumberFormat="1" applyFont="1" applyFill="1" applyAlignment="1">
      <alignment horizontal="center"/>
    </xf>
    <xf numFmtId="0" fontId="53" fillId="26" borderId="49" xfId="109" applyNumberFormat="1" applyFont="1" applyFill="1" applyBorder="1" applyAlignment="1">
      <alignment horizontal="center"/>
    </xf>
    <xf numFmtId="0" fontId="56" fillId="26" borderId="52" xfId="108" applyNumberFormat="1" applyFont="1" applyFill="1" applyBorder="1" applyAlignment="1">
      <alignment horizontal="center"/>
    </xf>
    <xf numFmtId="0" fontId="56" fillId="26" borderId="53" xfId="108" applyNumberFormat="1" applyFont="1" applyFill="1" applyBorder="1" applyAlignment="1">
      <alignment horizontal="center"/>
    </xf>
  </cellXfs>
  <cellStyles count="123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1 3" xfId="120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1 3" xfId="122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10" xfId="118"/>
    <cellStyle name="Normal 11" xfId="121"/>
    <cellStyle name="Normal 2" xfId="35"/>
    <cellStyle name="Normal 2 2" xfId="103"/>
    <cellStyle name="Normal 2 3" xfId="106"/>
    <cellStyle name="Normal 3" xfId="36"/>
    <cellStyle name="Normal 3 2" xfId="116"/>
    <cellStyle name="Normal 3 3" xfId="119"/>
    <cellStyle name="Normal 4" xfId="53"/>
    <cellStyle name="Normal 5" xfId="101"/>
    <cellStyle name="Normal 6" xfId="104"/>
    <cellStyle name="Normal 7" xfId="109"/>
    <cellStyle name="Normal 8" xfId="111"/>
    <cellStyle name="Normal 8 2" xfId="117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2022%20PLANEACION%20HACENDARIA/PARTICIPACIONES%20FEDERALES/ABRIL/IEPSGYD%20ABRIL%20Part%20Fed%20%202022%20UCEF%20NL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2022%20PLANEACION%20HACENDARIA/ajuste%20semestral%202022/Ajuste%20Estatal%201er%20Sem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DIST MES ABRIL"/>
      <sheetName val="COEF Art 14 F I"/>
      <sheetName val="TERRITORIO INEGI 2021"/>
      <sheetName val="PART PEF2022"/>
      <sheetName val="CALCULO GARANTIA"/>
      <sheetName val="COEF Art 14 F II"/>
      <sheetName val="POB 2020"/>
      <sheetName val="ISR_Nóm_2021"/>
    </sheetNames>
    <sheetDataSet>
      <sheetData sheetId="0"/>
      <sheetData sheetId="1"/>
      <sheetData sheetId="2"/>
      <sheetData sheetId="3"/>
      <sheetData sheetId="4">
        <row r="12">
          <cell r="D12">
            <v>254154798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VII calculo"/>
      <sheetName val="PART PEF2022"/>
      <sheetName val="DIST"/>
      <sheetName val="COEF Art 14 F I"/>
      <sheetName val="CALCULO GARANTIA"/>
      <sheetName val="COEF Art 14 F II"/>
      <sheetName val="Art.14 Frac.III"/>
      <sheetName val="ISR BI"/>
    </sheetNames>
    <sheetDataSet>
      <sheetData sheetId="0"/>
      <sheetData sheetId="1">
        <row r="4">
          <cell r="U4">
            <v>4156923030.0512524</v>
          </cell>
          <cell r="X4">
            <v>869359515.91625214</v>
          </cell>
        </row>
        <row r="5">
          <cell r="U5">
            <v>597627894.55626833</v>
          </cell>
          <cell r="X5">
            <v>148639554.47626823</v>
          </cell>
        </row>
        <row r="6">
          <cell r="U6">
            <v>112727038.51203035</v>
          </cell>
          <cell r="X6">
            <v>2330884.8470303565</v>
          </cell>
        </row>
        <row r="7">
          <cell r="U7">
            <v>233324611.33896467</v>
          </cell>
          <cell r="X7">
            <v>47224327.313964665</v>
          </cell>
        </row>
        <row r="8">
          <cell r="U8">
            <v>126653643</v>
          </cell>
          <cell r="X8">
            <v>35126141.390000001</v>
          </cell>
        </row>
        <row r="9">
          <cell r="U9">
            <v>20767778.400000002</v>
          </cell>
          <cell r="X9">
            <v>1153329.6050000004</v>
          </cell>
        </row>
        <row r="11">
          <cell r="U11">
            <v>222483263.29751995</v>
          </cell>
        </row>
      </sheetData>
      <sheetData sheetId="2"/>
      <sheetData sheetId="3"/>
      <sheetData sheetId="4">
        <row r="6">
          <cell r="H6">
            <v>1.2861627529993228E-3</v>
          </cell>
          <cell r="I6">
            <v>4228341.74</v>
          </cell>
          <cell r="J6">
            <v>1.2861627540339642E-3</v>
          </cell>
          <cell r="K6">
            <v>577472.07999999996</v>
          </cell>
          <cell r="L6">
            <v>1.2861627449722438E-3</v>
          </cell>
          <cell r="M6">
            <v>141987.42000000001</v>
          </cell>
          <cell r="N6">
            <v>1.2861627605039009E-3</v>
          </cell>
          <cell r="O6">
            <v>239355.255</v>
          </cell>
          <cell r="P6">
            <v>1.2861627700495345E-3</v>
          </cell>
          <cell r="Q6">
            <v>117719.265</v>
          </cell>
          <cell r="R6">
            <v>1.2861628308193486E-3</v>
          </cell>
          <cell r="S6">
            <v>25227.375</v>
          </cell>
          <cell r="U6">
            <v>619812.97824629</v>
          </cell>
          <cell r="V6">
            <v>105973.10233389394</v>
          </cell>
          <cell r="W6">
            <v>1661.8126937558095</v>
          </cell>
          <cell r="X6">
            <v>33668.753170886957</v>
          </cell>
          <cell r="Y6">
            <v>25043.308217878301</v>
          </cell>
          <cell r="Z6">
            <v>822.27046956662173</v>
          </cell>
        </row>
        <row r="7">
          <cell r="H7">
            <v>2.4745145135668823E-3</v>
          </cell>
          <cell r="I7">
            <v>8135123.6299999999</v>
          </cell>
          <cell r="J7">
            <v>2.474514515932444E-3</v>
          </cell>
          <cell r="K7">
            <v>1111028.165</v>
          </cell>
          <cell r="L7">
            <v>2.4745145187831919E-3</v>
          </cell>
          <cell r="M7">
            <v>273176.88500000001</v>
          </cell>
          <cell r="N7">
            <v>2.4745145203539823E-3</v>
          </cell>
          <cell r="O7">
            <v>460507.85499999998</v>
          </cell>
          <cell r="P7">
            <v>2.4745145014165608E-3</v>
          </cell>
          <cell r="Q7">
            <v>226486.13</v>
          </cell>
          <cell r="R7">
            <v>2.4745146031137722E-3</v>
          </cell>
          <cell r="S7">
            <v>48536.24</v>
          </cell>
          <cell r="U7">
            <v>1126359.5286876382</v>
          </cell>
          <cell r="V7">
            <v>192580.37147931583</v>
          </cell>
          <cell r="W7">
            <v>3019.9408986272415</v>
          </cell>
          <cell r="X7">
            <v>61184.78038385226</v>
          </cell>
          <cell r="Y7">
            <v>45510.129395612574</v>
          </cell>
          <cell r="Z7">
            <v>1494.2768400483499</v>
          </cell>
        </row>
        <row r="8">
          <cell r="H8">
            <v>2.5966786750418499E-3</v>
          </cell>
          <cell r="I8">
            <v>8536746.0700000003</v>
          </cell>
          <cell r="J8">
            <v>2.5966786794624761E-3</v>
          </cell>
          <cell r="K8">
            <v>1165878.45</v>
          </cell>
          <cell r="L8">
            <v>2.5966786934878573E-3</v>
          </cell>
          <cell r="M8">
            <v>286663.34000000003</v>
          </cell>
          <cell r="N8">
            <v>2.5966786810491913E-3</v>
          </cell>
          <cell r="O8">
            <v>483242.64</v>
          </cell>
          <cell r="P8">
            <v>2.5966786575874006E-3</v>
          </cell>
          <cell r="Q8">
            <v>237667.51</v>
          </cell>
          <cell r="R8">
            <v>2.5966786273910786E-3</v>
          </cell>
          <cell r="S8">
            <v>50932.42</v>
          </cell>
          <cell r="U8">
            <v>1389599.3428314901</v>
          </cell>
          <cell r="V8">
            <v>237588.04434468891</v>
          </cell>
          <cell r="W8">
            <v>3725.7268050210005</v>
          </cell>
          <cell r="X8">
            <v>75484.184620653672</v>
          </cell>
          <cell r="Y8">
            <v>56146.234208187045</v>
          </cell>
          <cell r="Z8">
            <v>1843.5020631102082</v>
          </cell>
        </row>
        <row r="9">
          <cell r="H9">
            <v>7.1633691619175646E-3</v>
          </cell>
          <cell r="I9">
            <v>23550031.094999999</v>
          </cell>
          <cell r="J9">
            <v>7.1633691633567762E-3</v>
          </cell>
          <cell r="K9">
            <v>3216269.23</v>
          </cell>
          <cell r="L9">
            <v>7.1633691838468641E-3</v>
          </cell>
          <cell r="M9">
            <v>790808.40500000003</v>
          </cell>
          <cell r="N9">
            <v>7.1633691596085887E-3</v>
          </cell>
          <cell r="O9">
            <v>1333105.0349999999</v>
          </cell>
          <cell r="P9">
            <v>7.1633691349899499E-3</v>
          </cell>
          <cell r="Q9">
            <v>655645.28</v>
          </cell>
          <cell r="R9">
            <v>7.1633692792928806E-3</v>
          </cell>
          <cell r="S9">
            <v>140505.54</v>
          </cell>
          <cell r="U9">
            <v>5395265.9197222777</v>
          </cell>
          <cell r="V9">
            <v>922460.62521476683</v>
          </cell>
          <cell r="W9">
            <v>14465.527031962016</v>
          </cell>
          <cell r="X9">
            <v>293075.303225171</v>
          </cell>
          <cell r="Y9">
            <v>217993.67242570061</v>
          </cell>
          <cell r="Z9">
            <v>7157.591074970981</v>
          </cell>
        </row>
        <row r="10">
          <cell r="H10">
            <v>8.9925647680691462E-3</v>
          </cell>
          <cell r="I10">
            <v>29563627.829999998</v>
          </cell>
          <cell r="J10">
            <v>8.9925647720062365E-3</v>
          </cell>
          <cell r="K10">
            <v>4037556.73</v>
          </cell>
          <cell r="L10">
            <v>8.9925647521862315E-3</v>
          </cell>
          <cell r="M10">
            <v>992744.56</v>
          </cell>
          <cell r="N10">
            <v>8.9925647561075166E-3</v>
          </cell>
          <cell r="O10">
            <v>1673518.855</v>
          </cell>
          <cell r="P10">
            <v>8.9925647544938266E-3</v>
          </cell>
          <cell r="Q10">
            <v>823066.98499999999</v>
          </cell>
          <cell r="R10">
            <v>8.9925647033750507E-3</v>
          </cell>
          <cell r="S10">
            <v>176384.2</v>
          </cell>
          <cell r="U10">
            <v>4421047.6502885502</v>
          </cell>
          <cell r="V10">
            <v>755892.747506944</v>
          </cell>
          <cell r="W10">
            <v>11853.499947252489</v>
          </cell>
          <cell r="X10">
            <v>240154.96176839841</v>
          </cell>
          <cell r="Y10">
            <v>178630.7528851192</v>
          </cell>
          <cell r="Z10">
            <v>5865.1513520496937</v>
          </cell>
        </row>
        <row r="11">
          <cell r="H11">
            <v>6.1746187376218779E-2</v>
          </cell>
          <cell r="I11">
            <v>202994512.755</v>
          </cell>
          <cell r="J11">
            <v>6.1746187373972874E-2</v>
          </cell>
          <cell r="K11">
            <v>27723318.175000001</v>
          </cell>
          <cell r="L11">
            <v>6.1746187391896148E-2</v>
          </cell>
          <cell r="M11">
            <v>6816541.5899999999</v>
          </cell>
          <cell r="N11">
            <v>6.1746187367451834E-2</v>
          </cell>
          <cell r="O11">
            <v>11490983.005000001</v>
          </cell>
          <cell r="P11">
            <v>6.1746187385183358E-2</v>
          </cell>
          <cell r="Q11">
            <v>5651474.2649999997</v>
          </cell>
          <cell r="R11">
            <v>6.174618731530547E-2</v>
          </cell>
          <cell r="S11">
            <v>1211117.43</v>
          </cell>
          <cell r="U11">
            <v>73807347.175260112</v>
          </cell>
          <cell r="V11">
            <v>12619280.056586802</v>
          </cell>
          <cell r="W11">
            <v>197888.70309771283</v>
          </cell>
          <cell r="X11">
            <v>4009276.0904634497</v>
          </cell>
          <cell r="Y11">
            <v>2982157.8587848032</v>
          </cell>
          <cell r="Z11">
            <v>97915.9910316561</v>
          </cell>
        </row>
        <row r="12">
          <cell r="H12">
            <v>1.0265070767424941E-2</v>
          </cell>
          <cell r="I12">
            <v>33747072.125</v>
          </cell>
          <cell r="J12">
            <v>1.0265070768274563E-2</v>
          </cell>
          <cell r="K12">
            <v>4608897.085</v>
          </cell>
          <cell r="L12">
            <v>1.0265070771355181E-2</v>
          </cell>
          <cell r="M12">
            <v>1133224.33</v>
          </cell>
          <cell r="N12">
            <v>1.0265070766898988E-2</v>
          </cell>
          <cell r="O12">
            <v>1910332.585</v>
          </cell>
          <cell r="P12">
            <v>1.0265070754959565E-2</v>
          </cell>
          <cell r="Q12">
            <v>939536.28</v>
          </cell>
          <cell r="R12">
            <v>1.0265070765010462E-2</v>
          </cell>
          <cell r="S12">
            <v>201343.70499999999</v>
          </cell>
          <cell r="U12">
            <v>4055682.2790046418</v>
          </cell>
          <cell r="V12">
            <v>693424.06221112667</v>
          </cell>
          <cell r="W12">
            <v>10873.899917617198</v>
          </cell>
          <cell r="X12">
            <v>220308.01287463182</v>
          </cell>
          <cell r="Y12">
            <v>163868.3036845692</v>
          </cell>
          <cell r="Z12">
            <v>5380.4419865584423</v>
          </cell>
        </row>
        <row r="13">
          <cell r="H13">
            <v>1.632200651615959E-3</v>
          </cell>
          <cell r="I13">
            <v>5365963.3099999996</v>
          </cell>
          <cell r="J13">
            <v>1.6322006488577968E-3</v>
          </cell>
          <cell r="K13">
            <v>732839.06</v>
          </cell>
          <cell r="L13">
            <v>1.6322006615157279E-3</v>
          </cell>
          <cell r="M13">
            <v>180188.67499999999</v>
          </cell>
          <cell r="N13">
            <v>1.6322006526330716E-3</v>
          </cell>
          <cell r="O13">
            <v>303753.005</v>
          </cell>
          <cell r="P13">
            <v>1.6322006760844329E-3</v>
          </cell>
          <cell r="Q13">
            <v>149391.25</v>
          </cell>
          <cell r="R13">
            <v>1.6322005944841532E-3</v>
          </cell>
          <cell r="S13">
            <v>32014.715</v>
          </cell>
          <cell r="U13">
            <v>1175914.6922798422</v>
          </cell>
          <cell r="V13">
            <v>201053.11181687409</v>
          </cell>
          <cell r="W13">
            <v>3152.8058156086131</v>
          </cell>
          <cell r="X13">
            <v>63876.657820897235</v>
          </cell>
          <cell r="Y13">
            <v>47512.386978437513</v>
          </cell>
          <cell r="Z13">
            <v>1560.0188445989882</v>
          </cell>
        </row>
        <row r="14">
          <cell r="H14">
            <v>1.6224393865143044E-2</v>
          </cell>
          <cell r="I14">
            <v>53338725.310000002</v>
          </cell>
          <cell r="J14">
            <v>1.622439386462279E-2</v>
          </cell>
          <cell r="K14">
            <v>7284563.6699999999</v>
          </cell>
          <cell r="L14">
            <v>1.6224393884598381E-2</v>
          </cell>
          <cell r="M14">
            <v>1791110.68</v>
          </cell>
          <cell r="N14">
            <v>1.6224393859603135E-2</v>
          </cell>
          <cell r="O14">
            <v>3019364.3050000002</v>
          </cell>
          <cell r="P14">
            <v>1.6224393859330236E-2</v>
          </cell>
          <cell r="Q14">
            <v>1484978.2350000001</v>
          </cell>
          <cell r="R14">
            <v>1.6224393974246062E-2</v>
          </cell>
          <cell r="S14">
            <v>318232.54499999998</v>
          </cell>
          <cell r="U14">
            <v>11829480.27580406</v>
          </cell>
          <cell r="V14">
            <v>2022556.4288304206</v>
          </cell>
          <cell r="W14">
            <v>31716.6325533985</v>
          </cell>
          <cell r="X14">
            <v>642587.14406535029</v>
          </cell>
          <cell r="Y14">
            <v>477965.66222683206</v>
          </cell>
          <cell r="Z14">
            <v>15693.495687419023</v>
          </cell>
        </row>
        <row r="15">
          <cell r="H15">
            <v>2.8090677169562892E-3</v>
          </cell>
          <cell r="I15">
            <v>9234988.5350000001</v>
          </cell>
          <cell r="J15">
            <v>2.8090677138504754E-3</v>
          </cell>
          <cell r="K15">
            <v>1261238.6499999999</v>
          </cell>
          <cell r="L15">
            <v>2.8090677054860473E-3</v>
          </cell>
          <cell r="M15">
            <v>310110.27</v>
          </cell>
          <cell r="N15">
            <v>2.8090677174893506E-3</v>
          </cell>
          <cell r="O15">
            <v>522768.3</v>
          </cell>
          <cell r="P15">
            <v>2.8090677172592539E-3</v>
          </cell>
          <cell r="Q15">
            <v>257106.95</v>
          </cell>
          <cell r="R15">
            <v>2.8090677208300976E-3</v>
          </cell>
          <cell r="S15">
            <v>55098.315000000002</v>
          </cell>
          <cell r="U15">
            <v>8282292.0253030034</v>
          </cell>
          <cell r="V15">
            <v>1416072.6076436951</v>
          </cell>
          <cell r="W15">
            <v>22206.082325000792</v>
          </cell>
          <cell r="X15">
            <v>449900.94702135469</v>
          </cell>
          <cell r="Y15">
            <v>334642.86683219369</v>
          </cell>
          <cell r="Z15">
            <v>10987.643679231962</v>
          </cell>
        </row>
        <row r="16">
          <cell r="H16">
            <v>3.9163993698195319E-3</v>
          </cell>
          <cell r="I16">
            <v>12875411.675000001</v>
          </cell>
          <cell r="J16">
            <v>3.916399365084337E-3</v>
          </cell>
          <cell r="K16">
            <v>1758417.65</v>
          </cell>
          <cell r="L16">
            <v>3.9163993558136425E-3</v>
          </cell>
          <cell r="M16">
            <v>432355.42499999999</v>
          </cell>
          <cell r="N16">
            <v>3.9163993699225085E-3</v>
          </cell>
          <cell r="O16">
            <v>728843.03500000003</v>
          </cell>
          <cell r="P16">
            <v>3.9163993741135623E-3</v>
          </cell>
          <cell r="Q16">
            <v>358458.25</v>
          </cell>
          <cell r="R16">
            <v>3.9163993729162544E-3</v>
          </cell>
          <cell r="S16">
            <v>76818.014999999999</v>
          </cell>
          <cell r="U16">
            <v>3081133.0705087171</v>
          </cell>
          <cell r="V16">
            <v>526799.60188832902</v>
          </cell>
          <cell r="W16">
            <v>8260.98553503925</v>
          </cell>
          <cell r="X16">
            <v>167369.69453452382</v>
          </cell>
          <cell r="Y16">
            <v>124492.01267674394</v>
          </cell>
          <cell r="Z16">
            <v>4087.5632256892231</v>
          </cell>
        </row>
        <row r="17">
          <cell r="H17">
            <v>8.2367609168836984E-3</v>
          </cell>
          <cell r="I17">
            <v>27078874.664999999</v>
          </cell>
          <cell r="J17">
            <v>8.2367609131725854E-3</v>
          </cell>
          <cell r="K17">
            <v>3698209.61</v>
          </cell>
          <cell r="L17">
            <v>8.2367609288746934E-3</v>
          </cell>
          <cell r="M17">
            <v>909306.72499999998</v>
          </cell>
          <cell r="N17">
            <v>8.2367609121972093E-3</v>
          </cell>
          <cell r="O17">
            <v>1532863.5449999999</v>
          </cell>
          <cell r="P17">
            <v>8.2367609382972204E-3</v>
          </cell>
          <cell r="Q17">
            <v>753890.15</v>
          </cell>
          <cell r="R17">
            <v>8.2367609004039988E-3</v>
          </cell>
          <cell r="S17">
            <v>161559.52499999999</v>
          </cell>
          <cell r="U17">
            <v>4015564.7800480365</v>
          </cell>
          <cell r="V17">
            <v>686564.93539139279</v>
          </cell>
          <cell r="W17">
            <v>10766.338812335969</v>
          </cell>
          <cell r="X17">
            <v>218128.79717956041</v>
          </cell>
          <cell r="Y17">
            <v>162247.37136052636</v>
          </cell>
          <cell r="Z17">
            <v>5327.2203925249942</v>
          </cell>
        </row>
        <row r="18">
          <cell r="H18">
            <v>4.2224552986780614E-3</v>
          </cell>
          <cell r="I18">
            <v>13881589.98</v>
          </cell>
          <cell r="J18">
            <v>4.2224552973543061E-3</v>
          </cell>
          <cell r="K18">
            <v>1895833.1950000001</v>
          </cell>
          <cell r="L18">
            <v>4.2224553087246482E-3</v>
          </cell>
          <cell r="M18">
            <v>466142.82500000001</v>
          </cell>
          <cell r="N18">
            <v>4.2224552972740222E-3</v>
          </cell>
          <cell r="O18">
            <v>785800.13</v>
          </cell>
          <cell r="P18">
            <v>4.2224553082183961E-3</v>
          </cell>
          <cell r="Q18">
            <v>386470.78499999997</v>
          </cell>
          <cell r="R18">
            <v>4.2224553859952305E-3</v>
          </cell>
          <cell r="S18">
            <v>82821.134999999995</v>
          </cell>
          <cell r="U18">
            <v>6163807.9770959811</v>
          </cell>
          <cell r="V18">
            <v>1053862.8206389514</v>
          </cell>
          <cell r="W18">
            <v>16526.104966684328</v>
          </cell>
          <cell r="X18">
            <v>334823.14287895564</v>
          </cell>
          <cell r="Y18">
            <v>249046.3226552413</v>
          </cell>
          <cell r="Z18">
            <v>8177.1719172218509</v>
          </cell>
        </row>
        <row r="19">
          <cell r="H19">
            <v>2.31043771529948E-2</v>
          </cell>
          <cell r="I19">
            <v>75957107.344999999</v>
          </cell>
          <cell r="J19">
            <v>2.3104377149899203E-2</v>
          </cell>
          <cell r="K19">
            <v>10373595.945</v>
          </cell>
          <cell r="L19">
            <v>2.3104377153551701E-2</v>
          </cell>
          <cell r="M19">
            <v>2550634.37</v>
          </cell>
          <cell r="N19">
            <v>2.3104377153986503E-2</v>
          </cell>
          <cell r="O19">
            <v>4299731.1500000004</v>
          </cell>
          <cell r="P19">
            <v>2.3104377131654148E-2</v>
          </cell>
          <cell r="Q19">
            <v>2114685.915</v>
          </cell>
          <cell r="R19">
            <v>2.3104377263177437E-2</v>
          </cell>
          <cell r="S19">
            <v>453179.625</v>
          </cell>
          <cell r="U19">
            <v>8979091.434437342</v>
          </cell>
          <cell r="V19">
            <v>1535208.5368385306</v>
          </cell>
          <cell r="W19">
            <v>24074.307327932027</v>
          </cell>
          <cell r="X19">
            <v>487751.66673707135</v>
          </cell>
          <cell r="Y19">
            <v>362796.78258007061</v>
          </cell>
          <cell r="Z19">
            <v>11912.047648577318</v>
          </cell>
        </row>
        <row r="20">
          <cell r="H20">
            <v>2.9304992644483955E-3</v>
          </cell>
          <cell r="I20">
            <v>9634202.4600000009</v>
          </cell>
          <cell r="J20">
            <v>2.9304992637007293E-3</v>
          </cell>
          <cell r="K20">
            <v>1315760</v>
          </cell>
          <cell r="L20">
            <v>2.9304992459699242E-3</v>
          </cell>
          <cell r="M20">
            <v>323515.84499999997</v>
          </cell>
          <cell r="N20">
            <v>2.9304992624299268E-3</v>
          </cell>
          <cell r="O20">
            <v>545366.745</v>
          </cell>
          <cell r="P20">
            <v>2.9304992520996285E-3</v>
          </cell>
          <cell r="Q20">
            <v>268221.27500000002</v>
          </cell>
          <cell r="R20">
            <v>2.9304993768342591E-3</v>
          </cell>
          <cell r="S20">
            <v>57480.13</v>
          </cell>
          <cell r="U20">
            <v>1300405.5646792443</v>
          </cell>
          <cell r="V20">
            <v>222338.05489397005</v>
          </cell>
          <cell r="W20">
            <v>3486.5847445290965</v>
          </cell>
          <cell r="X20">
            <v>70639.104884692555</v>
          </cell>
          <cell r="Y20">
            <v>52542.393443665074</v>
          </cell>
          <cell r="Z20">
            <v>1725.1737730973373</v>
          </cell>
        </row>
        <row r="21">
          <cell r="H21">
            <v>2.0540740478368442E-3</v>
          </cell>
          <cell r="I21">
            <v>6752898.8949999996</v>
          </cell>
          <cell r="J21">
            <v>2.0540740430941805E-3</v>
          </cell>
          <cell r="K21">
            <v>922255.29500000004</v>
          </cell>
          <cell r="L21">
            <v>2.0540740553286539E-3</v>
          </cell>
          <cell r="M21">
            <v>226761.875</v>
          </cell>
          <cell r="N21">
            <v>2.0540740550401308E-3</v>
          </cell>
          <cell r="O21">
            <v>382263.76500000001</v>
          </cell>
          <cell r="P21">
            <v>2.0540740400776946E-3</v>
          </cell>
          <cell r="Q21">
            <v>188004.26500000001</v>
          </cell>
          <cell r="R21">
            <v>2.0540740349394683E-3</v>
          </cell>
          <cell r="S21">
            <v>40289.53</v>
          </cell>
          <cell r="U21">
            <v>938843.22631850385</v>
          </cell>
          <cell r="V21">
            <v>160519.59670098999</v>
          </cell>
          <cell r="W21">
            <v>2517.1812235315783</v>
          </cell>
          <cell r="X21">
            <v>50998.739882010639</v>
          </cell>
          <cell r="Y21">
            <v>37933.604345436761</v>
          </cell>
          <cell r="Z21">
            <v>1245.5096741256064</v>
          </cell>
        </row>
        <row r="22">
          <cell r="H22">
            <v>1.7897398190793962E-2</v>
          </cell>
          <cell r="I22">
            <v>58838833.289999999</v>
          </cell>
          <cell r="J22">
            <v>1.7897398190023592E-2</v>
          </cell>
          <cell r="K22">
            <v>8035723.1050000004</v>
          </cell>
          <cell r="L22">
            <v>1.7897398186924724E-2</v>
          </cell>
          <cell r="M22">
            <v>1975803.92</v>
          </cell>
          <cell r="N22">
            <v>1.7897398184518618E-2</v>
          </cell>
          <cell r="O22">
            <v>3330710.8849999998</v>
          </cell>
          <cell r="P22">
            <v>1.7897398172949944E-2</v>
          </cell>
          <cell r="Q22">
            <v>1638104.14</v>
          </cell>
          <cell r="R22">
            <v>1.7897398162446086E-2</v>
          </cell>
          <cell r="S22">
            <v>351047.6</v>
          </cell>
          <cell r="U22">
            <v>8382309.7989134053</v>
          </cell>
          <cell r="V22">
            <v>1433173.2398182794</v>
          </cell>
          <cell r="W22">
            <v>22474.245160598784</v>
          </cell>
          <cell r="X22">
            <v>455333.99513518781</v>
          </cell>
          <cell r="Y22">
            <v>338684.04702638445</v>
          </cell>
          <cell r="Z22">
            <v>11120.331545666011</v>
          </cell>
        </row>
        <row r="23">
          <cell r="H23">
            <v>2.2157092195119424E-2</v>
          </cell>
          <cell r="I23">
            <v>72842847.879999995</v>
          </cell>
          <cell r="J23">
            <v>2.2157092193837862E-2</v>
          </cell>
          <cell r="K23">
            <v>9948276.0449999999</v>
          </cell>
          <cell r="L23">
            <v>2.2157092202474304E-2</v>
          </cell>
          <cell r="M23">
            <v>2446057.7549999999</v>
          </cell>
          <cell r="N23">
            <v>2.2157092194442857E-2</v>
          </cell>
          <cell r="O23">
            <v>4123441.15</v>
          </cell>
          <cell r="P23">
            <v>2.2157092179267077E-2</v>
          </cell>
          <cell r="Q23">
            <v>2027983.29</v>
          </cell>
          <cell r="R23">
            <v>2.2157092168157914E-2</v>
          </cell>
          <cell r="S23">
            <v>434599.15</v>
          </cell>
          <cell r="U23">
            <v>33643750.510409839</v>
          </cell>
          <cell r="V23">
            <v>5752271.6381697496</v>
          </cell>
          <cell r="W23">
            <v>90204.002862192763</v>
          </cell>
          <cell r="X23">
            <v>1827556.3297865989</v>
          </cell>
          <cell r="Y23">
            <v>1359362.9743306157</v>
          </cell>
          <cell r="Z23">
            <v>44633.241802149299</v>
          </cell>
        </row>
        <row r="24">
          <cell r="H24">
            <v>3.439886136458568E-3</v>
          </cell>
          <cell r="I24">
            <v>11308844.154999999</v>
          </cell>
          <cell r="J24">
            <v>3.4398861332167528E-3</v>
          </cell>
          <cell r="K24">
            <v>1544468.7649999999</v>
          </cell>
          <cell r="L24">
            <v>3.4398861507291181E-3</v>
          </cell>
          <cell r="M24">
            <v>379750.2</v>
          </cell>
          <cell r="N24">
            <v>3.4398861261275664E-3</v>
          </cell>
          <cell r="O24">
            <v>640163.78500000003</v>
          </cell>
          <cell r="P24">
            <v>3.4398861487419932E-3</v>
          </cell>
          <cell r="Q24">
            <v>314844.185</v>
          </cell>
          <cell r="R24">
            <v>3.4398861100190868E-3</v>
          </cell>
          <cell r="S24">
            <v>67471.47</v>
          </cell>
          <cell r="U24">
            <v>2877690.4130741693</v>
          </cell>
          <cell r="V24">
            <v>492015.80369102221</v>
          </cell>
          <cell r="W24">
            <v>7715.5248840978547</v>
          </cell>
          <cell r="X24">
            <v>156318.52126452609</v>
          </cell>
          <cell r="Y24">
            <v>116271.98929289493</v>
          </cell>
          <cell r="Z24">
            <v>3817.6674743419285</v>
          </cell>
        </row>
        <row r="25">
          <cell r="H25">
            <v>4.7021207699974525E-2</v>
          </cell>
          <cell r="I25">
            <v>154585206.82499999</v>
          </cell>
          <cell r="J25">
            <v>4.7021207703241058E-2</v>
          </cell>
          <cell r="K25">
            <v>21111973.995000001</v>
          </cell>
          <cell r="L25">
            <v>4.7021207703736065E-2</v>
          </cell>
          <cell r="M25">
            <v>5190960.47</v>
          </cell>
          <cell r="N25">
            <v>4.7021207689290787E-2</v>
          </cell>
          <cell r="O25">
            <v>8750660.1050000004</v>
          </cell>
          <cell r="P25">
            <v>4.7021207719329841E-2</v>
          </cell>
          <cell r="Q25">
            <v>4303733.665</v>
          </cell>
          <cell r="R25">
            <v>4.7021207639793249E-2</v>
          </cell>
          <cell r="S25">
            <v>922295.07</v>
          </cell>
          <cell r="U25">
            <v>48251117.891008437</v>
          </cell>
          <cell r="V25">
            <v>8249779.9069266645</v>
          </cell>
          <cell r="W25">
            <v>129368.57247820272</v>
          </cell>
          <cell r="X25">
            <v>2621040.5969366366</v>
          </cell>
          <cell r="Y25">
            <v>1949568.1110464695</v>
          </cell>
          <cell r="Z25">
            <v>64012.001616378555</v>
          </cell>
        </row>
        <row r="26">
          <cell r="H26">
            <v>6.9425035917535004E-3</v>
          </cell>
          <cell r="I26">
            <v>22823921.504999999</v>
          </cell>
          <cell r="J26">
            <v>6.942503594813426E-3</v>
          </cell>
          <cell r="K26">
            <v>3117103.165</v>
          </cell>
          <cell r="L26">
            <v>6.9425036084074182E-3</v>
          </cell>
          <cell r="M26">
            <v>766425.69499999995</v>
          </cell>
          <cell r="N26">
            <v>6.9425035912357861E-3</v>
          </cell>
          <cell r="O26">
            <v>1292001.8899999999</v>
          </cell>
          <cell r="P26">
            <v>6.9425036066458907E-3</v>
          </cell>
          <cell r="Q26">
            <v>635430.01</v>
          </cell>
          <cell r="R26">
            <v>6.942503526547605E-3</v>
          </cell>
          <cell r="S26">
            <v>136173.38</v>
          </cell>
          <cell r="U26">
            <v>3880498.0681800521</v>
          </cell>
          <cell r="V26">
            <v>663471.77829231566</v>
          </cell>
          <cell r="W26">
            <v>10404.204452192118</v>
          </cell>
          <cell r="X26">
            <v>210791.86177631456</v>
          </cell>
          <cell r="Y26">
            <v>156790.05211423396</v>
          </cell>
          <cell r="Z26">
            <v>5148.0351019801819</v>
          </cell>
        </row>
        <row r="27">
          <cell r="H27">
            <v>1.1304125468668874E-3</v>
          </cell>
          <cell r="I27">
            <v>3716303.0449999999</v>
          </cell>
          <cell r="J27">
            <v>1.1304125512818866E-3</v>
          </cell>
          <cell r="K27">
            <v>507542.05499999999</v>
          </cell>
          <cell r="L27">
            <v>1.1304125269341221E-3</v>
          </cell>
          <cell r="M27">
            <v>124793.19500000001</v>
          </cell>
          <cell r="N27">
            <v>1.13041254144459E-3</v>
          </cell>
          <cell r="O27">
            <v>210370.095</v>
          </cell>
          <cell r="P27">
            <v>1.1304125337815182E-3</v>
          </cell>
          <cell r="Q27">
            <v>103463.83500000001</v>
          </cell>
          <cell r="R27">
            <v>1.1304125963686488E-3</v>
          </cell>
          <cell r="S27">
            <v>22172.42</v>
          </cell>
          <cell r="U27">
            <v>760647.2788272032</v>
          </cell>
          <cell r="V27">
            <v>130052.37829518724</v>
          </cell>
          <cell r="W27">
            <v>2039.4108348656978</v>
          </cell>
          <cell r="X27">
            <v>41318.988759159991</v>
          </cell>
          <cell r="Y27">
            <v>30733.664697789969</v>
          </cell>
          <cell r="Z27">
            <v>1009.1072905660977</v>
          </cell>
        </row>
        <row r="28">
          <cell r="H28">
            <v>5.1639461677341356E-3</v>
          </cell>
          <cell r="I28">
            <v>16976801.010000002</v>
          </cell>
          <cell r="J28">
            <v>5.1639461719934741E-3</v>
          </cell>
          <cell r="K28">
            <v>2318551.62</v>
          </cell>
          <cell r="L28">
            <v>5.1639461720652015E-3</v>
          </cell>
          <cell r="M28">
            <v>570079.79500000004</v>
          </cell>
          <cell r="N28">
            <v>5.1639461764604287E-3</v>
          </cell>
          <cell r="O28">
            <v>961011.85</v>
          </cell>
          <cell r="P28">
            <v>5.1639461551103933E-3</v>
          </cell>
          <cell r="Q28">
            <v>472643.09</v>
          </cell>
          <cell r="R28">
            <v>5.1639462830166422E-3</v>
          </cell>
          <cell r="S28">
            <v>101287.96</v>
          </cell>
          <cell r="U28">
            <v>2175793.7339593237</v>
          </cell>
          <cell r="V28">
            <v>372008.36400475411</v>
          </cell>
          <cell r="W28">
            <v>5833.6333264889927</v>
          </cell>
          <cell r="X28">
            <v>118190.9136312562</v>
          </cell>
          <cell r="Y28">
            <v>87912.120285451267</v>
          </cell>
          <cell r="Z28">
            <v>2886.5012481102481</v>
          </cell>
        </row>
        <row r="29">
          <cell r="H29">
            <v>5.1356521485919756E-3</v>
          </cell>
          <cell r="I29">
            <v>16883782.625</v>
          </cell>
          <cell r="J29">
            <v>5.1356521521579521E-3</v>
          </cell>
          <cell r="K29">
            <v>2305847.9350000001</v>
          </cell>
          <cell r="L29">
            <v>5.1356521609333839E-3</v>
          </cell>
          <cell r="M29">
            <v>566956.245</v>
          </cell>
          <cell r="N29">
            <v>5.1356521573067554E-3</v>
          </cell>
          <cell r="O29">
            <v>955746.32499999995</v>
          </cell>
          <cell r="P29">
            <v>5.1356521456095523E-3</v>
          </cell>
          <cell r="Q29">
            <v>470053.41</v>
          </cell>
          <cell r="R29">
            <v>5.1356520900205822E-3</v>
          </cell>
          <cell r="S29">
            <v>100732.985</v>
          </cell>
          <cell r="U29">
            <v>8055206.6847835043</v>
          </cell>
          <cell r="V29">
            <v>1377246.4796437786</v>
          </cell>
          <cell r="W29">
            <v>21597.23205131193</v>
          </cell>
          <cell r="X29">
            <v>437565.48366866622</v>
          </cell>
          <cell r="Y29">
            <v>325467.56980875536</v>
          </cell>
          <cell r="Z29">
            <v>10686.382530894944</v>
          </cell>
        </row>
        <row r="30">
          <cell r="H30">
            <v>8.042105910752699E-2</v>
          </cell>
          <cell r="I30">
            <v>264389339.69</v>
          </cell>
          <cell r="J30">
            <v>8.0421059105829848E-2</v>
          </cell>
          <cell r="K30">
            <v>36108117.835000001</v>
          </cell>
          <cell r="L30">
            <v>8.042105908826841E-2</v>
          </cell>
          <cell r="M30">
            <v>8878175.5950000007</v>
          </cell>
          <cell r="N30">
            <v>8.0421059110259055E-2</v>
          </cell>
          <cell r="O30">
            <v>14966381.939999999</v>
          </cell>
          <cell r="P30">
            <v>8.0421059090701713E-2</v>
          </cell>
          <cell r="Q30">
            <v>7360738.6150000002</v>
          </cell>
          <cell r="R30">
            <v>8.0421059020424485E-2</v>
          </cell>
          <cell r="S30">
            <v>1577414.7450000001</v>
          </cell>
          <cell r="U30">
            <v>56898541.830505013</v>
          </cell>
          <cell r="V30">
            <v>9728281.2843223065</v>
          </cell>
          <cell r="W30">
            <v>152553.62889893653</v>
          </cell>
          <cell r="X30">
            <v>3090775.8112696898</v>
          </cell>
          <cell r="Y30">
            <v>2298963.994334056</v>
          </cell>
          <cell r="Z30">
            <v>75484.044946916969</v>
          </cell>
        </row>
        <row r="31">
          <cell r="H31">
            <v>2.0708092454272322E-3</v>
          </cell>
          <cell r="I31">
            <v>6807916.9199999999</v>
          </cell>
          <cell r="J31">
            <v>2.0708092438317871E-3</v>
          </cell>
          <cell r="K31">
            <v>929769.20499999996</v>
          </cell>
          <cell r="L31">
            <v>2.0708092398353957E-3</v>
          </cell>
          <cell r="M31">
            <v>228609.375</v>
          </cell>
          <cell r="N31">
            <v>2.0708092524995823E-3</v>
          </cell>
          <cell r="O31">
            <v>385378.19</v>
          </cell>
          <cell r="P31">
            <v>2.0708092286618909E-3</v>
          </cell>
          <cell r="Q31">
            <v>189535.995</v>
          </cell>
          <cell r="R31">
            <v>2.0708091470633596E-3</v>
          </cell>
          <cell r="S31">
            <v>40617.78</v>
          </cell>
          <cell r="U31">
            <v>792812.75301123702</v>
          </cell>
          <cell r="V31">
            <v>135551.90025900185</v>
          </cell>
          <cell r="W31">
            <v>2125.6513544671798</v>
          </cell>
          <cell r="X31">
            <v>43066.243897300119</v>
          </cell>
          <cell r="Y31">
            <v>32033.298478037916</v>
          </cell>
          <cell r="Z31">
            <v>1051.7793876170065</v>
          </cell>
        </row>
        <row r="32">
          <cell r="H32">
            <v>3.5645779099368544E-3</v>
          </cell>
          <cell r="I32">
            <v>11718776.279999999</v>
          </cell>
          <cell r="J32">
            <v>3.5645779124969189E-3</v>
          </cell>
          <cell r="K32">
            <v>1600453.92</v>
          </cell>
          <cell r="L32">
            <v>3.5645779044372137E-3</v>
          </cell>
          <cell r="M32">
            <v>393515.69</v>
          </cell>
          <cell r="N32">
            <v>3.564577902524855E-3</v>
          </cell>
          <cell r="O32">
            <v>663368.95999999996</v>
          </cell>
          <cell r="P32">
            <v>3.5645779058627457E-3</v>
          </cell>
          <cell r="Q32">
            <v>326256.90999999997</v>
          </cell>
          <cell r="R32">
            <v>3.5645778627323489E-3</v>
          </cell>
          <cell r="S32">
            <v>69917.23</v>
          </cell>
          <cell r="U32">
            <v>1505410.5574652627</v>
          </cell>
          <cell r="V32">
            <v>257388.97483588714</v>
          </cell>
          <cell r="W32">
            <v>4036.234253739196</v>
          </cell>
          <cell r="X32">
            <v>81775.145502043451</v>
          </cell>
          <cell r="Y32">
            <v>60825.542394612203</v>
          </cell>
          <cell r="Z32">
            <v>1997.142185502342</v>
          </cell>
        </row>
        <row r="33">
          <cell r="H33">
            <v>2.0457963385597474E-3</v>
          </cell>
          <cell r="I33">
            <v>6725685.4000000004</v>
          </cell>
          <cell r="J33">
            <v>2.0457963337011499E-3</v>
          </cell>
          <cell r="K33">
            <v>918538.7</v>
          </cell>
          <cell r="L33">
            <v>2.0457963212784265E-3</v>
          </cell>
          <cell r="M33">
            <v>225848.04500000001</v>
          </cell>
          <cell r="N33">
            <v>2.0457963406439509E-3</v>
          </cell>
          <cell r="O33">
            <v>380723.28</v>
          </cell>
          <cell r="P33">
            <v>2.0457963641145761E-3</v>
          </cell>
          <cell r="Q33">
            <v>187246.63</v>
          </cell>
          <cell r="R33">
            <v>2.0457964635626673E-3</v>
          </cell>
          <cell r="S33">
            <v>40127.17</v>
          </cell>
          <cell r="U33">
            <v>1137176.0797084097</v>
          </cell>
          <cell r="V33">
            <v>194429.74138355252</v>
          </cell>
          <cell r="W33">
            <v>3048.9417140664964</v>
          </cell>
          <cell r="X33">
            <v>61772.344373733657</v>
          </cell>
          <cell r="Y33">
            <v>45947.168035613344</v>
          </cell>
          <cell r="Z33">
            <v>1508.6265403597347</v>
          </cell>
        </row>
        <row r="34">
          <cell r="H34">
            <v>2.8536600265404808E-3</v>
          </cell>
          <cell r="I34">
            <v>9381588.5850000009</v>
          </cell>
          <cell r="J34">
            <v>2.8536600299820165E-3</v>
          </cell>
          <cell r="K34">
            <v>1281260.08</v>
          </cell>
          <cell r="L34">
            <v>2.8536600199615429E-3</v>
          </cell>
          <cell r="M34">
            <v>315033.09000000003</v>
          </cell>
          <cell r="N34">
            <v>2.8536600191324795E-3</v>
          </cell>
          <cell r="O34">
            <v>531066.93999999994</v>
          </cell>
          <cell r="P34">
            <v>2.8536600521141256E-3</v>
          </cell>
          <cell r="Q34">
            <v>261188.375</v>
          </cell>
          <cell r="R34">
            <v>2.8536601031445594E-3</v>
          </cell>
          <cell r="S34">
            <v>55972.97</v>
          </cell>
          <cell r="U34">
            <v>1329176.3139348116</v>
          </cell>
          <cell r="V34">
            <v>227257.16059535393</v>
          </cell>
          <cell r="W34">
            <v>3563.7234912153085</v>
          </cell>
          <cell r="X34">
            <v>72201.955759432167</v>
          </cell>
          <cell r="Y34">
            <v>53704.864651197873</v>
          </cell>
          <cell r="Z34">
            <v>1763.3422825194787</v>
          </cell>
        </row>
        <row r="35">
          <cell r="H35">
            <v>2.7195745105938834E-3</v>
          </cell>
          <cell r="I35">
            <v>8940773.9350000005</v>
          </cell>
          <cell r="J35">
            <v>2.719574510099822E-3</v>
          </cell>
          <cell r="K35">
            <v>1221057.2450000001</v>
          </cell>
          <cell r="L35">
            <v>2.7195745060017828E-3</v>
          </cell>
          <cell r="M35">
            <v>300230.565</v>
          </cell>
          <cell r="N35">
            <v>2.7195745171458199E-3</v>
          </cell>
          <cell r="O35">
            <v>506113.59</v>
          </cell>
          <cell r="P35">
            <v>2.7195745064060848E-3</v>
          </cell>
          <cell r="Q35">
            <v>248915.86</v>
          </cell>
          <cell r="R35">
            <v>2.7195745101132852E-3</v>
          </cell>
          <cell r="S35">
            <v>53342.955000000002</v>
          </cell>
          <cell r="U35">
            <v>1386691.3660845507</v>
          </cell>
          <cell r="V35">
            <v>237090.85030680365</v>
          </cell>
          <cell r="W35">
            <v>3717.9300778777847</v>
          </cell>
          <cell r="X35">
            <v>75326.220920705993</v>
          </cell>
          <cell r="Y35">
            <v>56028.738511065509</v>
          </cell>
          <cell r="Z35">
            <v>1839.644216486925</v>
          </cell>
        </row>
        <row r="36">
          <cell r="H36">
            <v>2.5221239259256217E-2</v>
          </cell>
          <cell r="I36">
            <v>82916425.969999999</v>
          </cell>
          <cell r="J36">
            <v>2.5221239260040492E-2</v>
          </cell>
          <cell r="K36">
            <v>11324042.35</v>
          </cell>
          <cell r="L36">
            <v>2.5221239265995132E-2</v>
          </cell>
          <cell r="M36">
            <v>2784327.8050000002</v>
          </cell>
          <cell r="N36">
            <v>2.5221239264739646E-2</v>
          </cell>
          <cell r="O36">
            <v>4693679.79</v>
          </cell>
          <cell r="P36">
            <v>2.522123923979035E-2</v>
          </cell>
          <cell r="Q36">
            <v>2308437.0150000001</v>
          </cell>
          <cell r="R36">
            <v>2.5221239195561469E-2</v>
          </cell>
          <cell r="S36">
            <v>494700.70500000002</v>
          </cell>
          <cell r="U36">
            <v>41425812.405944228</v>
          </cell>
          <cell r="V36">
            <v>7082816.93258671</v>
          </cell>
          <cell r="W36">
            <v>111068.89226509524</v>
          </cell>
          <cell r="X36">
            <v>2250284.3627856085</v>
          </cell>
          <cell r="Y36">
            <v>1673794.2325657937</v>
          </cell>
          <cell r="Z36">
            <v>54957.2587453616</v>
          </cell>
        </row>
        <row r="37">
          <cell r="H37">
            <v>4.8624005988842393E-3</v>
          </cell>
          <cell r="I37">
            <v>15985450.800000001</v>
          </cell>
          <cell r="J37">
            <v>4.8624006018403955E-3</v>
          </cell>
          <cell r="K37">
            <v>2183161.1749999998</v>
          </cell>
          <cell r="L37">
            <v>4.8624006118045023E-3</v>
          </cell>
          <cell r="M37">
            <v>536790.32499999995</v>
          </cell>
          <cell r="N37">
            <v>4.8624005861269927E-3</v>
          </cell>
          <cell r="O37">
            <v>904894.13</v>
          </cell>
          <cell r="P37">
            <v>4.8624006139777343E-3</v>
          </cell>
          <cell r="Q37">
            <v>445043.38</v>
          </cell>
          <cell r="R37">
            <v>4.8624007204162659E-3</v>
          </cell>
          <cell r="S37">
            <v>95373.31</v>
          </cell>
          <cell r="U37">
            <v>3297492.9367251927</v>
          </cell>
          <cell r="V37">
            <v>563791.93191081414</v>
          </cell>
          <cell r="W37">
            <v>8841.0791837962734</v>
          </cell>
          <cell r="X37">
            <v>179122.54125990174</v>
          </cell>
          <cell r="Y37">
            <v>133233.95098040602</v>
          </cell>
          <cell r="Z37">
            <v>4374.5954999932628</v>
          </cell>
        </row>
        <row r="38">
          <cell r="H38">
            <v>1.7827541222552111E-2</v>
          </cell>
          <cell r="I38">
            <v>58609174.07</v>
          </cell>
          <cell r="J38">
            <v>1.7827541220030201E-2</v>
          </cell>
          <cell r="K38">
            <v>8004358.1399999997</v>
          </cell>
          <cell r="L38">
            <v>1.7827541224107447E-2</v>
          </cell>
          <cell r="M38">
            <v>1968091.98</v>
          </cell>
          <cell r="N38">
            <v>1.7827541225031121E-2</v>
          </cell>
          <cell r="O38">
            <v>3317710.4849999999</v>
          </cell>
          <cell r="P38">
            <v>1.7827541245929328E-2</v>
          </cell>
          <cell r="Q38">
            <v>1631710.31</v>
          </cell>
          <cell r="R38">
            <v>1.782754124147818E-2</v>
          </cell>
          <cell r="S38">
            <v>349677.39500000002</v>
          </cell>
          <cell r="U38">
            <v>9229422.7848320752</v>
          </cell>
          <cell r="V38">
            <v>1578009.1730688706</v>
          </cell>
          <cell r="W38">
            <v>24745.483683270777</v>
          </cell>
          <cell r="X38">
            <v>501349.87255590147</v>
          </cell>
          <cell r="Y38">
            <v>372911.3258125647</v>
          </cell>
          <cell r="Z38">
            <v>12244.147950217874</v>
          </cell>
        </row>
        <row r="39">
          <cell r="H39">
            <v>3.8037956441703252E-3</v>
          </cell>
          <cell r="I39">
            <v>12505219.775</v>
          </cell>
          <cell r="J39">
            <v>3.8037956391355631E-3</v>
          </cell>
          <cell r="K39">
            <v>1707859.89</v>
          </cell>
          <cell r="L39">
            <v>3.8037956591256456E-3</v>
          </cell>
          <cell r="M39">
            <v>419924.41</v>
          </cell>
          <cell r="N39">
            <v>3.8037956460077182E-3</v>
          </cell>
          <cell r="O39">
            <v>707887.45</v>
          </cell>
          <cell r="P39">
            <v>3.8037956231177302E-3</v>
          </cell>
          <cell r="Q39">
            <v>348151.91</v>
          </cell>
          <cell r="R39">
            <v>3.8037956478787715E-3</v>
          </cell>
          <cell r="S39">
            <v>74609.354999999996</v>
          </cell>
          <cell r="U39">
            <v>1679166.6468178821</v>
          </cell>
          <cell r="V39">
            <v>287097.08435337699</v>
          </cell>
          <cell r="W39">
            <v>4502.100708682663</v>
          </cell>
          <cell r="X39">
            <v>91213.71986185186</v>
          </cell>
          <cell r="Y39">
            <v>67846.091258727407</v>
          </cell>
          <cell r="Z39">
            <v>2227.654462909456</v>
          </cell>
        </row>
        <row r="40">
          <cell r="H40">
            <v>3.6562210002390265E-3</v>
          </cell>
          <cell r="I40">
            <v>12020058.76</v>
          </cell>
          <cell r="J40">
            <v>3.6562210050394266E-3</v>
          </cell>
          <cell r="K40">
            <v>1641600.6</v>
          </cell>
          <cell r="L40">
            <v>3.6562209976648231E-3</v>
          </cell>
          <cell r="M40">
            <v>403632.73499999999</v>
          </cell>
          <cell r="N40">
            <v>3.6562209921184208E-3</v>
          </cell>
          <cell r="O40">
            <v>680423.76500000001</v>
          </cell>
          <cell r="P40">
            <v>3.6562210169814027E-3</v>
          </cell>
          <cell r="Q40">
            <v>334644.77500000002</v>
          </cell>
          <cell r="R40">
            <v>3.656221019155984E-3</v>
          </cell>
          <cell r="S40">
            <v>71714.759999999995</v>
          </cell>
          <cell r="U40">
            <v>307674.61517971044</v>
          </cell>
          <cell r="V40">
            <v>52604.954436795953</v>
          </cell>
          <cell r="W40">
            <v>824.9223539957992</v>
          </cell>
          <cell r="X40">
            <v>16713.139348490731</v>
          </cell>
          <cell r="Y40">
            <v>12431.476089067688</v>
          </cell>
          <cell r="Z40">
            <v>408.1743351250397</v>
          </cell>
        </row>
        <row r="41">
          <cell r="H41">
            <v>3.9344779604671221E-3</v>
          </cell>
          <cell r="I41">
            <v>12934846.189999999</v>
          </cell>
          <cell r="J41">
            <v>3.9344779637371305E-3</v>
          </cell>
          <cell r="K41">
            <v>1766534.73</v>
          </cell>
          <cell r="L41">
            <v>3.9344779748070931E-3</v>
          </cell>
          <cell r="M41">
            <v>434351.23499999999</v>
          </cell>
          <cell r="N41">
            <v>3.9344779559820544E-3</v>
          </cell>
          <cell r="O41">
            <v>732207.46499999997</v>
          </cell>
          <cell r="P41">
            <v>3.9344779840502896E-3</v>
          </cell>
          <cell r="Q41">
            <v>360112.94</v>
          </cell>
          <cell r="R41">
            <v>3.9344778824642566E-3</v>
          </cell>
          <cell r="S41">
            <v>77172.615000000005</v>
          </cell>
          <cell r="U41">
            <v>2396119.474578476</v>
          </cell>
          <cell r="V41">
            <v>409678.76310399105</v>
          </cell>
          <cell r="W41">
            <v>6424.3600866127008</v>
          </cell>
          <cell r="X41">
            <v>130159.18993145242</v>
          </cell>
          <cell r="Y41">
            <v>96814.298239629614</v>
          </cell>
          <cell r="Z41">
            <v>3178.7948214218659</v>
          </cell>
        </row>
        <row r="42">
          <cell r="H42">
            <v>5.407380559665745E-3</v>
          </cell>
          <cell r="I42">
            <v>17777107.035</v>
          </cell>
          <cell r="J42">
            <v>5.4073805560172156E-3</v>
          </cell>
          <cell r="K42">
            <v>2427850.8199999998</v>
          </cell>
          <cell r="L42">
            <v>5.4073805591692697E-3</v>
          </cell>
          <cell r="M42">
            <v>596954.01500000001</v>
          </cell>
          <cell r="N42">
            <v>5.4073805712193321E-3</v>
          </cell>
          <cell r="O42">
            <v>1006315.06</v>
          </cell>
          <cell r="P42">
            <v>5.4073805831160492E-3</v>
          </cell>
          <cell r="Q42">
            <v>494924.03499999997</v>
          </cell>
          <cell r="R42">
            <v>5.407380602658743E-3</v>
          </cell>
          <cell r="S42">
            <v>106062.79</v>
          </cell>
          <cell r="U42">
            <v>3128706.483159638</v>
          </cell>
          <cell r="V42">
            <v>534933.51050943136</v>
          </cell>
          <cell r="W42">
            <v>8388.5370768805842</v>
          </cell>
          <cell r="X42">
            <v>169953.92162278615</v>
          </cell>
          <cell r="Y42">
            <v>126414.19836469821</v>
          </cell>
          <cell r="Z42">
            <v>4150.6761544795199</v>
          </cell>
        </row>
        <row r="43">
          <cell r="H43">
            <v>1.2686214131127919E-2</v>
          </cell>
          <cell r="I43">
            <v>41706734.710000001</v>
          </cell>
          <cell r="J43">
            <v>1.2686214132083106E-2</v>
          </cell>
          <cell r="K43">
            <v>5695962.2249999996</v>
          </cell>
          <cell r="L43">
            <v>1.2686214137197541E-2</v>
          </cell>
          <cell r="M43">
            <v>1400509.2450000001</v>
          </cell>
          <cell r="N43">
            <v>1.2686214143552837E-2</v>
          </cell>
          <cell r="O43">
            <v>2360908.0550000002</v>
          </cell>
          <cell r="P43">
            <v>1.2686214139342018E-2</v>
          </cell>
          <cell r="Q43">
            <v>1161137.4850000001</v>
          </cell>
          <cell r="R43">
            <v>1.2686214253268685E-2</v>
          </cell>
          <cell r="S43">
            <v>248833.1</v>
          </cell>
          <cell r="U43">
            <v>7165081.4698223667</v>
          </cell>
          <cell r="V43">
            <v>1225056.4903958072</v>
          </cell>
          <cell r="W43">
            <v>19210.671212524925</v>
          </cell>
          <cell r="X43">
            <v>389213.1464225098</v>
          </cell>
          <cell r="Y43">
            <v>289502.39822772547</v>
          </cell>
          <cell r="Z43">
            <v>9505.504259274845</v>
          </cell>
        </row>
        <row r="44">
          <cell r="H44">
            <v>0.26254387381838928</v>
          </cell>
          <cell r="I44">
            <v>863129660.42499995</v>
          </cell>
          <cell r="J44">
            <v>0.2625438738237818</v>
          </cell>
          <cell r="K44">
            <v>117879138.105</v>
          </cell>
          <cell r="L44">
            <v>0.26254387380665256</v>
          </cell>
          <cell r="M44">
            <v>28983833.829999998</v>
          </cell>
          <cell r="N44">
            <v>0.26254387384492112</v>
          </cell>
          <cell r="O44">
            <v>48859489.484999999</v>
          </cell>
          <cell r="P44">
            <v>0.26254387379330896</v>
          </cell>
          <cell r="Q44">
            <v>24029984.829999998</v>
          </cell>
          <cell r="R44">
            <v>0.26254387371248888</v>
          </cell>
          <cell r="S44">
            <v>5149653.37</v>
          </cell>
          <cell r="U44">
            <v>244772858.71061108</v>
          </cell>
          <cell r="V44">
            <v>41850267.927742623</v>
          </cell>
          <cell r="W44">
            <v>656273.19525174121</v>
          </cell>
          <cell r="X44">
            <v>13296263.957198415</v>
          </cell>
          <cell r="Y44">
            <v>9889954.4849885553</v>
          </cell>
          <cell r="Z44">
            <v>324726.16826871556</v>
          </cell>
        </row>
        <row r="45">
          <cell r="H45">
            <v>1.3945740121180004E-3</v>
          </cell>
          <cell r="I45">
            <v>4584750.6399999997</v>
          </cell>
          <cell r="J45">
            <v>1.3945740103081675E-3</v>
          </cell>
          <cell r="K45">
            <v>626147.47</v>
          </cell>
          <cell r="L45">
            <v>1.3945739948698448E-3</v>
          </cell>
          <cell r="M45">
            <v>153955.60500000001</v>
          </cell>
          <cell r="N45">
            <v>1.3945740136538424E-3</v>
          </cell>
          <cell r="O45">
            <v>259530.62</v>
          </cell>
          <cell r="P45">
            <v>1.3945740106712052E-3</v>
          </cell>
          <cell r="Q45">
            <v>127641.875</v>
          </cell>
          <cell r="R45">
            <v>1.3945739832886418E-3</v>
          </cell>
          <cell r="S45">
            <v>27353.8</v>
          </cell>
          <cell r="U45">
            <v>1573167.9875395242</v>
          </cell>
          <cell r="V45">
            <v>268973.86467065295</v>
          </cell>
          <cell r="W45">
            <v>4217.9022105997838</v>
          </cell>
          <cell r="X45">
            <v>85455.785096133142</v>
          </cell>
          <cell r="Y45">
            <v>63563.255648378239</v>
          </cell>
          <cell r="Z45">
            <v>2087.0320971357373</v>
          </cell>
        </row>
        <row r="46">
          <cell r="H46">
            <v>5.8189583540360582E-3</v>
          </cell>
          <cell r="I46">
            <v>19130195.175000001</v>
          </cell>
          <cell r="J46">
            <v>5.8189583488149794E-3</v>
          </cell>
          <cell r="K46">
            <v>2612644.4500000002</v>
          </cell>
          <cell r="L46">
            <v>5.818958349715922E-3</v>
          </cell>
          <cell r="M46">
            <v>642390.62</v>
          </cell>
          <cell r="N46">
            <v>5.8189583418368123E-3</v>
          </cell>
          <cell r="O46">
            <v>1082909.8</v>
          </cell>
          <cell r="P46">
            <v>5.8189583530695354E-3</v>
          </cell>
          <cell r="Q46">
            <v>532594.72</v>
          </cell>
          <cell r="R46">
            <v>5.8189583166316236E-3</v>
          </cell>
          <cell r="S46">
            <v>114135.66</v>
          </cell>
          <cell r="U46">
            <v>11528278.135134986</v>
          </cell>
          <cell r="V46">
            <v>1971058.1117628678</v>
          </cell>
          <cell r="W46">
            <v>30909.063886207099</v>
          </cell>
          <cell r="X46">
            <v>626225.5948809121</v>
          </cell>
          <cell r="Y46">
            <v>465795.70401459374</v>
          </cell>
          <cell r="Z46">
            <v>15293.908014467754</v>
          </cell>
        </row>
        <row r="47">
          <cell r="H47">
            <v>2.8758962509314897E-3</v>
          </cell>
          <cell r="I47">
            <v>9454691.5850000009</v>
          </cell>
          <cell r="J47">
            <v>2.8758962533065066E-3</v>
          </cell>
          <cell r="K47">
            <v>1291243.885</v>
          </cell>
          <cell r="L47">
            <v>2.875896256633384E-3</v>
          </cell>
          <cell r="M47">
            <v>317487.88500000001</v>
          </cell>
          <cell r="N47">
            <v>2.8758962560207586E-3</v>
          </cell>
          <cell r="O47">
            <v>535205.11</v>
          </cell>
          <cell r="P47">
            <v>2.8758962648841768E-3</v>
          </cell>
          <cell r="Q47">
            <v>263223.59999999998</v>
          </cell>
          <cell r="R47">
            <v>2.875896262026007E-3</v>
          </cell>
          <cell r="S47">
            <v>56409.120000000003</v>
          </cell>
          <cell r="U47">
            <v>1762366.5673276314</v>
          </cell>
          <cell r="V47">
            <v>301322.2684005042</v>
          </cell>
          <cell r="W47">
            <v>4725.1723268565502</v>
          </cell>
          <cell r="X47">
            <v>95733.208297550707</v>
          </cell>
          <cell r="Y47">
            <v>71207.752479381423</v>
          </cell>
          <cell r="Z47">
            <v>2338.0310444050965</v>
          </cell>
        </row>
        <row r="48">
          <cell r="H48">
            <v>3.2226555439758848E-3</v>
          </cell>
          <cell r="I48">
            <v>10594684.785</v>
          </cell>
          <cell r="J48">
            <v>3.2226555477104396E-3</v>
          </cell>
          <cell r="K48">
            <v>1446934.7649999999</v>
          </cell>
          <cell r="L48">
            <v>3.2226555298308303E-3</v>
          </cell>
          <cell r="M48">
            <v>355768.77500000002</v>
          </cell>
          <cell r="N48">
            <v>3.2226555334004749E-3</v>
          </cell>
          <cell r="O48">
            <v>599737.11</v>
          </cell>
          <cell r="P48">
            <v>3.2226555388013209E-3</v>
          </cell>
          <cell r="Q48">
            <v>294961.61</v>
          </cell>
          <cell r="R48">
            <v>3.2226554326567004E-3</v>
          </cell>
          <cell r="S48">
            <v>63210.61</v>
          </cell>
          <cell r="U48">
            <v>1626363.302174689</v>
          </cell>
          <cell r="V48">
            <v>278068.98322958697</v>
          </cell>
          <cell r="W48">
            <v>4360.52692516961</v>
          </cell>
          <cell r="X48">
            <v>88345.398545929842</v>
          </cell>
          <cell r="Y48">
            <v>65712.592152955403</v>
          </cell>
          <cell r="Z48">
            <v>2157.6032821205408</v>
          </cell>
        </row>
        <row r="49">
          <cell r="H49">
            <v>9.2720853114895193E-3</v>
          </cell>
          <cell r="I49">
            <v>30482569.370000001</v>
          </cell>
          <cell r="J49">
            <v>9.2720853158560733E-3</v>
          </cell>
          <cell r="K49">
            <v>4163058.1949999998</v>
          </cell>
          <cell r="L49">
            <v>9.2720853150187691E-3</v>
          </cell>
          <cell r="M49">
            <v>1023602.5550000001</v>
          </cell>
          <cell r="N49">
            <v>9.2720853128843133E-3</v>
          </cell>
          <cell r="O49">
            <v>1725537.71</v>
          </cell>
          <cell r="P49">
            <v>9.2720853308383075E-3</v>
          </cell>
          <cell r="Q49">
            <v>848650.80500000005</v>
          </cell>
          <cell r="R49">
            <v>9.2720854309013018E-3</v>
          </cell>
          <cell r="S49">
            <v>181866.845</v>
          </cell>
          <cell r="U49">
            <v>4298427.0370957945</v>
          </cell>
          <cell r="V49">
            <v>734927.57374293602</v>
          </cell>
          <cell r="W49">
            <v>11524.735467204975</v>
          </cell>
          <cell r="X49">
            <v>233494.10873022728</v>
          </cell>
          <cell r="Y49">
            <v>173676.31353352629</v>
          </cell>
          <cell r="Z49">
            <v>5702.4775895966441</v>
          </cell>
        </row>
        <row r="50">
          <cell r="H50">
            <v>8.0282653571620653E-3</v>
          </cell>
          <cell r="I50">
            <v>26393432.27</v>
          </cell>
          <cell r="J50">
            <v>8.0282653540577047E-3</v>
          </cell>
          <cell r="K50">
            <v>3604597.5350000001</v>
          </cell>
          <cell r="L50">
            <v>8.0282653496259963E-3</v>
          </cell>
          <cell r="M50">
            <v>886289.61499999999</v>
          </cell>
          <cell r="N50">
            <v>8.0282653679346339E-3</v>
          </cell>
          <cell r="O50">
            <v>1494062.4650000001</v>
          </cell>
          <cell r="P50">
            <v>8.0282653531958612E-3</v>
          </cell>
          <cell r="Q50">
            <v>734807.07</v>
          </cell>
          <cell r="R50">
            <v>8.0282653652678036E-3</v>
          </cell>
          <cell r="S50">
            <v>157470</v>
          </cell>
          <cell r="U50">
            <v>8828310.7635289561</v>
          </cell>
          <cell r="V50">
            <v>1509428.6709290463</v>
          </cell>
          <cell r="W50">
            <v>23670.041457931147</v>
          </cell>
          <cell r="X50">
            <v>479561.13609326497</v>
          </cell>
          <cell r="Y50">
            <v>356704.54678090877</v>
          </cell>
          <cell r="Z50">
            <v>11712.01554628058</v>
          </cell>
        </row>
        <row r="51">
          <cell r="H51">
            <v>7.2199427408614639E-2</v>
          </cell>
          <cell r="I51">
            <v>237360203.28999999</v>
          </cell>
          <cell r="J51">
            <v>7.2199427405141639E-2</v>
          </cell>
          <cell r="K51">
            <v>32416701.065000001</v>
          </cell>
          <cell r="L51">
            <v>7.2199427400267871E-2</v>
          </cell>
          <cell r="M51">
            <v>7970539.0800000001</v>
          </cell>
          <cell r="N51">
            <v>7.2199427406569663E-2</v>
          </cell>
          <cell r="O51">
            <v>13436333.945</v>
          </cell>
          <cell r="P51">
            <v>7.2199427430225005E-2</v>
          </cell>
          <cell r="Q51">
            <v>6608233.21</v>
          </cell>
          <cell r="R51">
            <v>7.2199427273174369E-2</v>
          </cell>
          <cell r="S51">
            <v>1416151.97</v>
          </cell>
          <cell r="U51">
            <v>58191244.780715421</v>
          </cell>
          <cell r="V51">
            <v>9949302.377519777</v>
          </cell>
          <cell r="W51">
            <v>156019.56176467528</v>
          </cell>
          <cell r="X51">
            <v>3160996.5037712543</v>
          </cell>
          <cell r="Y51">
            <v>2351195.1665626182</v>
          </cell>
          <cell r="Z51">
            <v>77199.000101433412</v>
          </cell>
        </row>
        <row r="52">
          <cell r="H52">
            <v>0.13950769392075887</v>
          </cell>
          <cell r="I52">
            <v>458640404.47500002</v>
          </cell>
          <cell r="J52">
            <v>0.13950769391814705</v>
          </cell>
          <cell r="K52">
            <v>62637327.920000002</v>
          </cell>
          <cell r="L52">
            <v>0.13950769390229634</v>
          </cell>
          <cell r="M52">
            <v>15401112.810000001</v>
          </cell>
          <cell r="N52">
            <v>0.13950769392700119</v>
          </cell>
          <cell r="O52">
            <v>25962421.460000001</v>
          </cell>
          <cell r="P52">
            <v>0.13950769392903939</v>
          </cell>
          <cell r="Q52">
            <v>12768790.68</v>
          </cell>
          <cell r="R52">
            <v>0.13950769390483511</v>
          </cell>
          <cell r="S52">
            <v>2736366.52</v>
          </cell>
          <cell r="U52">
            <v>110994578.56723849</v>
          </cell>
          <cell r="V52">
            <v>18977401.645080511</v>
          </cell>
          <cell r="W52">
            <v>297593.31616934802</v>
          </cell>
          <cell r="X52">
            <v>6029317.2299499856</v>
          </cell>
          <cell r="Y52">
            <v>4484693.8336749813</v>
          </cell>
          <cell r="Z52">
            <v>147250.16648742426</v>
          </cell>
        </row>
        <row r="53">
          <cell r="H53">
            <v>3.7592415872311269E-2</v>
          </cell>
          <cell r="I53">
            <v>123587454.83</v>
          </cell>
          <cell r="J53">
            <v>3.7592415868039179E-2</v>
          </cell>
          <cell r="K53">
            <v>16878556.399999999</v>
          </cell>
          <cell r="L53">
            <v>3.7592415887362063E-2</v>
          </cell>
          <cell r="M53">
            <v>4150058.12</v>
          </cell>
          <cell r="N53">
            <v>3.7592415871864002E-2</v>
          </cell>
          <cell r="O53">
            <v>6995959.2699999996</v>
          </cell>
          <cell r="P53">
            <v>3.7592415882266778E-2</v>
          </cell>
          <cell r="Q53">
            <v>3440739.9049999998</v>
          </cell>
          <cell r="R53">
            <v>3.7592415791568801E-2</v>
          </cell>
          <cell r="S53">
            <v>737354.51500000001</v>
          </cell>
          <cell r="U53">
            <v>31148847.00836198</v>
          </cell>
          <cell r="V53">
            <v>5325703.1837889049</v>
          </cell>
          <cell r="W53">
            <v>83514.787800691629</v>
          </cell>
          <cell r="X53">
            <v>1692031.1098512197</v>
          </cell>
          <cell r="Y53">
            <v>1258557.3449415178</v>
          </cell>
          <cell r="Z53">
            <v>41323.39585481723</v>
          </cell>
        </row>
        <row r="54">
          <cell r="H54">
            <v>1.2160494015738833E-2</v>
          </cell>
          <cell r="I54">
            <v>39978396.439999998</v>
          </cell>
          <cell r="J54">
            <v>1.2160494021042871E-2</v>
          </cell>
          <cell r="K54">
            <v>5459920.0250000004</v>
          </cell>
          <cell r="L54">
            <v>1.2160494009399796E-2</v>
          </cell>
          <cell r="M54">
            <v>1342471.7649999999</v>
          </cell>
          <cell r="N54">
            <v>1.2160494016226217E-2</v>
          </cell>
          <cell r="O54">
            <v>2263071.39</v>
          </cell>
          <cell r="P54">
            <v>1.2160494009804783E-2</v>
          </cell>
          <cell r="Q54">
            <v>1113019.635</v>
          </cell>
          <cell r="R54">
            <v>1.2160493897702466E-2</v>
          </cell>
          <cell r="S54">
            <v>238521.38500000001</v>
          </cell>
          <cell r="U54">
            <v>13808906.554669958</v>
          </cell>
          <cell r="V54">
            <v>2360990.6839603637</v>
          </cell>
          <cell r="W54">
            <v>37023.774920569267</v>
          </cell>
          <cell r="X54">
            <v>750111.2152644872</v>
          </cell>
          <cell r="Y54">
            <v>557943.62999456865</v>
          </cell>
          <cell r="Z54">
            <v>18319.48745093582</v>
          </cell>
        </row>
        <row r="55">
          <cell r="H55">
            <v>2.4490768696581217E-3</v>
          </cell>
          <cell r="I55">
            <v>8051495.7599999998</v>
          </cell>
          <cell r="J55">
            <v>2.449076873168509E-3</v>
          </cell>
          <cell r="K55">
            <v>1099606.96</v>
          </cell>
          <cell r="L55">
            <v>2.4490768571672123E-3</v>
          </cell>
          <cell r="M55">
            <v>270368.66499999998</v>
          </cell>
          <cell r="N55">
            <v>2.4490768643856552E-3</v>
          </cell>
          <cell r="O55">
            <v>455773.9</v>
          </cell>
          <cell r="P55">
            <v>2.4490768465131431E-3</v>
          </cell>
          <cell r="Q55">
            <v>224157.88500000001</v>
          </cell>
          <cell r="R55">
            <v>2.4490769777713354E-3</v>
          </cell>
          <cell r="S55">
            <v>48037.294999999998</v>
          </cell>
          <cell r="U55">
            <v>2447587.8611041796</v>
          </cell>
          <cell r="V55">
            <v>418478.61851792765</v>
          </cell>
          <cell r="W55">
            <v>6562.3546447414246</v>
          </cell>
          <cell r="X55">
            <v>132954.99521926802</v>
          </cell>
          <cell r="Y55">
            <v>98893.858869171498</v>
          </cell>
          <cell r="Z55">
            <v>3247.074989539788</v>
          </cell>
        </row>
        <row r="56">
          <cell r="H56">
            <v>3.3169607729599013E-3</v>
          </cell>
          <cell r="I56">
            <v>10904719.215</v>
          </cell>
          <cell r="J56">
            <v>3.316960769518487E-3</v>
          </cell>
          <cell r="K56">
            <v>1489276.71</v>
          </cell>
          <cell r="L56">
            <v>3.31696076290942E-3</v>
          </cell>
          <cell r="M56">
            <v>366179.71</v>
          </cell>
          <cell r="N56">
            <v>3.3169607629400496E-3</v>
          </cell>
          <cell r="O56">
            <v>617287.34</v>
          </cell>
          <cell r="P56">
            <v>3.3169607459646341E-3</v>
          </cell>
          <cell r="Q56">
            <v>303593.13</v>
          </cell>
          <cell r="R56">
            <v>3.3169606572587031E-3</v>
          </cell>
          <cell r="S56">
            <v>65060.355000000003</v>
          </cell>
          <cell r="U56">
            <v>2090630.6233089862</v>
          </cell>
          <cell r="V56">
            <v>357447.52169138979</v>
          </cell>
          <cell r="W56">
            <v>5605.2980974996044</v>
          </cell>
          <cell r="X56">
            <v>113564.78308480646</v>
          </cell>
          <cell r="Y56">
            <v>84471.137112036347</v>
          </cell>
          <cell r="Z56">
            <v>2773.5202144082059</v>
          </cell>
        </row>
      </sheetData>
      <sheetData sheetId="5">
        <row r="7">
          <cell r="L7">
            <v>42802.935535194272</v>
          </cell>
        </row>
        <row r="8">
          <cell r="L8">
            <v>56160.46355399974</v>
          </cell>
        </row>
        <row r="9">
          <cell r="L9">
            <v>49156.865432194929</v>
          </cell>
        </row>
        <row r="10">
          <cell r="L10">
            <v>476187.80150096165</v>
          </cell>
        </row>
        <row r="11">
          <cell r="L11">
            <v>287561.86642714794</v>
          </cell>
        </row>
        <row r="12">
          <cell r="L12">
            <v>7965209.5214382075</v>
          </cell>
        </row>
        <row r="13">
          <cell r="L13">
            <v>254796.42132813635</v>
          </cell>
        </row>
        <row r="14">
          <cell r="L14">
            <v>67169.015934654832</v>
          </cell>
        </row>
        <row r="15">
          <cell r="L15">
            <v>1345481.9836894465</v>
          </cell>
        </row>
        <row r="16">
          <cell r="L16">
            <v>908132.37161493301</v>
          </cell>
        </row>
        <row r="17">
          <cell r="L17">
            <v>150754.83522571094</v>
          </cell>
        </row>
        <row r="18">
          <cell r="L18">
            <v>203630.93326169293</v>
          </cell>
        </row>
        <row r="19">
          <cell r="L19">
            <v>706932.64026640553</v>
          </cell>
        </row>
        <row r="20">
          <cell r="L20">
            <v>569585.24526137323</v>
          </cell>
        </row>
        <row r="21">
          <cell r="L21">
            <v>48205.603932521015</v>
          </cell>
        </row>
        <row r="22">
          <cell r="L22">
            <v>54066.830980901665</v>
          </cell>
        </row>
        <row r="23">
          <cell r="L23">
            <v>609084.85899859946</v>
          </cell>
        </row>
        <row r="24">
          <cell r="L24">
            <v>4078754.2838654723</v>
          </cell>
        </row>
        <row r="25">
          <cell r="L25">
            <v>127382.82878420454</v>
          </cell>
        </row>
        <row r="26">
          <cell r="L26">
            <v>5583952.4803302735</v>
          </cell>
        </row>
        <row r="27">
          <cell r="L27">
            <v>239178.95710917766</v>
          </cell>
        </row>
        <row r="28">
          <cell r="L28">
            <v>33237.828249108206</v>
          </cell>
        </row>
        <row r="29">
          <cell r="L29">
            <v>114969.57793194539</v>
          </cell>
        </row>
        <row r="30">
          <cell r="L30">
            <v>1102125.8613384173</v>
          </cell>
        </row>
        <row r="31">
          <cell r="L31">
            <v>7650730.813143786</v>
          </cell>
        </row>
        <row r="32">
          <cell r="L32">
            <v>38511.290202703167</v>
          </cell>
        </row>
        <row r="33">
          <cell r="L33">
            <v>184594.64506881146</v>
          </cell>
        </row>
        <row r="34">
          <cell r="L34">
            <v>43470.351880105824</v>
          </cell>
        </row>
        <row r="35">
          <cell r="L35">
            <v>101868.84732144751</v>
          </cell>
        </row>
        <row r="36">
          <cell r="L36">
            <v>69045.644325518486</v>
          </cell>
        </row>
        <row r="37">
          <cell r="L37">
            <v>5060270.4018959021</v>
          </cell>
        </row>
        <row r="38">
          <cell r="L38">
            <v>135884.88434692187</v>
          </cell>
        </row>
        <row r="39">
          <cell r="L39">
            <v>1031524.4327715746</v>
          </cell>
        </row>
        <row r="40">
          <cell r="L40">
            <v>94994.538240393493</v>
          </cell>
        </row>
        <row r="41">
          <cell r="L41">
            <v>19599.906767912547</v>
          </cell>
        </row>
        <row r="42">
          <cell r="L42">
            <v>131366.37124916774</v>
          </cell>
        </row>
        <row r="43">
          <cell r="L43">
            <v>134998.48091690816</v>
          </cell>
        </row>
        <row r="44">
          <cell r="L44">
            <v>803196.15908329084</v>
          </cell>
        </row>
        <row r="45">
          <cell r="L45">
            <v>16673240.189470168</v>
          </cell>
        </row>
        <row r="46">
          <cell r="L46">
            <v>49591.227351494948</v>
          </cell>
        </row>
        <row r="47">
          <cell r="L47">
            <v>1495143.7702730573</v>
          </cell>
        </row>
        <row r="48">
          <cell r="L48">
            <v>93639.466688026558</v>
          </cell>
        </row>
        <row r="49">
          <cell r="L49">
            <v>66485.406207908556</v>
          </cell>
        </row>
        <row r="50">
          <cell r="L50">
            <v>448653.3253113078</v>
          </cell>
        </row>
        <row r="51">
          <cell r="L51">
            <v>908911.61624855688</v>
          </cell>
        </row>
        <row r="52">
          <cell r="L52">
            <v>5542930.9899037806</v>
          </cell>
        </row>
        <row r="53">
          <cell r="L53">
            <v>4090687.019369707</v>
          </cell>
        </row>
        <row r="54">
          <cell r="L54">
            <v>3677965.5894749006</v>
          </cell>
        </row>
        <row r="55">
          <cell r="L55">
            <v>784534.93740832806</v>
          </cell>
        </row>
        <row r="56">
          <cell r="L56">
            <v>79003.25629594583</v>
          </cell>
        </row>
        <row r="57">
          <cell r="L57">
            <v>91110.881337142899</v>
          </cell>
        </row>
      </sheetData>
      <sheetData sheetId="6">
        <row r="5">
          <cell r="R5">
            <v>2.0255344149486366E-2</v>
          </cell>
        </row>
        <row r="6">
          <cell r="R6">
            <v>2.0363992955721995E-2</v>
          </cell>
        </row>
        <row r="7">
          <cell r="R7">
            <v>9.4775529253049735E-3</v>
          </cell>
        </row>
        <row r="8">
          <cell r="R8">
            <v>2.00678603638779E-2</v>
          </cell>
        </row>
        <row r="9">
          <cell r="R9">
            <v>5.8403309934852606E-3</v>
          </cell>
        </row>
        <row r="10">
          <cell r="R10">
            <v>4.6893145957266576E-2</v>
          </cell>
        </row>
        <row r="11">
          <cell r="R11">
            <v>1.3819082394210924E-2</v>
          </cell>
        </row>
        <row r="12">
          <cell r="R12">
            <v>1.9007353073594545E-2</v>
          </cell>
        </row>
        <row r="13">
          <cell r="R13">
            <v>2.2071330855877525E-2</v>
          </cell>
        </row>
        <row r="14">
          <cell r="R14">
            <v>8.7758547334047237E-3</v>
          </cell>
        </row>
        <row r="15">
          <cell r="R15">
            <v>1.0362695524959767E-2</v>
          </cell>
        </row>
        <row r="16">
          <cell r="R16">
            <v>2.0722154824250875E-2</v>
          </cell>
        </row>
        <row r="17">
          <cell r="R17">
            <v>1.2298821655430586E-2</v>
          </cell>
        </row>
        <row r="18">
          <cell r="R18">
            <v>9.964046392477395E-3</v>
          </cell>
        </row>
        <row r="19">
          <cell r="R19">
            <v>1.0094330190600961E-2</v>
          </cell>
        </row>
        <row r="20">
          <cell r="R20">
            <v>3.3343806318673133E-2</v>
          </cell>
        </row>
        <row r="21">
          <cell r="R21">
            <v>6.1349940824033024E-3</v>
          </cell>
        </row>
        <row r="22">
          <cell r="R22">
            <v>2.0853136104429359E-2</v>
          </cell>
        </row>
        <row r="23">
          <cell r="R23">
            <v>0.11324169564391998</v>
          </cell>
        </row>
        <row r="24">
          <cell r="R24">
            <v>2.8822545753794962E-2</v>
          </cell>
        </row>
        <row r="25">
          <cell r="R25">
            <v>1.9241613696747054E-2</v>
          </cell>
        </row>
        <row r="26">
          <cell r="R26">
            <v>1.2975191814231889E-2</v>
          </cell>
        </row>
        <row r="27">
          <cell r="R27">
            <v>8.3881904348373729E-3</v>
          </cell>
        </row>
        <row r="28">
          <cell r="R28">
            <v>1.7132101490239304E-2</v>
          </cell>
        </row>
        <row r="29">
          <cell r="R29">
            <v>3.0073234148508595E-2</v>
          </cell>
        </row>
        <row r="30">
          <cell r="R30">
            <v>9.8554240635855776E-3</v>
          </cell>
        </row>
        <row r="31">
          <cell r="R31">
            <v>8.3986613891955941E-3</v>
          </cell>
        </row>
        <row r="32">
          <cell r="R32">
            <v>2.5985034249265137E-2</v>
          </cell>
        </row>
        <row r="33">
          <cell r="R33">
            <v>1.1356103805145687E-2</v>
          </cell>
        </row>
        <row r="34">
          <cell r="R34">
            <v>1.075534577851898E-2</v>
          </cell>
        </row>
        <row r="35">
          <cell r="R35">
            <v>2.1117484834013659E-2</v>
          </cell>
        </row>
        <row r="36">
          <cell r="R36">
            <v>9.6719811224526293E-3</v>
          </cell>
        </row>
        <row r="37">
          <cell r="R37">
            <v>1.5356971417570198E-2</v>
          </cell>
        </row>
        <row r="38">
          <cell r="R38">
            <v>1.4078413197982816E-2</v>
          </cell>
        </row>
        <row r="39">
          <cell r="R39">
            <v>1.228004950448997E-2</v>
          </cell>
        </row>
        <row r="40">
          <cell r="R40">
            <v>1.9931024137995263E-2</v>
          </cell>
        </row>
        <row r="41">
          <cell r="R41">
            <v>6.3017523106560832E-3</v>
          </cell>
        </row>
        <row r="42">
          <cell r="R42">
            <v>1.906066036882877E-2</v>
          </cell>
        </row>
        <row r="43">
          <cell r="R43">
            <v>0</v>
          </cell>
        </row>
        <row r="44">
          <cell r="R44">
            <v>8.6371950766963232E-3</v>
          </cell>
        </row>
        <row r="45">
          <cell r="R45">
            <v>1.512848895901671E-2</v>
          </cell>
        </row>
        <row r="46">
          <cell r="R46">
            <v>9.5270405121565035E-3</v>
          </cell>
        </row>
        <row r="47">
          <cell r="R47">
            <v>1.7105712654111635E-2</v>
          </cell>
        </row>
        <row r="48">
          <cell r="R48">
            <v>1.4289087422976245E-2</v>
          </cell>
        </row>
        <row r="49">
          <cell r="R49">
            <v>1.5298243767138356E-2</v>
          </cell>
        </row>
        <row r="50">
          <cell r="R50">
            <v>4.5971224865956797E-2</v>
          </cell>
        </row>
        <row r="51">
          <cell r="R51">
            <v>8.161439280914165E-2</v>
          </cell>
        </row>
        <row r="52">
          <cell r="R52">
            <v>2.7386765771147847E-2</v>
          </cell>
        </row>
        <row r="53">
          <cell r="R53">
            <v>2.5417662518267221E-2</v>
          </cell>
        </row>
        <row r="54">
          <cell r="R54">
            <v>8.3587585772133249E-3</v>
          </cell>
        </row>
        <row r="55">
          <cell r="R55">
            <v>6.8961144087416344E-3</v>
          </cell>
        </row>
      </sheetData>
      <sheetData sheetId="7">
        <row r="4">
          <cell r="D4">
            <v>8170.24</v>
          </cell>
        </row>
        <row r="5">
          <cell r="D5">
            <v>7679.66</v>
          </cell>
        </row>
        <row r="6">
          <cell r="D6">
            <v>439.35</v>
          </cell>
        </row>
        <row r="7">
          <cell r="D7">
            <v>569769.51</v>
          </cell>
        </row>
        <row r="8">
          <cell r="D8">
            <v>83470.929999999993</v>
          </cell>
        </row>
        <row r="9">
          <cell r="D9">
            <v>6703812.6200000001</v>
          </cell>
        </row>
        <row r="10">
          <cell r="D10">
            <v>25198.02</v>
          </cell>
        </row>
        <row r="11">
          <cell r="D11">
            <v>4021.77</v>
          </cell>
        </row>
        <row r="12">
          <cell r="D12">
            <v>428913.5</v>
          </cell>
        </row>
        <row r="13">
          <cell r="D13">
            <v>182873.74</v>
          </cell>
        </row>
        <row r="14">
          <cell r="D14">
            <v>16612.62</v>
          </cell>
        </row>
        <row r="15">
          <cell r="D15">
            <v>17756.060000000001</v>
          </cell>
        </row>
        <row r="16">
          <cell r="D16">
            <v>1085795.69</v>
          </cell>
        </row>
        <row r="17">
          <cell r="D17">
            <v>3719.31</v>
          </cell>
        </row>
        <row r="18">
          <cell r="D18">
            <v>772.81</v>
          </cell>
        </row>
        <row r="19">
          <cell r="D19">
            <v>14323.26</v>
          </cell>
        </row>
        <row r="20">
          <cell r="D20">
            <v>21888.080000000002</v>
          </cell>
        </row>
        <row r="21">
          <cell r="D21">
            <v>4638924.09</v>
          </cell>
        </row>
        <row r="22">
          <cell r="D22">
            <v>8724.5400000000009</v>
          </cell>
        </row>
        <row r="23">
          <cell r="D23">
            <v>2362515.63</v>
          </cell>
        </row>
        <row r="24">
          <cell r="D24">
            <v>75844.600000000006</v>
          </cell>
        </row>
        <row r="25">
          <cell r="D25">
            <v>731.38</v>
          </cell>
        </row>
        <row r="26">
          <cell r="D26">
            <v>67.739999999999995</v>
          </cell>
        </row>
        <row r="27">
          <cell r="D27">
            <v>106764.6</v>
          </cell>
        </row>
        <row r="28">
          <cell r="D28">
            <v>2811999.1</v>
          </cell>
        </row>
        <row r="29">
          <cell r="D29">
            <v>539.23</v>
          </cell>
        </row>
        <row r="30">
          <cell r="D30">
            <v>3141.21</v>
          </cell>
        </row>
        <row r="31">
          <cell r="D31">
            <v>4246.5200000000004</v>
          </cell>
        </row>
        <row r="32">
          <cell r="D32">
            <v>19218.310000000001</v>
          </cell>
        </row>
        <row r="33">
          <cell r="D33">
            <v>372.18</v>
          </cell>
        </row>
        <row r="34">
          <cell r="D34">
            <v>1482900.88</v>
          </cell>
        </row>
        <row r="35">
          <cell r="D35">
            <v>40236.949999999997</v>
          </cell>
        </row>
        <row r="36">
          <cell r="D36">
            <v>156004.93</v>
          </cell>
        </row>
        <row r="37">
          <cell r="D37">
            <v>45859.76</v>
          </cell>
        </row>
        <row r="38">
          <cell r="D38">
            <v>1623.78</v>
          </cell>
        </row>
        <row r="39">
          <cell r="D39">
            <v>28.89</v>
          </cell>
        </row>
        <row r="40">
          <cell r="D40">
            <v>12093.94</v>
          </cell>
        </row>
        <row r="41">
          <cell r="D41">
            <v>620137.06999999995</v>
          </cell>
        </row>
        <row r="42">
          <cell r="D42">
            <v>12851914.48</v>
          </cell>
        </row>
        <row r="43">
          <cell r="D43">
            <v>2559.9299999999998</v>
          </cell>
        </row>
        <row r="44">
          <cell r="D44">
            <v>476966.77</v>
          </cell>
        </row>
        <row r="45">
          <cell r="D45">
            <v>41719.550000000003</v>
          </cell>
        </row>
        <row r="46">
          <cell r="D46">
            <v>1944.14</v>
          </cell>
        </row>
        <row r="47">
          <cell r="D47">
            <v>59768.05</v>
          </cell>
        </row>
        <row r="48">
          <cell r="D48">
            <v>688472.08</v>
          </cell>
        </row>
        <row r="49">
          <cell r="D49">
            <v>1739699.83</v>
          </cell>
        </row>
        <row r="50">
          <cell r="D50">
            <v>7299550.5999999996</v>
          </cell>
        </row>
        <row r="51">
          <cell r="D51">
            <v>2622316.0499999998</v>
          </cell>
        </row>
        <row r="52">
          <cell r="D52">
            <v>2520708.0699999998</v>
          </cell>
        </row>
        <row r="53">
          <cell r="D53">
            <v>11108.17</v>
          </cell>
        </row>
        <row r="54">
          <cell r="D54">
            <v>8823.19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zoomScaleNormal="100" zoomScaleSheetLayoutView="100" workbookViewId="0">
      <pane xSplit="1" topLeftCell="B1" activePane="topRight" state="frozen"/>
      <selection pane="topRight" activeCell="M4" sqref="M4"/>
    </sheetView>
  </sheetViews>
  <sheetFormatPr baseColWidth="10" defaultColWidth="11.42578125" defaultRowHeight="12.75"/>
  <cols>
    <col min="1" max="1" width="50.5703125" style="11" customWidth="1"/>
    <col min="2" max="2" width="18.28515625" style="11" customWidth="1"/>
    <col min="3" max="3" width="14.85546875" style="11" customWidth="1"/>
    <col min="4" max="5" width="17.28515625" style="11" customWidth="1"/>
    <col min="6" max="6" width="3.28515625" style="11" customWidth="1"/>
    <col min="7" max="9" width="17.28515625" style="11" customWidth="1"/>
    <col min="10" max="10" width="3.85546875" style="11" customWidth="1"/>
    <col min="11" max="11" width="4.85546875" style="11" customWidth="1"/>
    <col min="12" max="12" width="11.42578125" style="11"/>
    <col min="13" max="13" width="14.5703125" style="11" customWidth="1"/>
    <col min="14" max="14" width="11.42578125" style="11"/>
    <col min="15" max="15" width="13.140625" style="11" customWidth="1"/>
    <col min="16" max="16384" width="11.42578125" style="11"/>
  </cols>
  <sheetData>
    <row r="1" spans="1:15" ht="27.75" customHeight="1">
      <c r="A1" s="430" t="s">
        <v>360</v>
      </c>
      <c r="B1" s="430"/>
      <c r="C1" s="430"/>
      <c r="D1" s="430"/>
      <c r="E1" s="430"/>
      <c r="F1" s="321"/>
      <c r="G1" s="321"/>
      <c r="H1" s="321" t="s">
        <v>328</v>
      </c>
      <c r="I1" s="321"/>
      <c r="M1" s="431" t="s">
        <v>337</v>
      </c>
      <c r="N1" s="431"/>
      <c r="O1" s="431"/>
    </row>
    <row r="2" spans="1:15">
      <c r="M2" s="348"/>
      <c r="N2" s="348"/>
      <c r="O2" s="348"/>
    </row>
    <row r="3" spans="1:15" ht="49.5" customHeight="1">
      <c r="A3" s="219" t="s">
        <v>103</v>
      </c>
      <c r="B3" s="219" t="s">
        <v>153</v>
      </c>
      <c r="C3" s="219" t="s">
        <v>104</v>
      </c>
      <c r="D3" s="219" t="s">
        <v>105</v>
      </c>
      <c r="E3" s="219" t="s">
        <v>116</v>
      </c>
      <c r="F3" s="322"/>
      <c r="G3" s="219" t="s">
        <v>249</v>
      </c>
      <c r="H3" s="219" t="s">
        <v>249</v>
      </c>
      <c r="I3" s="219" t="s">
        <v>250</v>
      </c>
      <c r="M3" s="219" t="s">
        <v>153</v>
      </c>
      <c r="N3" s="219" t="s">
        <v>105</v>
      </c>
      <c r="O3" s="219" t="s">
        <v>116</v>
      </c>
    </row>
    <row r="4" spans="1:15" ht="25.5" customHeight="1">
      <c r="A4" s="182" t="s">
        <v>106</v>
      </c>
      <c r="B4" s="326">
        <v>2906698508</v>
      </c>
      <c r="C4" s="327">
        <f t="shared" ref="C4:C9" si="0">+B4</f>
        <v>2906698508</v>
      </c>
      <c r="D4" s="328">
        <v>20</v>
      </c>
      <c r="E4" s="329">
        <f t="shared" ref="E4:E13" si="1">+D4/100*C4</f>
        <v>581339701.60000002</v>
      </c>
      <c r="F4" s="323"/>
      <c r="G4" s="221">
        <v>6575127028.2700005</v>
      </c>
      <c r="H4" s="221">
        <f>+G4/12</f>
        <v>547927252.35583341</v>
      </c>
      <c r="I4" s="221">
        <f>+E4-H4</f>
        <v>33412449.244166613</v>
      </c>
      <c r="M4" s="376">
        <v>-14193618.439999999</v>
      </c>
      <c r="N4" s="328">
        <v>20</v>
      </c>
      <c r="O4" s="221">
        <f>+N4/100*M4</f>
        <v>-2838723.6880000001</v>
      </c>
    </row>
    <row r="5" spans="1:15" ht="25.5" customHeight="1">
      <c r="A5" s="182" t="s">
        <v>127</v>
      </c>
      <c r="B5" s="326">
        <v>78729588</v>
      </c>
      <c r="C5" s="327">
        <f t="shared" si="0"/>
        <v>78729588</v>
      </c>
      <c r="D5" s="328">
        <v>100</v>
      </c>
      <c r="E5" s="329">
        <f t="shared" si="1"/>
        <v>78729588</v>
      </c>
      <c r="F5" s="323"/>
      <c r="G5" s="221">
        <v>897976680.16000021</v>
      </c>
      <c r="H5" s="221">
        <f t="shared" ref="H5:H9" si="2">+G5/12</f>
        <v>74831390.01333335</v>
      </c>
      <c r="I5" s="221">
        <f t="shared" ref="I5:I9" si="3">+E5-H5</f>
        <v>3898197.9866666496</v>
      </c>
      <c r="M5" s="377">
        <f>SUM(M4:M4)</f>
        <v>-14193618.439999999</v>
      </c>
      <c r="N5" s="226"/>
      <c r="O5" s="228">
        <f>SUM(O4:O4)</f>
        <v>-2838723.6880000001</v>
      </c>
    </row>
    <row r="6" spans="1:15" ht="25.5" customHeight="1">
      <c r="A6" s="182" t="s">
        <v>107</v>
      </c>
      <c r="B6" s="326">
        <v>97828857</v>
      </c>
      <c r="C6" s="327">
        <f t="shared" si="0"/>
        <v>97828857</v>
      </c>
      <c r="D6" s="328">
        <v>20</v>
      </c>
      <c r="E6" s="329">
        <f t="shared" si="1"/>
        <v>19565771.400000002</v>
      </c>
      <c r="F6" s="323"/>
      <c r="G6" s="221">
        <v>220792307.32999998</v>
      </c>
      <c r="H6" s="221">
        <f t="shared" si="2"/>
        <v>18399358.944166664</v>
      </c>
      <c r="I6" s="221">
        <f t="shared" si="3"/>
        <v>1166412.4558333382</v>
      </c>
      <c r="M6" s="349"/>
      <c r="N6" s="350"/>
      <c r="O6" s="323"/>
    </row>
    <row r="7" spans="1:15" ht="25.5" customHeight="1">
      <c r="A7" s="182" t="s">
        <v>115</v>
      </c>
      <c r="B7" s="326">
        <v>75298111</v>
      </c>
      <c r="C7" s="327">
        <f t="shared" si="0"/>
        <v>75298111</v>
      </c>
      <c r="D7" s="328">
        <v>20</v>
      </c>
      <c r="E7" s="329">
        <f t="shared" si="1"/>
        <v>15059622.200000001</v>
      </c>
      <c r="F7" s="323"/>
      <c r="G7" s="221">
        <v>372200568.05000001</v>
      </c>
      <c r="H7" s="221">
        <f t="shared" si="2"/>
        <v>31016714.004166666</v>
      </c>
      <c r="I7" s="221">
        <f t="shared" si="3"/>
        <v>-15957091.804166665</v>
      </c>
      <c r="M7" s="349"/>
      <c r="N7" s="350"/>
      <c r="O7" s="323"/>
    </row>
    <row r="8" spans="1:15" ht="25.5" customHeight="1">
      <c r="A8" s="182" t="s">
        <v>121</v>
      </c>
      <c r="B8" s="326">
        <v>127922610</v>
      </c>
      <c r="C8" s="327">
        <f t="shared" si="0"/>
        <v>127922610</v>
      </c>
      <c r="D8" s="328">
        <v>20</v>
      </c>
      <c r="E8" s="329">
        <f t="shared" si="1"/>
        <v>25584522</v>
      </c>
      <c r="F8" s="323"/>
      <c r="G8" s="221">
        <v>183055003.22</v>
      </c>
      <c r="H8" s="221">
        <f t="shared" si="2"/>
        <v>15254583.601666667</v>
      </c>
      <c r="I8" s="221">
        <f t="shared" si="3"/>
        <v>10329938.398333333</v>
      </c>
      <c r="M8" s="349"/>
      <c r="N8" s="350"/>
      <c r="O8" s="323"/>
    </row>
    <row r="9" spans="1:15" ht="25.5" customHeight="1">
      <c r="A9" s="182" t="s">
        <v>120</v>
      </c>
      <c r="B9" s="326">
        <v>17306482</v>
      </c>
      <c r="C9" s="327">
        <f t="shared" si="0"/>
        <v>17306482</v>
      </c>
      <c r="D9" s="328">
        <v>20</v>
      </c>
      <c r="E9" s="329">
        <f t="shared" si="1"/>
        <v>3461296.4000000004</v>
      </c>
      <c r="F9" s="323"/>
      <c r="G9" s="221">
        <v>39228897.590000004</v>
      </c>
      <c r="H9" s="221">
        <f t="shared" si="2"/>
        <v>3269074.7991666668</v>
      </c>
      <c r="I9" s="221">
        <f t="shared" si="3"/>
        <v>192221.60083333356</v>
      </c>
      <c r="M9" s="349"/>
      <c r="N9" s="350"/>
      <c r="O9" s="323"/>
    </row>
    <row r="10" spans="1:15" ht="25.5" customHeight="1">
      <c r="A10" s="222" t="s">
        <v>224</v>
      </c>
      <c r="B10" s="330">
        <f>SUM(B4:B9)</f>
        <v>3303784156</v>
      </c>
      <c r="C10" s="330">
        <f>SUM(C4:C9)</f>
        <v>3303784156</v>
      </c>
      <c r="D10" s="219">
        <v>20</v>
      </c>
      <c r="E10" s="330">
        <f>SUM(E4:E9)</f>
        <v>723740501.60000002</v>
      </c>
      <c r="F10" s="324"/>
      <c r="G10" s="224">
        <f>SUM(G4:G9)</f>
        <v>8288380484.6200008</v>
      </c>
      <c r="H10" s="224">
        <f>SUM(H4:H9)</f>
        <v>690698373.71833348</v>
      </c>
      <c r="I10" s="224">
        <f>SUM(I4:I9)</f>
        <v>33042127.881666601</v>
      </c>
      <c r="M10" s="349"/>
      <c r="N10" s="350"/>
      <c r="O10" s="323"/>
    </row>
    <row r="11" spans="1:15" ht="25.5" customHeight="1">
      <c r="A11" s="182" t="s">
        <v>126</v>
      </c>
      <c r="B11" s="326">
        <v>24676131</v>
      </c>
      <c r="C11" s="327">
        <f>+B11</f>
        <v>24676131</v>
      </c>
      <c r="D11" s="328">
        <v>100</v>
      </c>
      <c r="E11" s="329">
        <f t="shared" si="1"/>
        <v>24676131</v>
      </c>
      <c r="F11" s="323"/>
      <c r="G11" s="221"/>
      <c r="H11" s="221"/>
      <c r="I11" s="221"/>
      <c r="M11" s="349"/>
      <c r="N11" s="350"/>
      <c r="O11" s="323"/>
    </row>
    <row r="12" spans="1:15" ht="25.5" customHeight="1">
      <c r="A12" s="182" t="s">
        <v>114</v>
      </c>
      <c r="B12" s="326">
        <v>108605936</v>
      </c>
      <c r="C12" s="327">
        <f t="shared" ref="C12:C13" si="4">+B12</f>
        <v>108605936</v>
      </c>
      <c r="D12" s="328">
        <v>20</v>
      </c>
      <c r="E12" s="329">
        <f t="shared" si="1"/>
        <v>21721187.200000003</v>
      </c>
      <c r="F12" s="323"/>
      <c r="G12" s="221"/>
      <c r="H12" s="221"/>
      <c r="I12" s="221"/>
      <c r="M12" s="349"/>
      <c r="N12" s="350"/>
      <c r="O12" s="323"/>
    </row>
    <row r="13" spans="1:15" ht="25.5" customHeight="1">
      <c r="A13" s="182" t="s">
        <v>217</v>
      </c>
      <c r="B13" s="327">
        <v>50835495</v>
      </c>
      <c r="C13" s="327">
        <f t="shared" si="4"/>
        <v>50835495</v>
      </c>
      <c r="D13" s="328">
        <v>20</v>
      </c>
      <c r="E13" s="329">
        <f t="shared" si="1"/>
        <v>10167099</v>
      </c>
      <c r="F13" s="323"/>
      <c r="G13" s="221"/>
      <c r="H13" s="221"/>
      <c r="I13" s="221"/>
      <c r="M13" s="349"/>
      <c r="N13" s="350"/>
      <c r="O13" s="323"/>
    </row>
    <row r="14" spans="1:15" ht="25.5" customHeight="1">
      <c r="A14" s="222" t="s">
        <v>224</v>
      </c>
      <c r="B14" s="330">
        <f>SUM(B11:B13)</f>
        <v>184117562</v>
      </c>
      <c r="C14" s="330">
        <f>SUM(C11:C13)</f>
        <v>184117562</v>
      </c>
      <c r="D14" s="219"/>
      <c r="E14" s="330">
        <f>SUM(E11:E13)</f>
        <v>56564417.200000003</v>
      </c>
      <c r="F14" s="324"/>
      <c r="G14" s="221"/>
      <c r="H14" s="221"/>
      <c r="I14" s="221"/>
      <c r="M14" s="349"/>
      <c r="N14" s="350"/>
      <c r="O14" s="323"/>
    </row>
    <row r="15" spans="1:15" ht="25.5" customHeight="1">
      <c r="A15" s="226" t="s">
        <v>53</v>
      </c>
      <c r="B15" s="331">
        <f>+B10+B14</f>
        <v>3487901718</v>
      </c>
      <c r="C15" s="331">
        <f>+C10+C14</f>
        <v>3487901718</v>
      </c>
      <c r="D15" s="226"/>
      <c r="E15" s="331">
        <f>+E10+E14</f>
        <v>780304918.80000007</v>
      </c>
      <c r="F15" s="325"/>
      <c r="G15" s="224"/>
      <c r="H15" s="224">
        <f>+H10+H14</f>
        <v>690698373.71833348</v>
      </c>
      <c r="I15" s="224">
        <f>+I10+I14</f>
        <v>33042127.881666601</v>
      </c>
      <c r="M15" s="351"/>
      <c r="N15" s="352"/>
      <c r="O15" s="352"/>
    </row>
    <row r="16" spans="1:15">
      <c r="A16" s="12"/>
      <c r="B16" s="12"/>
      <c r="C16" s="13"/>
      <c r="D16" s="14"/>
      <c r="E16" s="13"/>
      <c r="F16" s="13"/>
      <c r="G16" s="13"/>
      <c r="H16" s="13"/>
      <c r="I16" s="13"/>
    </row>
    <row r="17" spans="1:9">
      <c r="A17" s="15" t="s">
        <v>108</v>
      </c>
      <c r="B17" s="15"/>
      <c r="E17" s="187" t="s">
        <v>154</v>
      </c>
      <c r="F17" s="187"/>
      <c r="G17" s="187"/>
      <c r="H17" s="187"/>
      <c r="I17" s="187"/>
    </row>
    <row r="18" spans="1:9">
      <c r="B18" s="382" t="s">
        <v>154</v>
      </c>
    </row>
    <row r="19" spans="1:9">
      <c r="B19" s="354" t="s">
        <v>154</v>
      </c>
      <c r="C19" s="424" t="s">
        <v>154</v>
      </c>
      <c r="E19" s="354" t="s">
        <v>154</v>
      </c>
    </row>
    <row r="20" spans="1:9">
      <c r="B20" s="354" t="s">
        <v>154</v>
      </c>
      <c r="C20" s="354" t="s">
        <v>154</v>
      </c>
    </row>
    <row r="21" spans="1:9">
      <c r="B21" s="354" t="s">
        <v>154</v>
      </c>
    </row>
    <row r="23" spans="1:9">
      <c r="B23" s="354"/>
      <c r="C23" s="354"/>
      <c r="E23" s="354"/>
      <c r="F23" s="354"/>
      <c r="G23" s="354"/>
      <c r="H23" s="354"/>
      <c r="I23" s="354"/>
    </row>
    <row r="24" spans="1:9">
      <c r="B24" s="354"/>
      <c r="C24" s="354"/>
      <c r="E24" s="354"/>
      <c r="F24" s="354"/>
      <c r="G24" s="354"/>
      <c r="H24" s="354"/>
      <c r="I24" s="354"/>
    </row>
    <row r="25" spans="1:9">
      <c r="B25" s="354"/>
      <c r="C25" s="354"/>
      <c r="E25" s="354"/>
      <c r="F25" s="354"/>
      <c r="G25" s="354"/>
      <c r="H25" s="354"/>
      <c r="I25" s="354"/>
    </row>
    <row r="26" spans="1:9">
      <c r="B26" s="354"/>
      <c r="C26" s="354"/>
      <c r="E26" s="354"/>
      <c r="F26" s="354"/>
      <c r="G26" s="354"/>
      <c r="H26" s="354"/>
      <c r="I26" s="354"/>
    </row>
    <row r="27" spans="1:9">
      <c r="B27" s="354"/>
      <c r="C27" s="354"/>
      <c r="E27" s="354"/>
      <c r="F27" s="354"/>
      <c r="G27" s="354"/>
      <c r="H27" s="354"/>
      <c r="I27" s="354"/>
    </row>
    <row r="28" spans="1:9">
      <c r="B28" s="354"/>
      <c r="C28" s="354"/>
      <c r="E28" s="354"/>
      <c r="F28" s="354"/>
      <c r="G28" s="354"/>
      <c r="H28" s="354"/>
      <c r="I28" s="354"/>
    </row>
    <row r="29" spans="1:9">
      <c r="B29" s="354"/>
      <c r="C29" s="354"/>
      <c r="E29" s="354"/>
      <c r="F29" s="354"/>
      <c r="G29" s="354"/>
      <c r="H29" s="354"/>
      <c r="I29" s="354"/>
    </row>
    <row r="30" spans="1:9">
      <c r="B30" s="354"/>
      <c r="C30" s="354"/>
      <c r="E30" s="354"/>
      <c r="F30" s="354"/>
      <c r="G30" s="354"/>
      <c r="H30" s="354"/>
      <c r="I30" s="354"/>
    </row>
    <row r="31" spans="1:9">
      <c r="B31" s="354"/>
      <c r="C31" s="354"/>
      <c r="E31" s="354"/>
      <c r="F31" s="354"/>
      <c r="G31" s="354"/>
      <c r="H31" s="354"/>
      <c r="I31" s="354"/>
    </row>
    <row r="32" spans="1:9">
      <c r="B32" s="354"/>
      <c r="C32" s="354"/>
      <c r="E32" s="354"/>
      <c r="F32" s="354"/>
      <c r="G32" s="354"/>
      <c r="H32" s="354"/>
      <c r="I32" s="354"/>
    </row>
    <row r="33" spans="2:9">
      <c r="B33" s="354"/>
      <c r="C33" s="354"/>
      <c r="E33" s="354"/>
      <c r="F33" s="354"/>
      <c r="G33" s="354"/>
      <c r="H33" s="354"/>
      <c r="I33" s="354"/>
    </row>
    <row r="34" spans="2:9">
      <c r="B34" s="354"/>
      <c r="C34" s="354"/>
      <c r="E34" s="354"/>
      <c r="F34" s="354"/>
      <c r="G34" s="354"/>
      <c r="H34" s="354"/>
      <c r="I34" s="354"/>
    </row>
  </sheetData>
  <mergeCells count="2">
    <mergeCell ref="A1:E1"/>
    <mergeCell ref="M1:O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"/>
  <sheetViews>
    <sheetView showGridLines="0" topLeftCell="AJ1" zoomScale="116" zoomScaleNormal="116" zoomScaleSheetLayoutView="100" workbookViewId="0">
      <selection activeCell="AU6" sqref="AU6"/>
    </sheetView>
  </sheetViews>
  <sheetFormatPr baseColWidth="10" defaultColWidth="11.42578125" defaultRowHeight="12.75"/>
  <cols>
    <col min="1" max="1" width="37.140625" style="16" customWidth="1"/>
    <col min="2" max="2" width="14.42578125" style="423" customWidth="1"/>
    <col min="3" max="4" width="14.140625" style="422" customWidth="1"/>
    <col min="5" max="10" width="14.140625" style="52" customWidth="1"/>
    <col min="11" max="11" width="15.42578125" style="52" customWidth="1"/>
    <col min="12" max="13" width="12.5703125" style="16" bestFit="1" customWidth="1"/>
    <col min="14" max="14" width="29.42578125" style="16" bestFit="1" customWidth="1"/>
    <col min="15" max="15" width="14.28515625" style="16" customWidth="1"/>
    <col min="16" max="23" width="13.140625" style="16" customWidth="1"/>
    <col min="24" max="24" width="14.5703125" style="16" customWidth="1"/>
    <col min="25" max="25" width="11.42578125" style="16"/>
    <col min="26" max="26" width="30.28515625" style="16" bestFit="1" customWidth="1"/>
    <col min="27" max="27" width="11.42578125" style="16" customWidth="1"/>
    <col min="28" max="37" width="11.42578125" style="16"/>
    <col min="38" max="38" width="27.42578125" style="16" customWidth="1"/>
    <col min="39" max="39" width="17.28515625" style="16" customWidth="1"/>
    <col min="40" max="40" width="14" style="16" customWidth="1"/>
    <col min="41" max="41" width="13.7109375" style="16" customWidth="1"/>
    <col min="42" max="42" width="14.7109375" style="16" customWidth="1"/>
    <col min="43" max="43" width="15.42578125" style="16" customWidth="1"/>
    <col min="44" max="44" width="14.7109375" style="16" customWidth="1"/>
    <col min="45" max="45" width="14.140625" style="16" customWidth="1"/>
    <col min="46" max="46" width="13.42578125" style="16" customWidth="1"/>
    <col min="47" max="47" width="13.28515625" style="16" customWidth="1"/>
    <col min="48" max="48" width="14" style="16" customWidth="1"/>
    <col min="49" max="16384" width="11.42578125" style="16"/>
  </cols>
  <sheetData>
    <row r="1" spans="1:48">
      <c r="A1" s="432" t="s">
        <v>109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N1" s="432" t="s">
        <v>109</v>
      </c>
      <c r="O1" s="432"/>
      <c r="P1" s="432"/>
      <c r="Q1" s="432"/>
      <c r="R1" s="432"/>
      <c r="S1" s="432"/>
      <c r="T1" s="432"/>
      <c r="U1" s="432"/>
      <c r="V1" s="432"/>
      <c r="W1" s="432"/>
      <c r="X1" s="432"/>
      <c r="Z1" s="432" t="s">
        <v>109</v>
      </c>
      <c r="AA1" s="432"/>
      <c r="AB1" s="432"/>
      <c r="AC1" s="432"/>
      <c r="AD1" s="432"/>
      <c r="AE1" s="432"/>
      <c r="AF1" s="432"/>
      <c r="AG1" s="432"/>
      <c r="AH1" s="432"/>
      <c r="AI1" s="432"/>
      <c r="AJ1" s="432"/>
    </row>
    <row r="2" spans="1:48" ht="12.75" customHeight="1">
      <c r="A2" s="432" t="s">
        <v>254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N2" s="432" t="s">
        <v>254</v>
      </c>
      <c r="O2" s="432"/>
      <c r="P2" s="432"/>
      <c r="Q2" s="432"/>
      <c r="R2" s="432"/>
      <c r="S2" s="432"/>
      <c r="T2" s="432"/>
      <c r="U2" s="432"/>
      <c r="V2" s="432"/>
      <c r="W2" s="432"/>
      <c r="X2" s="432"/>
      <c r="Z2" s="432" t="s">
        <v>254</v>
      </c>
      <c r="AA2" s="432"/>
      <c r="AB2" s="432"/>
      <c r="AC2" s="432"/>
      <c r="AD2" s="432"/>
      <c r="AE2" s="432"/>
      <c r="AF2" s="432"/>
      <c r="AG2" s="432"/>
      <c r="AH2" s="432"/>
      <c r="AI2" s="432"/>
      <c r="AJ2" s="432"/>
    </row>
    <row r="3" spans="1:48" ht="12.75" customHeight="1">
      <c r="A3" s="432" t="s">
        <v>341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N3" s="432" t="s">
        <v>342</v>
      </c>
      <c r="O3" s="432"/>
      <c r="P3" s="432"/>
      <c r="Q3" s="432"/>
      <c r="R3" s="432"/>
      <c r="S3" s="432"/>
      <c r="T3" s="432"/>
      <c r="U3" s="432"/>
      <c r="V3" s="432"/>
      <c r="W3" s="432"/>
      <c r="X3" s="432"/>
      <c r="Z3" s="432" t="s">
        <v>343</v>
      </c>
      <c r="AA3" s="432"/>
      <c r="AB3" s="432"/>
      <c r="AC3" s="432"/>
      <c r="AD3" s="432"/>
      <c r="AE3" s="432"/>
      <c r="AF3" s="432"/>
      <c r="AG3" s="432"/>
      <c r="AH3" s="432"/>
      <c r="AI3" s="432"/>
      <c r="AJ3" s="432"/>
    </row>
    <row r="4" spans="1:48" ht="13.5" thickBot="1">
      <c r="A4" s="432"/>
      <c r="B4" s="432"/>
      <c r="C4" s="432"/>
      <c r="D4" s="432"/>
      <c r="E4" s="432"/>
      <c r="F4" s="432"/>
      <c r="G4" s="432"/>
      <c r="H4" s="432"/>
      <c r="I4" s="432"/>
      <c r="J4" s="432"/>
      <c r="K4" s="432"/>
    </row>
    <row r="5" spans="1:48" ht="47.25" customHeight="1">
      <c r="A5" s="400" t="s">
        <v>344</v>
      </c>
      <c r="B5" s="401" t="s">
        <v>345</v>
      </c>
      <c r="C5" s="402" t="s">
        <v>346</v>
      </c>
      <c r="D5" s="402" t="s">
        <v>347</v>
      </c>
      <c r="E5" s="402" t="s">
        <v>348</v>
      </c>
      <c r="F5" s="402" t="s">
        <v>349</v>
      </c>
      <c r="G5" s="402" t="s">
        <v>350</v>
      </c>
      <c r="H5" s="402" t="s">
        <v>351</v>
      </c>
      <c r="I5" s="402" t="s">
        <v>352</v>
      </c>
      <c r="J5" s="402" t="s">
        <v>353</v>
      </c>
      <c r="K5" s="403" t="s">
        <v>354</v>
      </c>
      <c r="N5" s="400" t="s">
        <v>344</v>
      </c>
      <c r="O5" s="401" t="s">
        <v>345</v>
      </c>
      <c r="P5" s="402" t="s">
        <v>346</v>
      </c>
      <c r="Q5" s="402" t="s">
        <v>347</v>
      </c>
      <c r="R5" s="402" t="s">
        <v>348</v>
      </c>
      <c r="S5" s="402" t="s">
        <v>355</v>
      </c>
      <c r="T5" s="402" t="s">
        <v>350</v>
      </c>
      <c r="U5" s="402" t="s">
        <v>351</v>
      </c>
      <c r="V5" s="402" t="s">
        <v>356</v>
      </c>
      <c r="W5" s="402" t="s">
        <v>357</v>
      </c>
      <c r="X5" s="403" t="s">
        <v>354</v>
      </c>
      <c r="Z5" s="400" t="s">
        <v>344</v>
      </c>
      <c r="AA5" s="401" t="s">
        <v>345</v>
      </c>
      <c r="AB5" s="402" t="s">
        <v>346</v>
      </c>
      <c r="AC5" s="402" t="s">
        <v>347</v>
      </c>
      <c r="AD5" s="402" t="s">
        <v>348</v>
      </c>
      <c r="AE5" s="402" t="s">
        <v>355</v>
      </c>
      <c r="AF5" s="402" t="s">
        <v>350</v>
      </c>
      <c r="AG5" s="402" t="s">
        <v>351</v>
      </c>
      <c r="AH5" s="402" t="s">
        <v>356</v>
      </c>
      <c r="AI5" s="402" t="s">
        <v>357</v>
      </c>
      <c r="AJ5" s="403" t="s">
        <v>354</v>
      </c>
      <c r="AL5" s="400" t="s">
        <v>344</v>
      </c>
      <c r="AM5" s="401" t="s">
        <v>345</v>
      </c>
      <c r="AN5" s="402" t="s">
        <v>346</v>
      </c>
      <c r="AO5" s="402" t="s">
        <v>347</v>
      </c>
      <c r="AP5" s="402" t="s">
        <v>348</v>
      </c>
      <c r="AQ5" s="402" t="s">
        <v>355</v>
      </c>
      <c r="AR5" s="402" t="s">
        <v>350</v>
      </c>
      <c r="AS5" s="402" t="s">
        <v>351</v>
      </c>
      <c r="AT5" s="402" t="s">
        <v>356</v>
      </c>
      <c r="AU5" s="402" t="s">
        <v>357</v>
      </c>
      <c r="AV5" s="403" t="s">
        <v>354</v>
      </c>
    </row>
    <row r="6" spans="1:48">
      <c r="A6" s="404" t="s">
        <v>1</v>
      </c>
      <c r="B6" s="405">
        <f>ROUND(IF('[6]PART PEF2022'!X$4&lt;1,'[6]CALCULO GARANTIA'!H6*'[6]PART PEF2022'!U$4,'[6]CALCULO GARANTIA'!U6+'[6]CALCULO GARANTIA'!I6),2)</f>
        <v>4848154.72</v>
      </c>
      <c r="C6" s="406">
        <f>ROUND(+IF('[6]PART PEF2022'!X$5&lt;1,'[6]CALCULO GARANTIA'!J6*'[6]PART PEF2022'!U$5,'[6]CALCULO GARANTIA'!V6+'[6]CALCULO GARANTIA'!K6),2)</f>
        <v>683445.18</v>
      </c>
      <c r="D6" s="407">
        <f>ROUND(+'[6]PART PEF2022'!U$11*'[6]Art.14 Frac.III'!R5,2)</f>
        <v>4506475.07</v>
      </c>
      <c r="E6" s="406">
        <f>ROUND(+IF('[6]PART PEF2022'!X$6&lt;1,'[6]CALCULO GARANTIA'!L6*'[6]PART PEF2022'!U$6,'[6]CALCULO GARANTIA'!W6+'[6]CALCULO GARANTIA'!M6),2)</f>
        <v>143649.23000000001</v>
      </c>
      <c r="F6" s="406">
        <f>ROUND(+IF('[6]PART PEF2022'!X$7&lt;1,'[6]CALCULO GARANTIA'!N6*'[6]PART PEF2022'!U$7,'[6]CALCULO GARANTIA'!X6+'[6]CALCULO GARANTIA'!O6),2)</f>
        <v>273024.01</v>
      </c>
      <c r="G6" s="406">
        <f>ROUND(+IF('[6]PART PEF2022'!X$8&lt;1,'[6]CALCULO GARANTIA'!P6*'[6]PART PEF2022'!U$8,'[6]CALCULO GARANTIA'!Y6+'[6]CALCULO GARANTIA'!Q6),2)</f>
        <v>142762.57</v>
      </c>
      <c r="H6" s="406">
        <f>ROUND(+IF('[6]PART PEF2022'!X$9&lt;1,'[6]CALCULO GARANTIA'!R6*'[6]PART PEF2022'!U$9,'[6]CALCULO GARANTIA'!Z6+'[6]CALCULO GARANTIA'!S6),2)</f>
        <v>26049.65</v>
      </c>
      <c r="I6" s="406">
        <f>+ROUND('[6]COEF Art 14 F II'!L7,2)</f>
        <v>42802.94</v>
      </c>
      <c r="J6" s="406">
        <f>+'[6]ISR BI'!D4</f>
        <v>8170.24</v>
      </c>
      <c r="K6" s="408">
        <f>SUM(B6:J6)</f>
        <v>10674533.609999999</v>
      </c>
      <c r="N6" s="404" t="s">
        <v>1</v>
      </c>
      <c r="O6" s="405">
        <v>4823594.5178066157</v>
      </c>
      <c r="P6" s="406">
        <v>678700.61146775878</v>
      </c>
      <c r="Q6" s="407">
        <v>5366969.394518815</v>
      </c>
      <c r="R6" s="406">
        <v>138830.42388228179</v>
      </c>
      <c r="S6" s="406">
        <v>236252.30747663134</v>
      </c>
      <c r="T6" s="406">
        <v>142751.65972125719</v>
      </c>
      <c r="U6" s="406">
        <v>26048.524278021479</v>
      </c>
      <c r="V6" s="406">
        <v>42777.18373768466</v>
      </c>
      <c r="W6" s="406">
        <v>7700.2073810303718</v>
      </c>
      <c r="X6" s="408">
        <f>SUM(O6:W6)</f>
        <v>11463624.830270097</v>
      </c>
      <c r="Z6" s="404" t="s">
        <v>1</v>
      </c>
      <c r="AA6" s="409">
        <f>+B6-O6</f>
        <v>24560.202193384059</v>
      </c>
      <c r="AB6" s="409">
        <f t="shared" ref="AB6:AI21" si="0">+C6-P6</f>
        <v>4744.5685322412755</v>
      </c>
      <c r="AC6" s="409">
        <f t="shared" si="0"/>
        <v>-860494.32451881468</v>
      </c>
      <c r="AD6" s="409">
        <f t="shared" si="0"/>
        <v>4818.8061177182244</v>
      </c>
      <c r="AE6" s="409">
        <f t="shared" si="0"/>
        <v>36771.702523368673</v>
      </c>
      <c r="AF6" s="409">
        <f t="shared" si="0"/>
        <v>10.910278742812807</v>
      </c>
      <c r="AG6" s="409">
        <f t="shared" si="0"/>
        <v>1.1257219785220514</v>
      </c>
      <c r="AH6" s="409">
        <f t="shared" si="0"/>
        <v>25.75626231534261</v>
      </c>
      <c r="AI6" s="409">
        <f t="shared" si="0"/>
        <v>470.03261896962795</v>
      </c>
      <c r="AJ6" s="410">
        <f>SUM(AA6:AI6)</f>
        <v>-789091.22027009621</v>
      </c>
      <c r="AL6" s="404" t="s">
        <v>1</v>
      </c>
      <c r="AM6" s="409">
        <f t="shared" ref="AM6:AU21" si="1">+AA6/6</f>
        <v>4093.3670322306766</v>
      </c>
      <c r="AN6" s="409">
        <f t="shared" si="1"/>
        <v>790.76142204021255</v>
      </c>
      <c r="AO6" s="409">
        <f t="shared" si="1"/>
        <v>-143415.72075313577</v>
      </c>
      <c r="AP6" s="409">
        <f t="shared" si="1"/>
        <v>803.13435295303736</v>
      </c>
      <c r="AQ6" s="409">
        <f t="shared" si="1"/>
        <v>6128.6170872281118</v>
      </c>
      <c r="AR6" s="409">
        <f t="shared" si="1"/>
        <v>1.818379790468801</v>
      </c>
      <c r="AS6" s="409">
        <f t="shared" si="1"/>
        <v>0.18762032975367524</v>
      </c>
      <c r="AT6" s="409">
        <f t="shared" si="1"/>
        <v>4.2927103858904347</v>
      </c>
      <c r="AU6" s="409">
        <f t="shared" si="1"/>
        <v>78.338769828271325</v>
      </c>
      <c r="AV6" s="410">
        <f>SUM(AM6:AU6)</f>
        <v>-131515.20337834937</v>
      </c>
    </row>
    <row r="7" spans="1:48">
      <c r="A7" s="404" t="s">
        <v>2</v>
      </c>
      <c r="B7" s="405">
        <f>ROUND(IF('[6]PART PEF2022'!X$4&lt;1,'[6]CALCULO GARANTIA'!H7*'[6]PART PEF2022'!U$4,'[6]CALCULO GARANTIA'!U7+'[6]CALCULO GARANTIA'!I7),2)</f>
        <v>9261483.1600000001</v>
      </c>
      <c r="C7" s="406">
        <f>ROUND(+IF('[6]PART PEF2022'!X$5&lt;1,'[6]CALCULO GARANTIA'!J7*'[6]PART PEF2022'!U$5,'[6]CALCULO GARANTIA'!V7+'[6]CALCULO GARANTIA'!K7),2)</f>
        <v>1303608.54</v>
      </c>
      <c r="D7" s="407">
        <f>ROUND(+'[6]PART PEF2022'!U$11*'[6]Art.14 Frac.III'!R6,2)</f>
        <v>4530647.6100000003</v>
      </c>
      <c r="E7" s="406">
        <f>ROUND(+IF('[6]PART PEF2022'!X$6&lt;1,'[6]CALCULO GARANTIA'!L7*'[6]PART PEF2022'!U$6,'[6]CALCULO GARANTIA'!W7+'[6]CALCULO GARANTIA'!M7),2)</f>
        <v>276196.83</v>
      </c>
      <c r="F7" s="406">
        <f>ROUND(+IF('[6]PART PEF2022'!X$7&lt;1,'[6]CALCULO GARANTIA'!N7*'[6]PART PEF2022'!U$7,'[6]CALCULO GARANTIA'!X7+'[6]CALCULO GARANTIA'!O7),2)</f>
        <v>521692.64</v>
      </c>
      <c r="G7" s="406">
        <f>ROUND(+IF('[6]PART PEF2022'!X$8&lt;1,'[6]CALCULO GARANTIA'!P7*'[6]PART PEF2022'!U$8,'[6]CALCULO GARANTIA'!Y7+'[6]CALCULO GARANTIA'!Q7),2)</f>
        <v>271996.26</v>
      </c>
      <c r="H7" s="406">
        <f>ROUND(+IF('[6]PART PEF2022'!X$9&lt;1,'[6]CALCULO GARANTIA'!R7*'[6]PART PEF2022'!U$9,'[6]CALCULO GARANTIA'!Z7+'[6]CALCULO GARANTIA'!S7),2)</f>
        <v>50030.52</v>
      </c>
      <c r="I7" s="406">
        <f>+ROUND('[6]COEF Art 14 F II'!L8,2)</f>
        <v>56160.46</v>
      </c>
      <c r="J7" s="406">
        <f>+'[6]ISR BI'!D5</f>
        <v>7679.66</v>
      </c>
      <c r="K7" s="408">
        <f t="shared" ref="K7:K57" si="2">SUM(B7:J7)</f>
        <v>16279495.68</v>
      </c>
      <c r="N7" s="404" t="s">
        <v>2</v>
      </c>
      <c r="O7" s="405">
        <v>9207917.8068214525</v>
      </c>
      <c r="P7" s="406">
        <v>1293327.307762492</v>
      </c>
      <c r="Q7" s="407">
        <v>4251752.5866075344</v>
      </c>
      <c r="R7" s="406">
        <v>266258.31504282658</v>
      </c>
      <c r="S7" s="406">
        <v>445380.58406881371</v>
      </c>
      <c r="T7" s="406">
        <v>271932.90582278697</v>
      </c>
      <c r="U7" s="406">
        <v>50023.986418724082</v>
      </c>
      <c r="V7" s="406">
        <v>56011.033223146122</v>
      </c>
      <c r="W7" s="406">
        <v>5534.1571010045373</v>
      </c>
      <c r="X7" s="408">
        <f t="shared" ref="X7:X56" si="3">SUM(O7:W7)</f>
        <v>15848138.682868784</v>
      </c>
      <c r="Z7" s="404" t="s">
        <v>2</v>
      </c>
      <c r="AA7" s="409">
        <f t="shared" ref="AA7:AI48" si="4">+B7-O7</f>
        <v>53565.353178547695</v>
      </c>
      <c r="AB7" s="409">
        <f t="shared" si="0"/>
        <v>10281.232237508055</v>
      </c>
      <c r="AC7" s="409">
        <f t="shared" si="0"/>
        <v>278895.0233924659</v>
      </c>
      <c r="AD7" s="409">
        <f t="shared" si="0"/>
        <v>9938.5149571734364</v>
      </c>
      <c r="AE7" s="409">
        <f t="shared" si="0"/>
        <v>76312.055931186303</v>
      </c>
      <c r="AF7" s="409">
        <f t="shared" si="0"/>
        <v>63.354177213041112</v>
      </c>
      <c r="AG7" s="409">
        <f t="shared" si="0"/>
        <v>6.5335812759149121</v>
      </c>
      <c r="AH7" s="409">
        <f t="shared" si="0"/>
        <v>149.42677685387753</v>
      </c>
      <c r="AI7" s="409">
        <f t="shared" si="0"/>
        <v>2145.5028989954626</v>
      </c>
      <c r="AJ7" s="411">
        <f t="shared" ref="AJ7:AJ56" si="5">SUM(AA7:AI7)</f>
        <v>431356.99713121966</v>
      </c>
      <c r="AL7" s="404" t="s">
        <v>2</v>
      </c>
      <c r="AM7" s="409">
        <f t="shared" si="1"/>
        <v>8927.5588630912825</v>
      </c>
      <c r="AN7" s="409">
        <f t="shared" si="1"/>
        <v>1713.5387062513425</v>
      </c>
      <c r="AO7" s="409">
        <f t="shared" si="1"/>
        <v>46482.503898744319</v>
      </c>
      <c r="AP7" s="409">
        <f t="shared" si="1"/>
        <v>1656.419159528906</v>
      </c>
      <c r="AQ7" s="409">
        <f t="shared" si="1"/>
        <v>12718.675988531051</v>
      </c>
      <c r="AR7" s="409">
        <f t="shared" si="1"/>
        <v>10.559029535506852</v>
      </c>
      <c r="AS7" s="409">
        <f t="shared" si="1"/>
        <v>1.0889302126524854</v>
      </c>
      <c r="AT7" s="409">
        <f t="shared" si="1"/>
        <v>24.904462808979588</v>
      </c>
      <c r="AU7" s="409">
        <f t="shared" si="1"/>
        <v>357.58381649924377</v>
      </c>
      <c r="AV7" s="411">
        <f t="shared" ref="AV7:AV56" si="6">SUM(AM7:AU7)</f>
        <v>71892.832855203276</v>
      </c>
    </row>
    <row r="8" spans="1:48">
      <c r="A8" s="404" t="s">
        <v>211</v>
      </c>
      <c r="B8" s="405">
        <f>ROUND(IF('[6]PART PEF2022'!X$4&lt;1,'[6]CALCULO GARANTIA'!H8*'[6]PART PEF2022'!U$4,'[6]CALCULO GARANTIA'!U8+'[6]CALCULO GARANTIA'!I8),2)</f>
        <v>9926345.4100000001</v>
      </c>
      <c r="C8" s="406">
        <f>ROUND(+IF('[6]PART PEF2022'!X$5&lt;1,'[6]CALCULO GARANTIA'!J8*'[6]PART PEF2022'!U$5,'[6]CALCULO GARANTIA'!V8+'[6]CALCULO GARANTIA'!K8),2)</f>
        <v>1403466.49</v>
      </c>
      <c r="D8" s="407">
        <f>ROUND(+'[6]PART PEF2022'!U$11*'[6]Art.14 Frac.III'!R7,2)</f>
        <v>2108596.9</v>
      </c>
      <c r="E8" s="406">
        <f>ROUND(+IF('[6]PART PEF2022'!X$6&lt;1,'[6]CALCULO GARANTIA'!L8*'[6]PART PEF2022'!U$6,'[6]CALCULO GARANTIA'!W8+'[6]CALCULO GARANTIA'!M8),2)</f>
        <v>290389.07</v>
      </c>
      <c r="F8" s="406">
        <f>ROUND(+IF('[6]PART PEF2022'!X$7&lt;1,'[6]CALCULO GARANTIA'!N8*'[6]PART PEF2022'!U$7,'[6]CALCULO GARANTIA'!X8+'[6]CALCULO GARANTIA'!O8),2)</f>
        <v>558726.81999999995</v>
      </c>
      <c r="G8" s="406">
        <f>ROUND(+IF('[6]PART PEF2022'!X$8&lt;1,'[6]CALCULO GARANTIA'!P8*'[6]PART PEF2022'!U$8,'[6]CALCULO GARANTIA'!Y8+'[6]CALCULO GARANTIA'!Q8),2)</f>
        <v>293813.74</v>
      </c>
      <c r="H8" s="406">
        <f>ROUND(+IF('[6]PART PEF2022'!X$9&lt;1,'[6]CALCULO GARANTIA'!R8*'[6]PART PEF2022'!U$9,'[6]CALCULO GARANTIA'!Z8+'[6]CALCULO GARANTIA'!S8),2)</f>
        <v>52775.92</v>
      </c>
      <c r="I8" s="406">
        <f>+ROUND('[6]COEF Art 14 F II'!L9,2)</f>
        <v>49156.87</v>
      </c>
      <c r="J8" s="406">
        <f>+'[6]ISR BI'!D6</f>
        <v>439.35</v>
      </c>
      <c r="K8" s="408">
        <f t="shared" si="2"/>
        <v>14683710.57</v>
      </c>
      <c r="N8" s="404" t="s">
        <v>3</v>
      </c>
      <c r="O8" s="405">
        <v>9885048.9394568354</v>
      </c>
      <c r="P8" s="406">
        <v>1395455.3213350209</v>
      </c>
      <c r="Q8" s="407">
        <v>2137037.374501836</v>
      </c>
      <c r="R8" s="406">
        <v>282001.26184599858</v>
      </c>
      <c r="S8" s="406">
        <v>495061.71772611741</v>
      </c>
      <c r="T8" s="406">
        <v>293812.61583195586</v>
      </c>
      <c r="U8" s="406">
        <v>52776.037981205081</v>
      </c>
      <c r="V8" s="406">
        <v>49156.331312724833</v>
      </c>
      <c r="W8" s="406">
        <v>633.65068453122365</v>
      </c>
      <c r="X8" s="408">
        <f t="shared" si="3"/>
        <v>14590983.250676226</v>
      </c>
      <c r="Z8" s="404" t="s">
        <v>3</v>
      </c>
      <c r="AA8" s="409">
        <f t="shared" si="4"/>
        <v>41296.47054316476</v>
      </c>
      <c r="AB8" s="409">
        <f t="shared" si="0"/>
        <v>8011.1686649790499</v>
      </c>
      <c r="AC8" s="409">
        <f t="shared" si="0"/>
        <v>-28440.474501836114</v>
      </c>
      <c r="AD8" s="409">
        <f t="shared" si="0"/>
        <v>8387.8081540014246</v>
      </c>
      <c r="AE8" s="409">
        <f t="shared" si="0"/>
        <v>63665.102273882541</v>
      </c>
      <c r="AF8" s="409">
        <f t="shared" si="0"/>
        <v>1.1241680441307835</v>
      </c>
      <c r="AG8" s="409">
        <f t="shared" si="0"/>
        <v>-0.11798120508319698</v>
      </c>
      <c r="AH8" s="409">
        <f t="shared" si="0"/>
        <v>0.53868727516965009</v>
      </c>
      <c r="AI8" s="409">
        <f t="shared" si="0"/>
        <v>-194.30068453122362</v>
      </c>
      <c r="AJ8" s="411">
        <f t="shared" si="5"/>
        <v>92727.31932377466</v>
      </c>
      <c r="AL8" s="404" t="s">
        <v>3</v>
      </c>
      <c r="AM8" s="409">
        <f t="shared" si="1"/>
        <v>6882.74509052746</v>
      </c>
      <c r="AN8" s="409">
        <f t="shared" si="1"/>
        <v>1335.1947774965083</v>
      </c>
      <c r="AO8" s="409">
        <f t="shared" si="1"/>
        <v>-4740.0790836393526</v>
      </c>
      <c r="AP8" s="409">
        <f t="shared" si="1"/>
        <v>1397.9680256669042</v>
      </c>
      <c r="AQ8" s="409">
        <f t="shared" si="1"/>
        <v>10610.850378980424</v>
      </c>
      <c r="AR8" s="409">
        <f t="shared" si="1"/>
        <v>0.18736134068846391</v>
      </c>
      <c r="AS8" s="409">
        <f t="shared" si="1"/>
        <v>-1.9663534180532832E-2</v>
      </c>
      <c r="AT8" s="409">
        <f t="shared" si="1"/>
        <v>8.978121252827502E-2</v>
      </c>
      <c r="AU8" s="409">
        <f t="shared" si="1"/>
        <v>-32.383447421870606</v>
      </c>
      <c r="AV8" s="411">
        <f t="shared" si="6"/>
        <v>15454.553220629108</v>
      </c>
    </row>
    <row r="9" spans="1:48">
      <c r="A9" s="404" t="s">
        <v>4</v>
      </c>
      <c r="B9" s="405">
        <f>ROUND(IF('[6]PART PEF2022'!X$4&lt;1,'[6]CALCULO GARANTIA'!H9*'[6]PART PEF2022'!U$4,'[6]CALCULO GARANTIA'!U9+'[6]CALCULO GARANTIA'!I9),2)</f>
        <v>28945297.010000002</v>
      </c>
      <c r="C9" s="406">
        <f>ROUND(+IF('[6]PART PEF2022'!X$5&lt;1,'[6]CALCULO GARANTIA'!J9*'[6]PART PEF2022'!U$5,'[6]CALCULO GARANTIA'!V9+'[6]CALCULO GARANTIA'!K9),2)</f>
        <v>4138729.86</v>
      </c>
      <c r="D9" s="407">
        <f>ROUND(+'[6]PART PEF2022'!U$11*'[6]Art.14 Frac.III'!R8,2)</f>
        <v>4464763.0599999996</v>
      </c>
      <c r="E9" s="406">
        <f>ROUND(+IF('[6]PART PEF2022'!X$6&lt;1,'[6]CALCULO GARANTIA'!L9*'[6]PART PEF2022'!U$6,'[6]CALCULO GARANTIA'!W9+'[6]CALCULO GARANTIA'!M9),2)</f>
        <v>805273.93</v>
      </c>
      <c r="F9" s="406">
        <f>ROUND(+IF('[6]PART PEF2022'!X$7&lt;1,'[6]CALCULO GARANTIA'!N9*'[6]PART PEF2022'!U$7,'[6]CALCULO GARANTIA'!X9+'[6]CALCULO GARANTIA'!O9),2)</f>
        <v>1626180.34</v>
      </c>
      <c r="G9" s="406">
        <f>ROUND(+IF('[6]PART PEF2022'!X$8&lt;1,'[6]CALCULO GARANTIA'!P9*'[6]PART PEF2022'!U$8,'[6]CALCULO GARANTIA'!Y9+'[6]CALCULO GARANTIA'!Q9),2)</f>
        <v>873638.95</v>
      </c>
      <c r="H9" s="406">
        <f>ROUND(+IF('[6]PART PEF2022'!X$9&lt;1,'[6]CALCULO GARANTIA'!R9*'[6]PART PEF2022'!U$9,'[6]CALCULO GARANTIA'!Z9+'[6]CALCULO GARANTIA'!S9),2)</f>
        <v>147663.13</v>
      </c>
      <c r="I9" s="406">
        <f>+ROUND('[6]COEF Art 14 F II'!L10,2)</f>
        <v>476187.8</v>
      </c>
      <c r="J9" s="406">
        <f>+'[6]ISR BI'!D7</f>
        <v>569769.51</v>
      </c>
      <c r="K9" s="408">
        <f t="shared" si="2"/>
        <v>42047503.590000004</v>
      </c>
      <c r="N9" s="404" t="s">
        <v>4</v>
      </c>
      <c r="O9" s="405">
        <v>29060574.41299358</v>
      </c>
      <c r="P9" s="406">
        <v>4157203.6468852279</v>
      </c>
      <c r="Q9" s="407">
        <v>5550078.5031737601</v>
      </c>
      <c r="R9" s="406">
        <v>795879.31353786914</v>
      </c>
      <c r="S9" s="406">
        <v>1612734.3941904879</v>
      </c>
      <c r="T9" s="406">
        <v>875133.50941201905</v>
      </c>
      <c r="U9" s="406">
        <v>147887.89516764478</v>
      </c>
      <c r="V9" s="406">
        <v>480390.89871389122</v>
      </c>
      <c r="W9" s="406">
        <v>606319.49822526309</v>
      </c>
      <c r="X9" s="408">
        <f t="shared" si="3"/>
        <v>43286202.072299741</v>
      </c>
      <c r="Z9" s="404" t="s">
        <v>4</v>
      </c>
      <c r="AA9" s="409">
        <f t="shared" si="4"/>
        <v>-115277.40299357846</v>
      </c>
      <c r="AB9" s="409">
        <f t="shared" si="0"/>
        <v>-18473.786885228008</v>
      </c>
      <c r="AC9" s="409">
        <f t="shared" si="0"/>
        <v>-1085315.4431737605</v>
      </c>
      <c r="AD9" s="409">
        <f t="shared" si="0"/>
        <v>9394.6164621309144</v>
      </c>
      <c r="AE9" s="409">
        <f t="shared" si="0"/>
        <v>13445.945809512166</v>
      </c>
      <c r="AF9" s="409">
        <f t="shared" si="0"/>
        <v>-1494.5594120190945</v>
      </c>
      <c r="AG9" s="409">
        <f t="shared" si="0"/>
        <v>-224.76516764477128</v>
      </c>
      <c r="AH9" s="409">
        <f t="shared" si="0"/>
        <v>-4203.0987138912315</v>
      </c>
      <c r="AI9" s="409">
        <f t="shared" si="0"/>
        <v>-36549.988225263078</v>
      </c>
      <c r="AJ9" s="411">
        <f t="shared" si="5"/>
        <v>-1238698.4822997418</v>
      </c>
      <c r="AL9" s="404" t="s">
        <v>4</v>
      </c>
      <c r="AM9" s="409">
        <f t="shared" si="1"/>
        <v>-19212.900498929743</v>
      </c>
      <c r="AN9" s="409">
        <f t="shared" si="1"/>
        <v>-3078.9644808713347</v>
      </c>
      <c r="AO9" s="409">
        <f t="shared" si="1"/>
        <v>-180885.90719562676</v>
      </c>
      <c r="AP9" s="409">
        <f t="shared" si="1"/>
        <v>1565.7694103551523</v>
      </c>
      <c r="AQ9" s="409">
        <f t="shared" si="1"/>
        <v>2240.9909682520279</v>
      </c>
      <c r="AR9" s="409">
        <f t="shared" si="1"/>
        <v>-249.09323533651573</v>
      </c>
      <c r="AS9" s="409">
        <f t="shared" si="1"/>
        <v>-37.460861274128547</v>
      </c>
      <c r="AT9" s="409">
        <f t="shared" si="1"/>
        <v>-700.51645231520524</v>
      </c>
      <c r="AU9" s="409">
        <f t="shared" si="1"/>
        <v>-6091.6647042105133</v>
      </c>
      <c r="AV9" s="411">
        <f t="shared" si="6"/>
        <v>-206449.74704995699</v>
      </c>
    </row>
    <row r="10" spans="1:48">
      <c r="A10" s="404" t="s">
        <v>235</v>
      </c>
      <c r="B10" s="405">
        <f>ROUND(IF('[6]PART PEF2022'!X$4&lt;1,'[6]CALCULO GARANTIA'!H10*'[6]PART PEF2022'!U$4,'[6]CALCULO GARANTIA'!U10+'[6]CALCULO GARANTIA'!I10),2)</f>
        <v>33984675.479999997</v>
      </c>
      <c r="C10" s="406">
        <f>ROUND(+IF('[6]PART PEF2022'!X$5&lt;1,'[6]CALCULO GARANTIA'!J10*'[6]PART PEF2022'!U$5,'[6]CALCULO GARANTIA'!V10+'[6]CALCULO GARANTIA'!K10),2)</f>
        <v>4793449.4800000004</v>
      </c>
      <c r="D10" s="407">
        <f>ROUND(+'[6]PART PEF2022'!U$11*'[6]Art.14 Frac.III'!R9,2)</f>
        <v>1299375.8999999999</v>
      </c>
      <c r="E10" s="406">
        <f>ROUND(+IF('[6]PART PEF2022'!X$6&lt;1,'[6]CALCULO GARANTIA'!L10*'[6]PART PEF2022'!U$6,'[6]CALCULO GARANTIA'!W10+'[6]CALCULO GARANTIA'!M10),2)</f>
        <v>1004598.06</v>
      </c>
      <c r="F10" s="406">
        <f>ROUND(+IF('[6]PART PEF2022'!X$7&lt;1,'[6]CALCULO GARANTIA'!N10*'[6]PART PEF2022'!U$7,'[6]CALCULO GARANTIA'!X10+'[6]CALCULO GARANTIA'!O10),2)</f>
        <v>1913673.82</v>
      </c>
      <c r="G10" s="406">
        <f>ROUND(+IF('[6]PART PEF2022'!X$8&lt;1,'[6]CALCULO GARANTIA'!P10*'[6]PART PEF2022'!U$8,'[6]CALCULO GARANTIA'!Y10+'[6]CALCULO GARANTIA'!Q10),2)</f>
        <v>1001697.74</v>
      </c>
      <c r="H10" s="406">
        <f>ROUND(+IF('[6]PART PEF2022'!X$9&lt;1,'[6]CALCULO GARANTIA'!R10*'[6]PART PEF2022'!U$9,'[6]CALCULO GARANTIA'!Z10+'[6]CALCULO GARANTIA'!S10),2)</f>
        <v>182249.35</v>
      </c>
      <c r="I10" s="406">
        <f>+ROUND('[6]COEF Art 14 F II'!L11,2)</f>
        <v>287561.87</v>
      </c>
      <c r="J10" s="406">
        <f>+'[6]ISR BI'!D8</f>
        <v>83470.929999999993</v>
      </c>
      <c r="K10" s="408">
        <f t="shared" si="2"/>
        <v>44550752.629999995</v>
      </c>
      <c r="N10" s="404" t="s">
        <v>5</v>
      </c>
      <c r="O10" s="405">
        <v>33836074.344476029</v>
      </c>
      <c r="P10" s="406">
        <v>4764309.6516555957</v>
      </c>
      <c r="Q10" s="407">
        <v>3183735.3949469277</v>
      </c>
      <c r="R10" s="406">
        <v>971761.08711665566</v>
      </c>
      <c r="S10" s="406">
        <v>1668003.2403345159</v>
      </c>
      <c r="T10" s="406">
        <v>1001841.4514884311</v>
      </c>
      <c r="U10" s="406">
        <v>182268.24282821827</v>
      </c>
      <c r="V10" s="406">
        <v>287939.98093330179</v>
      </c>
      <c r="W10" s="406">
        <v>59259.389121966567</v>
      </c>
      <c r="X10" s="408">
        <f t="shared" si="3"/>
        <v>45955192.782901645</v>
      </c>
      <c r="Z10" s="404" t="s">
        <v>5</v>
      </c>
      <c r="AA10" s="409">
        <f t="shared" si="4"/>
        <v>148601.13552396744</v>
      </c>
      <c r="AB10" s="409">
        <f t="shared" si="0"/>
        <v>29139.828344404697</v>
      </c>
      <c r="AC10" s="409">
        <f t="shared" si="0"/>
        <v>-1884359.4949469278</v>
      </c>
      <c r="AD10" s="409">
        <f t="shared" si="0"/>
        <v>32836.972883344395</v>
      </c>
      <c r="AE10" s="409">
        <f t="shared" si="0"/>
        <v>245670.57966548414</v>
      </c>
      <c r="AF10" s="409">
        <f t="shared" si="0"/>
        <v>-143.71148843108676</v>
      </c>
      <c r="AG10" s="409">
        <f t="shared" si="0"/>
        <v>-18.892828218260547</v>
      </c>
      <c r="AH10" s="409">
        <f t="shared" si="0"/>
        <v>-378.11093330179574</v>
      </c>
      <c r="AI10" s="409">
        <f t="shared" si="0"/>
        <v>24211.540878033426</v>
      </c>
      <c r="AJ10" s="411">
        <f t="shared" si="5"/>
        <v>-1404440.1529016446</v>
      </c>
      <c r="AL10" s="404" t="s">
        <v>5</v>
      </c>
      <c r="AM10" s="409">
        <f t="shared" si="1"/>
        <v>24766.855920661241</v>
      </c>
      <c r="AN10" s="409">
        <f t="shared" si="1"/>
        <v>4856.6380574007826</v>
      </c>
      <c r="AO10" s="409">
        <f t="shared" si="1"/>
        <v>-314059.91582448798</v>
      </c>
      <c r="AP10" s="409">
        <f t="shared" si="1"/>
        <v>5472.8288138907328</v>
      </c>
      <c r="AQ10" s="409">
        <f t="shared" si="1"/>
        <v>40945.096610914021</v>
      </c>
      <c r="AR10" s="409">
        <f t="shared" si="1"/>
        <v>-23.951914738514461</v>
      </c>
      <c r="AS10" s="409">
        <f t="shared" si="1"/>
        <v>-3.1488047030434245</v>
      </c>
      <c r="AT10" s="409">
        <f t="shared" si="1"/>
        <v>-63.018488883632621</v>
      </c>
      <c r="AU10" s="409">
        <f t="shared" si="1"/>
        <v>4035.2568130055711</v>
      </c>
      <c r="AV10" s="411">
        <f t="shared" si="6"/>
        <v>-234073.35881694083</v>
      </c>
    </row>
    <row r="11" spans="1:48">
      <c r="A11" s="404" t="s">
        <v>6</v>
      </c>
      <c r="B11" s="405">
        <f>ROUND(IF('[6]PART PEF2022'!X$4&lt;1,'[6]CALCULO GARANTIA'!H11*'[6]PART PEF2022'!U$4,'[6]CALCULO GARANTIA'!U11+'[6]CALCULO GARANTIA'!I11),2)</f>
        <v>276801859.93000001</v>
      </c>
      <c r="C11" s="406">
        <f>ROUND(+IF('[6]PART PEF2022'!X$5&lt;1,'[6]CALCULO GARANTIA'!J11*'[6]PART PEF2022'!U$5,'[6]CALCULO GARANTIA'!V11+'[6]CALCULO GARANTIA'!K11),2)</f>
        <v>40342598.229999997</v>
      </c>
      <c r="D11" s="407">
        <f>ROUND(+'[6]PART PEF2022'!U$11*'[6]Art.14 Frac.III'!R10,2)</f>
        <v>10432940.140000001</v>
      </c>
      <c r="E11" s="406">
        <f>ROUND(+IF('[6]PART PEF2022'!X$6&lt;1,'[6]CALCULO GARANTIA'!L11*'[6]PART PEF2022'!U$6,'[6]CALCULO GARANTIA'!W11+'[6]CALCULO GARANTIA'!M11),2)</f>
        <v>7014430.29</v>
      </c>
      <c r="F11" s="406">
        <f>ROUND(+IF('[6]PART PEF2022'!X$7&lt;1,'[6]CALCULO GARANTIA'!N11*'[6]PART PEF2022'!U$7,'[6]CALCULO GARANTIA'!X11+'[6]CALCULO GARANTIA'!O11),2)</f>
        <v>15500259.1</v>
      </c>
      <c r="G11" s="406">
        <f>ROUND(+IF('[6]PART PEF2022'!X$8&lt;1,'[6]CALCULO GARANTIA'!P11*'[6]PART PEF2022'!U$8,'[6]CALCULO GARANTIA'!Y11+'[6]CALCULO GARANTIA'!Q11),2)</f>
        <v>8633632.1199999992</v>
      </c>
      <c r="H11" s="406">
        <f>ROUND(+IF('[6]PART PEF2022'!X$9&lt;1,'[6]CALCULO GARANTIA'!R11*'[6]PART PEF2022'!U$9,'[6]CALCULO GARANTIA'!Z11+'[6]CALCULO GARANTIA'!S11),2)</f>
        <v>1309033.42</v>
      </c>
      <c r="I11" s="406">
        <f>+ROUND('[6]COEF Art 14 F II'!L12,2)</f>
        <v>7965209.5199999996</v>
      </c>
      <c r="J11" s="406">
        <f>+'[6]ISR BI'!D9</f>
        <v>6703812.6200000001</v>
      </c>
      <c r="K11" s="408">
        <f t="shared" si="2"/>
        <v>374703775.37000006</v>
      </c>
      <c r="N11" s="404" t="s">
        <v>6</v>
      </c>
      <c r="O11" s="405">
        <v>277120773.34100789</v>
      </c>
      <c r="P11" s="406">
        <v>40417122.850713685</v>
      </c>
      <c r="Q11" s="407">
        <v>10730306.362771869</v>
      </c>
      <c r="R11" s="406">
        <v>7190264.0467416923</v>
      </c>
      <c r="S11" s="406">
        <v>16893235.62134815</v>
      </c>
      <c r="T11" s="406">
        <v>8622391.0439002067</v>
      </c>
      <c r="U11" s="406">
        <v>1308201.3420619594</v>
      </c>
      <c r="V11" s="406">
        <v>7941834.0862090327</v>
      </c>
      <c r="W11" s="406">
        <v>6219859.9217495993</v>
      </c>
      <c r="X11" s="408">
        <f t="shared" si="3"/>
        <v>376443988.61650401</v>
      </c>
      <c r="Z11" s="404" t="s">
        <v>6</v>
      </c>
      <c r="AA11" s="409">
        <f t="shared" si="4"/>
        <v>-318913.41100788116</v>
      </c>
      <c r="AB11" s="409">
        <f t="shared" si="0"/>
        <v>-74524.620713688433</v>
      </c>
      <c r="AC11" s="409">
        <f t="shared" si="0"/>
        <v>-297366.22277186811</v>
      </c>
      <c r="AD11" s="409">
        <f t="shared" si="0"/>
        <v>-175833.75674169231</v>
      </c>
      <c r="AE11" s="409">
        <f t="shared" si="0"/>
        <v>-1392976.5213481504</v>
      </c>
      <c r="AF11" s="409">
        <f t="shared" si="0"/>
        <v>11241.076099792495</v>
      </c>
      <c r="AG11" s="409">
        <f t="shared" si="0"/>
        <v>832.07793804048561</v>
      </c>
      <c r="AH11" s="409">
        <f t="shared" si="0"/>
        <v>23375.433790966868</v>
      </c>
      <c r="AI11" s="409">
        <f t="shared" si="0"/>
        <v>483952.69825040083</v>
      </c>
      <c r="AJ11" s="411">
        <f t="shared" si="5"/>
        <v>-1740213.2465040796</v>
      </c>
      <c r="AL11" s="404" t="s">
        <v>6</v>
      </c>
      <c r="AM11" s="409">
        <f t="shared" si="1"/>
        <v>-53152.235167980194</v>
      </c>
      <c r="AN11" s="409">
        <f t="shared" si="1"/>
        <v>-12420.770118948072</v>
      </c>
      <c r="AO11" s="409">
        <f t="shared" si="1"/>
        <v>-49561.037128644683</v>
      </c>
      <c r="AP11" s="409">
        <f t="shared" si="1"/>
        <v>-29305.626123615384</v>
      </c>
      <c r="AQ11" s="409">
        <f t="shared" si="1"/>
        <v>-232162.75355802508</v>
      </c>
      <c r="AR11" s="409">
        <f t="shared" si="1"/>
        <v>1873.5126832987492</v>
      </c>
      <c r="AS11" s="409">
        <f t="shared" si="1"/>
        <v>138.67965634008092</v>
      </c>
      <c r="AT11" s="409">
        <f t="shared" si="1"/>
        <v>3895.9056318278112</v>
      </c>
      <c r="AU11" s="409">
        <f t="shared" si="1"/>
        <v>80658.783041733477</v>
      </c>
      <c r="AV11" s="411">
        <f t="shared" si="6"/>
        <v>-290035.5410840133</v>
      </c>
    </row>
    <row r="12" spans="1:48">
      <c r="A12" s="404" t="s">
        <v>7</v>
      </c>
      <c r="B12" s="405">
        <f>ROUND(IF('[6]PART PEF2022'!X$4&lt;1,'[6]CALCULO GARANTIA'!H12*'[6]PART PEF2022'!U$4,'[6]CALCULO GARANTIA'!U12+'[6]CALCULO GARANTIA'!I12),2)</f>
        <v>37802754.399999999</v>
      </c>
      <c r="C12" s="406">
        <f>ROUND(+IF('[6]PART PEF2022'!X$5&lt;1,'[6]CALCULO GARANTIA'!J12*'[6]PART PEF2022'!U$5,'[6]CALCULO GARANTIA'!V12+'[6]CALCULO GARANTIA'!K12),2)</f>
        <v>5302321.1500000004</v>
      </c>
      <c r="D12" s="407">
        <f>ROUND(+'[6]PART PEF2022'!U$11*'[6]Art.14 Frac.III'!R11,2)</f>
        <v>3074514.55</v>
      </c>
      <c r="E12" s="406">
        <f>ROUND(+IF('[6]PART PEF2022'!X$6&lt;1,'[6]CALCULO GARANTIA'!L12*'[6]PART PEF2022'!U$6,'[6]CALCULO GARANTIA'!W12+'[6]CALCULO GARANTIA'!M12),2)</f>
        <v>1144098.23</v>
      </c>
      <c r="F12" s="406">
        <f>ROUND(+IF('[6]PART PEF2022'!X$7&lt;1,'[6]CALCULO GARANTIA'!N12*'[6]PART PEF2022'!U$7,'[6]CALCULO GARANTIA'!X12+'[6]CALCULO GARANTIA'!O12),2)</f>
        <v>2130640.6</v>
      </c>
      <c r="G12" s="406">
        <f>ROUND(+IF('[6]PART PEF2022'!X$8&lt;1,'[6]CALCULO GARANTIA'!P12*'[6]PART PEF2022'!U$8,'[6]CALCULO GARANTIA'!Y12+'[6]CALCULO GARANTIA'!Q12),2)</f>
        <v>1103404.58</v>
      </c>
      <c r="H12" s="406">
        <f>ROUND(+IF('[6]PART PEF2022'!X$9&lt;1,'[6]CALCULO GARANTIA'!R12*'[6]PART PEF2022'!U$9,'[6]CALCULO GARANTIA'!Z12+'[6]CALCULO GARANTIA'!S12),2)</f>
        <v>206724.15</v>
      </c>
      <c r="I12" s="406">
        <f>+ROUND('[6]COEF Art 14 F II'!L13,2)</f>
        <v>254796.42</v>
      </c>
      <c r="J12" s="406">
        <f>+'[6]ISR BI'!D10</f>
        <v>25198.02</v>
      </c>
      <c r="K12" s="408">
        <f t="shared" si="2"/>
        <v>51044452.099999994</v>
      </c>
      <c r="N12" s="404" t="s">
        <v>7</v>
      </c>
      <c r="O12" s="405">
        <v>37572324.395154722</v>
      </c>
      <c r="P12" s="406">
        <v>5257591.3379979655</v>
      </c>
      <c r="Q12" s="407">
        <v>252318.78</v>
      </c>
      <c r="R12" s="406">
        <v>1097053.3394943106</v>
      </c>
      <c r="S12" s="406">
        <v>1773790.0979840311</v>
      </c>
      <c r="T12" s="406">
        <v>1103414.0617501268</v>
      </c>
      <c r="U12" s="406">
        <v>206726.4428544447</v>
      </c>
      <c r="V12" s="406">
        <v>254831.55167366145</v>
      </c>
      <c r="W12" s="406">
        <v>15421.437068740111</v>
      </c>
      <c r="X12" s="408">
        <f t="shared" si="3"/>
        <v>47533471.443977997</v>
      </c>
      <c r="Z12" s="404" t="s">
        <v>7</v>
      </c>
      <c r="AA12" s="409">
        <f t="shared" si="4"/>
        <v>230430.00484527647</v>
      </c>
      <c r="AB12" s="409">
        <f t="shared" si="0"/>
        <v>44729.812002034858</v>
      </c>
      <c r="AC12" s="409">
        <f t="shared" si="0"/>
        <v>2822195.77</v>
      </c>
      <c r="AD12" s="409">
        <f t="shared" si="0"/>
        <v>47044.890505689429</v>
      </c>
      <c r="AE12" s="409">
        <f t="shared" si="0"/>
        <v>356850.50201596902</v>
      </c>
      <c r="AF12" s="409">
        <f t="shared" si="0"/>
        <v>-9.4817501266952604</v>
      </c>
      <c r="AG12" s="409">
        <f t="shared" si="0"/>
        <v>-2.2928544447058812</v>
      </c>
      <c r="AH12" s="409">
        <f t="shared" si="0"/>
        <v>-35.131673661438981</v>
      </c>
      <c r="AI12" s="409">
        <f t="shared" si="0"/>
        <v>9776.5829312598889</v>
      </c>
      <c r="AJ12" s="411">
        <f t="shared" si="5"/>
        <v>3510980.6560219969</v>
      </c>
      <c r="AL12" s="404" t="s">
        <v>7</v>
      </c>
      <c r="AM12" s="409">
        <f t="shared" si="1"/>
        <v>38405.000807546079</v>
      </c>
      <c r="AN12" s="409">
        <f t="shared" si="1"/>
        <v>7454.9686670058099</v>
      </c>
      <c r="AO12" s="409">
        <f t="shared" si="1"/>
        <v>470365.96166666667</v>
      </c>
      <c r="AP12" s="409">
        <f t="shared" si="1"/>
        <v>7840.8150842815712</v>
      </c>
      <c r="AQ12" s="409">
        <f t="shared" si="1"/>
        <v>59475.083669328167</v>
      </c>
      <c r="AR12" s="409">
        <f t="shared" si="1"/>
        <v>-1.5802916877825435</v>
      </c>
      <c r="AS12" s="409">
        <f t="shared" si="1"/>
        <v>-0.38214240745098021</v>
      </c>
      <c r="AT12" s="409">
        <f t="shared" si="1"/>
        <v>-5.8552789435731638</v>
      </c>
      <c r="AU12" s="409">
        <f t="shared" si="1"/>
        <v>1629.4304885433148</v>
      </c>
      <c r="AV12" s="411">
        <f t="shared" si="6"/>
        <v>585163.44267033285</v>
      </c>
    </row>
    <row r="13" spans="1:48">
      <c r="A13" s="404" t="s">
        <v>8</v>
      </c>
      <c r="B13" s="405">
        <f>ROUND(IF('[6]PART PEF2022'!X$4&lt;1,'[6]CALCULO GARANTIA'!H13*'[6]PART PEF2022'!U$4,'[6]CALCULO GARANTIA'!U13+'[6]CALCULO GARANTIA'!I13),2)</f>
        <v>6541878</v>
      </c>
      <c r="C13" s="406">
        <f>ROUND(+IF('[6]PART PEF2022'!X$5&lt;1,'[6]CALCULO GARANTIA'!J13*'[6]PART PEF2022'!U$5,'[6]CALCULO GARANTIA'!V13+'[6]CALCULO GARANTIA'!K13),2)</f>
        <v>933892.17</v>
      </c>
      <c r="D13" s="407">
        <f>ROUND(+'[6]PART PEF2022'!U$11*'[6]Art.14 Frac.III'!R12,2)</f>
        <v>4228817.9400000004</v>
      </c>
      <c r="E13" s="406">
        <f>ROUND(+IF('[6]PART PEF2022'!X$6&lt;1,'[6]CALCULO GARANTIA'!L13*'[6]PART PEF2022'!U$6,'[6]CALCULO GARANTIA'!W13+'[6]CALCULO GARANTIA'!M13),2)</f>
        <v>183341.48</v>
      </c>
      <c r="F13" s="406">
        <f>ROUND(+IF('[6]PART PEF2022'!X$7&lt;1,'[6]CALCULO GARANTIA'!N13*'[6]PART PEF2022'!U$7,'[6]CALCULO GARANTIA'!X13+'[6]CALCULO GARANTIA'!O13),2)</f>
        <v>367629.66</v>
      </c>
      <c r="G13" s="406">
        <f>ROUND(+IF('[6]PART PEF2022'!X$8&lt;1,'[6]CALCULO GARANTIA'!P13*'[6]PART PEF2022'!U$8,'[6]CALCULO GARANTIA'!Y13+'[6]CALCULO GARANTIA'!Q13),2)</f>
        <v>196903.64</v>
      </c>
      <c r="H13" s="406">
        <f>ROUND(+IF('[6]PART PEF2022'!X$9&lt;1,'[6]CALCULO GARANTIA'!R13*'[6]PART PEF2022'!U$9,'[6]CALCULO GARANTIA'!Z13+'[6]CALCULO GARANTIA'!S13),2)</f>
        <v>33574.730000000003</v>
      </c>
      <c r="I13" s="406">
        <f>+ROUND('[6]COEF Art 14 F II'!L14,2)</f>
        <v>67169.02</v>
      </c>
      <c r="J13" s="406">
        <f>+'[6]ISR BI'!D11</f>
        <v>4021.77</v>
      </c>
      <c r="K13" s="408">
        <f t="shared" si="2"/>
        <v>12557228.41</v>
      </c>
      <c r="N13" s="404" t="s">
        <v>8</v>
      </c>
      <c r="O13" s="405">
        <v>6525495.6496824073</v>
      </c>
      <c r="P13" s="406">
        <v>930822.96662424202</v>
      </c>
      <c r="Q13" s="407">
        <v>4106956.7608783543</v>
      </c>
      <c r="R13" s="406">
        <v>180947.51262753698</v>
      </c>
      <c r="S13" s="406">
        <v>348722.13542583206</v>
      </c>
      <c r="T13" s="406">
        <v>196838.5674287061</v>
      </c>
      <c r="U13" s="406">
        <v>33568.127362027881</v>
      </c>
      <c r="V13" s="406">
        <v>67016.508739049983</v>
      </c>
      <c r="W13" s="406">
        <v>11023.494880565711</v>
      </c>
      <c r="X13" s="408">
        <f t="shared" si="3"/>
        <v>12401391.723648723</v>
      </c>
      <c r="Z13" s="404" t="s">
        <v>8</v>
      </c>
      <c r="AA13" s="409">
        <f t="shared" si="4"/>
        <v>16382.350317592733</v>
      </c>
      <c r="AB13" s="409">
        <f t="shared" si="0"/>
        <v>3069.2033757580211</v>
      </c>
      <c r="AC13" s="409">
        <f t="shared" si="0"/>
        <v>121861.1791216461</v>
      </c>
      <c r="AD13" s="409">
        <f t="shared" si="0"/>
        <v>2393.9673724630265</v>
      </c>
      <c r="AE13" s="409">
        <f t="shared" si="0"/>
        <v>18907.52457416791</v>
      </c>
      <c r="AF13" s="409">
        <f t="shared" si="0"/>
        <v>65.072571293916553</v>
      </c>
      <c r="AG13" s="409">
        <f t="shared" si="0"/>
        <v>6.6026379721224657</v>
      </c>
      <c r="AH13" s="409">
        <f t="shared" si="0"/>
        <v>152.5112609500211</v>
      </c>
      <c r="AI13" s="409">
        <f t="shared" si="0"/>
        <v>-7001.7248805657109</v>
      </c>
      <c r="AJ13" s="411">
        <f t="shared" si="5"/>
        <v>155836.68635127816</v>
      </c>
      <c r="AL13" s="404" t="s">
        <v>8</v>
      </c>
      <c r="AM13" s="409">
        <f t="shared" si="1"/>
        <v>2730.3917195987888</v>
      </c>
      <c r="AN13" s="409">
        <f t="shared" si="1"/>
        <v>511.53389595967019</v>
      </c>
      <c r="AO13" s="409">
        <f t="shared" si="1"/>
        <v>20310.196520274349</v>
      </c>
      <c r="AP13" s="409">
        <f t="shared" si="1"/>
        <v>398.99456207717111</v>
      </c>
      <c r="AQ13" s="409">
        <f t="shared" si="1"/>
        <v>3151.2540956946518</v>
      </c>
      <c r="AR13" s="409">
        <f t="shared" si="1"/>
        <v>10.845428548986092</v>
      </c>
      <c r="AS13" s="409">
        <f t="shared" si="1"/>
        <v>1.1004396620204109</v>
      </c>
      <c r="AT13" s="409">
        <f t="shared" si="1"/>
        <v>25.418543491670182</v>
      </c>
      <c r="AU13" s="409">
        <f t="shared" si="1"/>
        <v>-1166.9541467609517</v>
      </c>
      <c r="AV13" s="411">
        <f t="shared" si="6"/>
        <v>25972.781058546352</v>
      </c>
    </row>
    <row r="14" spans="1:48">
      <c r="A14" s="404" t="s">
        <v>236</v>
      </c>
      <c r="B14" s="405">
        <f>ROUND(IF('[6]PART PEF2022'!X$4&lt;1,'[6]CALCULO GARANTIA'!H14*'[6]PART PEF2022'!U$4,'[6]CALCULO GARANTIA'!U14+'[6]CALCULO GARANTIA'!I14),2)</f>
        <v>65168205.590000004</v>
      </c>
      <c r="C14" s="406">
        <f>ROUND(+IF('[6]PART PEF2022'!X$5&lt;1,'[6]CALCULO GARANTIA'!J14*'[6]PART PEF2022'!U$5,'[6]CALCULO GARANTIA'!V14+'[6]CALCULO GARANTIA'!K14),2)</f>
        <v>9307120.0999999996</v>
      </c>
      <c r="D14" s="407">
        <f>ROUND(+'[6]PART PEF2022'!U$11*'[6]Art.14 Frac.III'!R13,2)</f>
        <v>4910501.71</v>
      </c>
      <c r="E14" s="406">
        <f>ROUND(+IF('[6]PART PEF2022'!X$6&lt;1,'[6]CALCULO GARANTIA'!L14*'[6]PART PEF2022'!U$6,'[6]CALCULO GARANTIA'!W14+'[6]CALCULO GARANTIA'!M14),2)</f>
        <v>1822827.31</v>
      </c>
      <c r="F14" s="406">
        <f>ROUND(+IF('[6]PART PEF2022'!X$7&lt;1,'[6]CALCULO GARANTIA'!N14*'[6]PART PEF2022'!U$7,'[6]CALCULO GARANTIA'!X14+'[6]CALCULO GARANTIA'!O14),2)</f>
        <v>3661951.45</v>
      </c>
      <c r="G14" s="406">
        <f>ROUND(+IF('[6]PART PEF2022'!X$8&lt;1,'[6]CALCULO GARANTIA'!P14*'[6]PART PEF2022'!U$8,'[6]CALCULO GARANTIA'!Y14+'[6]CALCULO GARANTIA'!Q14),2)</f>
        <v>1962943.9</v>
      </c>
      <c r="H14" s="406">
        <f>ROUND(+IF('[6]PART PEF2022'!X$9&lt;1,'[6]CALCULO GARANTIA'!R14*'[6]PART PEF2022'!U$9,'[6]CALCULO GARANTIA'!Z14+'[6]CALCULO GARANTIA'!S14),2)</f>
        <v>333926.03999999998</v>
      </c>
      <c r="I14" s="406">
        <f>+ROUND('[6]COEF Art 14 F II'!L15,2)</f>
        <v>1345481.98</v>
      </c>
      <c r="J14" s="406">
        <f>+'[6]ISR BI'!D12</f>
        <v>428913.5</v>
      </c>
      <c r="K14" s="408">
        <f t="shared" si="2"/>
        <v>88941871.580000013</v>
      </c>
      <c r="N14" s="404" t="s">
        <v>9</v>
      </c>
      <c r="O14" s="405">
        <v>64944040.527526177</v>
      </c>
      <c r="P14" s="406">
        <v>9266220.3417217247</v>
      </c>
      <c r="Q14" s="407">
        <v>4608712.9104018901</v>
      </c>
      <c r="R14" s="406">
        <v>1799524.9868429711</v>
      </c>
      <c r="S14" s="406">
        <v>3470195.4846010096</v>
      </c>
      <c r="T14" s="406">
        <v>1961334.195470005</v>
      </c>
      <c r="U14" s="406">
        <v>333767.49748661474</v>
      </c>
      <c r="V14" s="406">
        <v>1341756.7049641162</v>
      </c>
      <c r="W14" s="406">
        <v>453580.05231109669</v>
      </c>
      <c r="X14" s="408">
        <f t="shared" si="3"/>
        <v>88179132.70132561</v>
      </c>
      <c r="Z14" s="404" t="s">
        <v>9</v>
      </c>
      <c r="AA14" s="409">
        <f t="shared" si="4"/>
        <v>224165.06247382611</v>
      </c>
      <c r="AB14" s="409">
        <f t="shared" si="0"/>
        <v>40899.758278274909</v>
      </c>
      <c r="AC14" s="409">
        <f t="shared" si="0"/>
        <v>301788.79959810991</v>
      </c>
      <c r="AD14" s="409">
        <f t="shared" si="0"/>
        <v>23302.323157028994</v>
      </c>
      <c r="AE14" s="409">
        <f t="shared" si="0"/>
        <v>191755.96539899055</v>
      </c>
      <c r="AF14" s="409">
        <f t="shared" si="0"/>
        <v>1609.7045299948659</v>
      </c>
      <c r="AG14" s="409">
        <f t="shared" si="0"/>
        <v>158.54251338524045</v>
      </c>
      <c r="AH14" s="409">
        <f t="shared" si="0"/>
        <v>3725.2750358837657</v>
      </c>
      <c r="AI14" s="409">
        <f t="shared" si="0"/>
        <v>-24666.55231109669</v>
      </c>
      <c r="AJ14" s="411">
        <f t="shared" si="5"/>
        <v>762738.87867439759</v>
      </c>
      <c r="AL14" s="404" t="s">
        <v>9</v>
      </c>
      <c r="AM14" s="409">
        <f t="shared" si="1"/>
        <v>37360.843745637685</v>
      </c>
      <c r="AN14" s="409">
        <f t="shared" si="1"/>
        <v>6816.6263797124848</v>
      </c>
      <c r="AO14" s="409">
        <f t="shared" si="1"/>
        <v>50298.133266351651</v>
      </c>
      <c r="AP14" s="409">
        <f t="shared" si="1"/>
        <v>3883.7205261714989</v>
      </c>
      <c r="AQ14" s="409">
        <f t="shared" si="1"/>
        <v>31959.327566498425</v>
      </c>
      <c r="AR14" s="409">
        <f t="shared" si="1"/>
        <v>268.28408833247767</v>
      </c>
      <c r="AS14" s="409">
        <f t="shared" si="1"/>
        <v>26.423752230873408</v>
      </c>
      <c r="AT14" s="409">
        <f t="shared" si="1"/>
        <v>620.87917264729424</v>
      </c>
      <c r="AU14" s="409">
        <f t="shared" si="1"/>
        <v>-4111.0920518494486</v>
      </c>
      <c r="AV14" s="411">
        <f t="shared" si="6"/>
        <v>127123.14644573293</v>
      </c>
    </row>
    <row r="15" spans="1:48">
      <c r="A15" s="404" t="s">
        <v>237</v>
      </c>
      <c r="B15" s="405">
        <f>ROUND(IF('[6]PART PEF2022'!X$4&lt;1,'[6]CALCULO GARANTIA'!H15*'[6]PART PEF2022'!U$4,'[6]CALCULO GARANTIA'!U15+'[6]CALCULO GARANTIA'!I15),2)</f>
        <v>17517280.559999999</v>
      </c>
      <c r="C15" s="406">
        <f>ROUND(+IF('[6]PART PEF2022'!X$5&lt;1,'[6]CALCULO GARANTIA'!J15*'[6]PART PEF2022'!U$5,'[6]CALCULO GARANTIA'!V15+'[6]CALCULO GARANTIA'!K15),2)</f>
        <v>2677311.2599999998</v>
      </c>
      <c r="D15" s="407">
        <f>ROUND(+'[6]PART PEF2022'!U$11*'[6]Art.14 Frac.III'!R14,2)</f>
        <v>1952480.8</v>
      </c>
      <c r="E15" s="406">
        <f>ROUND(+IF('[6]PART PEF2022'!X$6&lt;1,'[6]CALCULO GARANTIA'!L15*'[6]PART PEF2022'!U$6,'[6]CALCULO GARANTIA'!W15+'[6]CALCULO GARANTIA'!M15),2)</f>
        <v>332316.34999999998</v>
      </c>
      <c r="F15" s="406">
        <f>ROUND(+IF('[6]PART PEF2022'!X$7&lt;1,'[6]CALCULO GARANTIA'!N15*'[6]PART PEF2022'!U$7,'[6]CALCULO GARANTIA'!X15+'[6]CALCULO GARANTIA'!O15),2)</f>
        <v>972669.25</v>
      </c>
      <c r="G15" s="406">
        <f>ROUND(+IF('[6]PART PEF2022'!X$8&lt;1,'[6]CALCULO GARANTIA'!P15*'[6]PART PEF2022'!U$8,'[6]CALCULO GARANTIA'!Y15+'[6]CALCULO GARANTIA'!Q15),2)</f>
        <v>591749.81999999995</v>
      </c>
      <c r="H15" s="406">
        <f>ROUND(+IF('[6]PART PEF2022'!X$9&lt;1,'[6]CALCULO GARANTIA'!R15*'[6]PART PEF2022'!U$9,'[6]CALCULO GARANTIA'!Z15+'[6]CALCULO GARANTIA'!S15),2)</f>
        <v>66085.960000000006</v>
      </c>
      <c r="I15" s="406">
        <f>+ROUND('[6]COEF Art 14 F II'!L16,2)</f>
        <v>908132.37</v>
      </c>
      <c r="J15" s="406">
        <f>+'[6]ISR BI'!D13</f>
        <v>182873.74</v>
      </c>
      <c r="K15" s="408">
        <f t="shared" si="2"/>
        <v>25200900.110000003</v>
      </c>
      <c r="N15" s="404" t="s">
        <v>10</v>
      </c>
      <c r="O15" s="405">
        <v>17810412.894034848</v>
      </c>
      <c r="P15" s="406">
        <v>2733870.3554708618</v>
      </c>
      <c r="Q15" s="407">
        <v>2059707.8422931056</v>
      </c>
      <c r="R15" s="406">
        <v>389175.75227067131</v>
      </c>
      <c r="S15" s="406">
        <v>1403247.2192328447</v>
      </c>
      <c r="T15" s="406">
        <v>592019.2043205247</v>
      </c>
      <c r="U15" s="406">
        <v>66105.151682340933</v>
      </c>
      <c r="V15" s="406">
        <v>908685.2874673336</v>
      </c>
      <c r="W15" s="406">
        <v>220839.11854856185</v>
      </c>
      <c r="X15" s="408">
        <f t="shared" si="3"/>
        <v>26184062.825321093</v>
      </c>
      <c r="Z15" s="404" t="s">
        <v>10</v>
      </c>
      <c r="AA15" s="409">
        <f t="shared" si="4"/>
        <v>-293132.33403484896</v>
      </c>
      <c r="AB15" s="409">
        <f t="shared" si="0"/>
        <v>-56559.095470861997</v>
      </c>
      <c r="AC15" s="409">
        <f t="shared" si="0"/>
        <v>-107227.04229310551</v>
      </c>
      <c r="AD15" s="409">
        <f t="shared" si="0"/>
        <v>-56859.402270671329</v>
      </c>
      <c r="AE15" s="409">
        <f t="shared" si="0"/>
        <v>-430577.96923284465</v>
      </c>
      <c r="AF15" s="409">
        <f t="shared" si="0"/>
        <v>-269.384320524754</v>
      </c>
      <c r="AG15" s="409">
        <f t="shared" si="0"/>
        <v>-19.191682340926491</v>
      </c>
      <c r="AH15" s="409">
        <f t="shared" si="0"/>
        <v>-552.91746733360924</v>
      </c>
      <c r="AI15" s="409">
        <f t="shared" si="0"/>
        <v>-37965.378548561857</v>
      </c>
      <c r="AJ15" s="411">
        <f t="shared" si="5"/>
        <v>-983162.71532109356</v>
      </c>
      <c r="AL15" s="404" t="s">
        <v>10</v>
      </c>
      <c r="AM15" s="409">
        <f t="shared" si="1"/>
        <v>-48855.38900580816</v>
      </c>
      <c r="AN15" s="409">
        <f t="shared" si="1"/>
        <v>-9426.5159118103329</v>
      </c>
      <c r="AO15" s="409">
        <f t="shared" si="1"/>
        <v>-17871.173715517583</v>
      </c>
      <c r="AP15" s="409">
        <f t="shared" si="1"/>
        <v>-9476.5670451118876</v>
      </c>
      <c r="AQ15" s="409">
        <f t="shared" si="1"/>
        <v>-71762.994872140771</v>
      </c>
      <c r="AR15" s="409">
        <f t="shared" si="1"/>
        <v>-44.897386754125669</v>
      </c>
      <c r="AS15" s="409">
        <f t="shared" si="1"/>
        <v>-3.1986137234877483</v>
      </c>
      <c r="AT15" s="409">
        <f t="shared" si="1"/>
        <v>-92.152911222268202</v>
      </c>
      <c r="AU15" s="409">
        <f t="shared" si="1"/>
        <v>-6327.5630914269759</v>
      </c>
      <c r="AV15" s="411">
        <f t="shared" si="6"/>
        <v>-163860.45255351558</v>
      </c>
    </row>
    <row r="16" spans="1:48">
      <c r="A16" s="404" t="s">
        <v>226</v>
      </c>
      <c r="B16" s="405">
        <f>ROUND(IF('[6]PART PEF2022'!X$4&lt;1,'[6]CALCULO GARANTIA'!H16*'[6]PART PEF2022'!U$4,'[6]CALCULO GARANTIA'!U16+'[6]CALCULO GARANTIA'!I16),2)</f>
        <v>15956544.75</v>
      </c>
      <c r="C16" s="406">
        <f>ROUND(+IF('[6]PART PEF2022'!X$5&lt;1,'[6]CALCULO GARANTIA'!J16*'[6]PART PEF2022'!U$5,'[6]CALCULO GARANTIA'!V16+'[6]CALCULO GARANTIA'!K16),2)</f>
        <v>2285217.25</v>
      </c>
      <c r="D16" s="407">
        <f>ROUND(+'[6]PART PEF2022'!U$11*'[6]Art.14 Frac.III'!R15,2)</f>
        <v>2305526.3199999998</v>
      </c>
      <c r="E16" s="406">
        <f>ROUND(+IF('[6]PART PEF2022'!X$6&lt;1,'[6]CALCULO GARANTIA'!L16*'[6]PART PEF2022'!U$6,'[6]CALCULO GARANTIA'!W16+'[6]CALCULO GARANTIA'!M16),2)</f>
        <v>440616.41</v>
      </c>
      <c r="F16" s="406">
        <f>ROUND(+IF('[6]PART PEF2022'!X$7&lt;1,'[6]CALCULO GARANTIA'!N16*'[6]PART PEF2022'!U$7,'[6]CALCULO GARANTIA'!X16+'[6]CALCULO GARANTIA'!O16),2)</f>
        <v>896212.73</v>
      </c>
      <c r="G16" s="406">
        <f>ROUND(+IF('[6]PART PEF2022'!X$8&lt;1,'[6]CALCULO GARANTIA'!P16*'[6]PART PEF2022'!U$8,'[6]CALCULO GARANTIA'!Y16+'[6]CALCULO GARANTIA'!Q16),2)</f>
        <v>482950.26</v>
      </c>
      <c r="H16" s="406">
        <f>ROUND(+IF('[6]PART PEF2022'!X$9&lt;1,'[6]CALCULO GARANTIA'!R16*'[6]PART PEF2022'!U$9,'[6]CALCULO GARANTIA'!Z16+'[6]CALCULO GARANTIA'!S16),2)</f>
        <v>80905.58</v>
      </c>
      <c r="I16" s="406">
        <f>+ROUND('[6]COEF Art 14 F II'!L17,2)</f>
        <v>150754.84</v>
      </c>
      <c r="J16" s="406">
        <f>+'[6]ISR BI'!D14</f>
        <v>16612.62</v>
      </c>
      <c r="K16" s="408">
        <f t="shared" si="2"/>
        <v>22615340.760000002</v>
      </c>
      <c r="N16" s="404" t="s">
        <v>11</v>
      </c>
      <c r="O16" s="405">
        <v>15956925.979051916</v>
      </c>
      <c r="P16" s="406">
        <v>2284908.3730167528</v>
      </c>
      <c r="Q16" s="407">
        <v>4453200.8495855285</v>
      </c>
      <c r="R16" s="406">
        <v>437447.27128670778</v>
      </c>
      <c r="S16" s="406">
        <v>876874.92674750579</v>
      </c>
      <c r="T16" s="406">
        <v>483122.45838673238</v>
      </c>
      <c r="U16" s="406">
        <v>80928.115067956474</v>
      </c>
      <c r="V16" s="406">
        <v>151206.95031600661</v>
      </c>
      <c r="W16" s="406">
        <v>16690.130299496534</v>
      </c>
      <c r="X16" s="408">
        <f t="shared" si="3"/>
        <v>24741305.053758606</v>
      </c>
      <c r="Z16" s="404" t="s">
        <v>11</v>
      </c>
      <c r="AA16" s="409">
        <f t="shared" si="4"/>
        <v>-381.22905191592872</v>
      </c>
      <c r="AB16" s="409">
        <f t="shared" si="0"/>
        <v>308.87698324723169</v>
      </c>
      <c r="AC16" s="409">
        <f t="shared" si="0"/>
        <v>-2147674.5295855287</v>
      </c>
      <c r="AD16" s="409">
        <f t="shared" si="0"/>
        <v>3169.1387132921955</v>
      </c>
      <c r="AE16" s="409">
        <f t="shared" si="0"/>
        <v>19337.803252494195</v>
      </c>
      <c r="AF16" s="409">
        <f t="shared" si="0"/>
        <v>-172.19838673237246</v>
      </c>
      <c r="AG16" s="409">
        <f t="shared" si="0"/>
        <v>-22.535067956472631</v>
      </c>
      <c r="AH16" s="409">
        <f t="shared" si="0"/>
        <v>-452.11031600661227</v>
      </c>
      <c r="AI16" s="409">
        <f t="shared" si="0"/>
        <v>-77.510299496534572</v>
      </c>
      <c r="AJ16" s="411">
        <f t="shared" si="5"/>
        <v>-2125964.2937586023</v>
      </c>
      <c r="AL16" s="404" t="s">
        <v>11</v>
      </c>
      <c r="AM16" s="409">
        <f t="shared" si="1"/>
        <v>-63.538175319321454</v>
      </c>
      <c r="AN16" s="409">
        <f t="shared" si="1"/>
        <v>51.479497207871951</v>
      </c>
      <c r="AO16" s="409">
        <f t="shared" si="1"/>
        <v>-357945.75493092142</v>
      </c>
      <c r="AP16" s="409">
        <f t="shared" si="1"/>
        <v>528.18978554869921</v>
      </c>
      <c r="AQ16" s="409">
        <f t="shared" si="1"/>
        <v>3222.9672087490326</v>
      </c>
      <c r="AR16" s="409">
        <f t="shared" si="1"/>
        <v>-28.699731122062076</v>
      </c>
      <c r="AS16" s="409">
        <f t="shared" si="1"/>
        <v>-3.7558446594121051</v>
      </c>
      <c r="AT16" s="409">
        <f t="shared" si="1"/>
        <v>-75.351719334435373</v>
      </c>
      <c r="AU16" s="409">
        <f t="shared" si="1"/>
        <v>-12.918383249422428</v>
      </c>
      <c r="AV16" s="411">
        <f t="shared" si="6"/>
        <v>-354327.38229310047</v>
      </c>
    </row>
    <row r="17" spans="1:48">
      <c r="A17" s="404" t="s">
        <v>12</v>
      </c>
      <c r="B17" s="405">
        <f>ROUND(IF('[6]PART PEF2022'!X$4&lt;1,'[6]CALCULO GARANTIA'!H17*'[6]PART PEF2022'!U$4,'[6]CALCULO GARANTIA'!U17+'[6]CALCULO GARANTIA'!I17),2)</f>
        <v>31094439.449999999</v>
      </c>
      <c r="C17" s="406">
        <f>ROUND(+IF('[6]PART PEF2022'!X$5&lt;1,'[6]CALCULO GARANTIA'!J17*'[6]PART PEF2022'!U$5,'[6]CALCULO GARANTIA'!V17+'[6]CALCULO GARANTIA'!K17),2)</f>
        <v>4384774.55</v>
      </c>
      <c r="D17" s="407">
        <f>ROUND(+'[6]PART PEF2022'!U$11*'[6]Art.14 Frac.III'!R16,2)</f>
        <v>4610332.63</v>
      </c>
      <c r="E17" s="406">
        <f>ROUND(+IF('[6]PART PEF2022'!X$6&lt;1,'[6]CALCULO GARANTIA'!L17*'[6]PART PEF2022'!U$6,'[6]CALCULO GARANTIA'!W17+'[6]CALCULO GARANTIA'!M17),2)</f>
        <v>920073.06</v>
      </c>
      <c r="F17" s="406">
        <f>ROUND(+IF('[6]PART PEF2022'!X$7&lt;1,'[6]CALCULO GARANTIA'!N17*'[6]PART PEF2022'!U$7,'[6]CALCULO GARANTIA'!X17+'[6]CALCULO GARANTIA'!O17),2)</f>
        <v>1750992.34</v>
      </c>
      <c r="G17" s="406">
        <f>ROUND(+IF('[6]PART PEF2022'!X$8&lt;1,'[6]CALCULO GARANTIA'!P17*'[6]PART PEF2022'!U$8,'[6]CALCULO GARANTIA'!Y17+'[6]CALCULO GARANTIA'!Q17),2)</f>
        <v>916137.52</v>
      </c>
      <c r="H17" s="406">
        <f>ROUND(+IF('[6]PART PEF2022'!X$9&lt;1,'[6]CALCULO GARANTIA'!R17*'[6]PART PEF2022'!U$9,'[6]CALCULO GARANTIA'!Z17+'[6]CALCULO GARANTIA'!S17),2)</f>
        <v>166886.75</v>
      </c>
      <c r="I17" s="406">
        <f>+ROUND('[6]COEF Art 14 F II'!L18,2)</f>
        <v>203630.93</v>
      </c>
      <c r="J17" s="406">
        <f>+'[6]ISR BI'!D15</f>
        <v>17756.060000000001</v>
      </c>
      <c r="K17" s="408">
        <f t="shared" si="2"/>
        <v>44065023.290000014</v>
      </c>
      <c r="N17" s="404" t="s">
        <v>12</v>
      </c>
      <c r="O17" s="405">
        <v>30935475.760887917</v>
      </c>
      <c r="P17" s="406">
        <v>4354151.8704702705</v>
      </c>
      <c r="Q17" s="407">
        <v>4320351.4201957686</v>
      </c>
      <c r="R17" s="406">
        <v>889622.80215968704</v>
      </c>
      <c r="S17" s="406">
        <v>1518025.8646233163</v>
      </c>
      <c r="T17" s="406">
        <v>916015.56997143826</v>
      </c>
      <c r="U17" s="406">
        <v>166874.18015871916</v>
      </c>
      <c r="V17" s="406">
        <v>203343.32713434589</v>
      </c>
      <c r="W17" s="406">
        <v>19591.654897741966</v>
      </c>
      <c r="X17" s="408">
        <f t="shared" si="3"/>
        <v>43323452.450499207</v>
      </c>
      <c r="Z17" s="404" t="s">
        <v>12</v>
      </c>
      <c r="AA17" s="409">
        <f t="shared" si="4"/>
        <v>158963.68911208212</v>
      </c>
      <c r="AB17" s="409">
        <f t="shared" si="0"/>
        <v>30622.679529729299</v>
      </c>
      <c r="AC17" s="409">
        <f t="shared" si="0"/>
        <v>289981.2098042313</v>
      </c>
      <c r="AD17" s="409">
        <f t="shared" si="0"/>
        <v>30450.257840313017</v>
      </c>
      <c r="AE17" s="409">
        <f t="shared" si="0"/>
        <v>232966.47537668375</v>
      </c>
      <c r="AF17" s="409">
        <f t="shared" si="0"/>
        <v>121.95002856175415</v>
      </c>
      <c r="AG17" s="409">
        <f t="shared" si="0"/>
        <v>12.569841280841501</v>
      </c>
      <c r="AH17" s="409">
        <f t="shared" si="0"/>
        <v>287.60286565410206</v>
      </c>
      <c r="AI17" s="409">
        <f t="shared" si="0"/>
        <v>-1835.5948977419648</v>
      </c>
      <c r="AJ17" s="411">
        <f t="shared" si="5"/>
        <v>741570.83950079419</v>
      </c>
      <c r="AL17" s="404" t="s">
        <v>12</v>
      </c>
      <c r="AM17" s="409">
        <f t="shared" si="1"/>
        <v>26493.948185347021</v>
      </c>
      <c r="AN17" s="409">
        <f t="shared" si="1"/>
        <v>5103.7799216215499</v>
      </c>
      <c r="AO17" s="409">
        <f t="shared" si="1"/>
        <v>48330.201634038553</v>
      </c>
      <c r="AP17" s="409">
        <f t="shared" si="1"/>
        <v>5075.0429733855026</v>
      </c>
      <c r="AQ17" s="409">
        <f t="shared" si="1"/>
        <v>38827.745896113956</v>
      </c>
      <c r="AR17" s="409">
        <f t="shared" si="1"/>
        <v>20.325004760292359</v>
      </c>
      <c r="AS17" s="409">
        <f t="shared" si="1"/>
        <v>2.0949735468069171</v>
      </c>
      <c r="AT17" s="409">
        <f t="shared" si="1"/>
        <v>47.933810942350341</v>
      </c>
      <c r="AU17" s="409">
        <f t="shared" si="1"/>
        <v>-305.93248295699414</v>
      </c>
      <c r="AV17" s="411">
        <f t="shared" si="6"/>
        <v>123595.13991679905</v>
      </c>
    </row>
    <row r="18" spans="1:48">
      <c r="A18" s="404" t="s">
        <v>238</v>
      </c>
      <c r="B18" s="405">
        <f>ROUND(IF('[6]PART PEF2022'!X$4&lt;1,'[6]CALCULO GARANTIA'!H18*'[6]PART PEF2022'!U$4,'[6]CALCULO GARANTIA'!U18+'[6]CALCULO GARANTIA'!I18),2)</f>
        <v>20045397.960000001</v>
      </c>
      <c r="C18" s="406">
        <f>ROUND(+IF('[6]PART PEF2022'!X$5&lt;1,'[6]CALCULO GARANTIA'!J18*'[6]PART PEF2022'!U$5,'[6]CALCULO GARANTIA'!V18+'[6]CALCULO GARANTIA'!K18),2)</f>
        <v>2949696.02</v>
      </c>
      <c r="D18" s="407">
        <f>ROUND(+'[6]PART PEF2022'!U$11*'[6]Art.14 Frac.III'!R17,2)</f>
        <v>2736281.98</v>
      </c>
      <c r="E18" s="406">
        <f>ROUND(+IF('[6]PART PEF2022'!X$6&lt;1,'[6]CALCULO GARANTIA'!L18*'[6]PART PEF2022'!U$6,'[6]CALCULO GARANTIA'!W18+'[6]CALCULO GARANTIA'!M18),2)</f>
        <v>482668.93</v>
      </c>
      <c r="F18" s="406">
        <f>ROUND(+IF('[6]PART PEF2022'!X$7&lt;1,'[6]CALCULO GARANTIA'!N18*'[6]PART PEF2022'!U$7,'[6]CALCULO GARANTIA'!X18+'[6]CALCULO GARANTIA'!O18),2)</f>
        <v>1120623.27</v>
      </c>
      <c r="G18" s="406">
        <f>ROUND(+IF('[6]PART PEF2022'!X$8&lt;1,'[6]CALCULO GARANTIA'!P18*'[6]PART PEF2022'!U$8,'[6]CALCULO GARANTIA'!Y18+'[6]CALCULO GARANTIA'!Q18),2)</f>
        <v>635517.11</v>
      </c>
      <c r="H18" s="406">
        <f>ROUND(+IF('[6]PART PEF2022'!X$9&lt;1,'[6]CALCULO GARANTIA'!R18*'[6]PART PEF2022'!U$9,'[6]CALCULO GARANTIA'!Z18+'[6]CALCULO GARANTIA'!S18),2)</f>
        <v>90998.31</v>
      </c>
      <c r="I18" s="406">
        <f>+ROUND('[6]COEF Art 14 F II'!L19,2)</f>
        <v>706932.64</v>
      </c>
      <c r="J18" s="406">
        <f>+'[6]ISR BI'!D16</f>
        <v>1085795.69</v>
      </c>
      <c r="K18" s="408">
        <f t="shared" si="2"/>
        <v>29853911.91</v>
      </c>
      <c r="N18" s="404" t="s">
        <v>13</v>
      </c>
      <c r="O18" s="405">
        <v>20168742.989802387</v>
      </c>
      <c r="P18" s="406">
        <v>2973444.7599881566</v>
      </c>
      <c r="Q18" s="407">
        <v>2742909.7864824985</v>
      </c>
      <c r="R18" s="406">
        <v>506286.89719990792</v>
      </c>
      <c r="S18" s="406">
        <v>1306981.9417921859</v>
      </c>
      <c r="T18" s="406">
        <v>635474.3983149475</v>
      </c>
      <c r="U18" s="406">
        <v>91006.571569734777</v>
      </c>
      <c r="V18" s="406">
        <v>706953.60674510314</v>
      </c>
      <c r="W18" s="406">
        <v>915223.72310104256</v>
      </c>
      <c r="X18" s="408">
        <f t="shared" si="3"/>
        <v>30047024.674995959</v>
      </c>
      <c r="Z18" s="404" t="s">
        <v>13</v>
      </c>
      <c r="AA18" s="409">
        <f t="shared" si="4"/>
        <v>-123345.02980238572</v>
      </c>
      <c r="AB18" s="409">
        <f t="shared" si="0"/>
        <v>-23748.739988156594</v>
      </c>
      <c r="AC18" s="409">
        <f t="shared" si="0"/>
        <v>-6627.806482498534</v>
      </c>
      <c r="AD18" s="409">
        <f t="shared" si="0"/>
        <v>-23617.967199907929</v>
      </c>
      <c r="AE18" s="409">
        <f t="shared" si="0"/>
        <v>-186358.67179218587</v>
      </c>
      <c r="AF18" s="409">
        <f t="shared" si="0"/>
        <v>42.711685052490793</v>
      </c>
      <c r="AG18" s="409">
        <f t="shared" si="0"/>
        <v>-8.2615697347791865</v>
      </c>
      <c r="AH18" s="409">
        <f t="shared" si="0"/>
        <v>-20.966745103127323</v>
      </c>
      <c r="AI18" s="409">
        <f t="shared" si="0"/>
        <v>170571.96689895738</v>
      </c>
      <c r="AJ18" s="411">
        <f t="shared" si="5"/>
        <v>-193112.76499596267</v>
      </c>
      <c r="AL18" s="404" t="s">
        <v>13</v>
      </c>
      <c r="AM18" s="409">
        <f t="shared" si="1"/>
        <v>-20557.504967064287</v>
      </c>
      <c r="AN18" s="409">
        <f t="shared" si="1"/>
        <v>-3958.1233313594325</v>
      </c>
      <c r="AO18" s="409">
        <f t="shared" si="1"/>
        <v>-1104.6344137497556</v>
      </c>
      <c r="AP18" s="409">
        <f t="shared" si="1"/>
        <v>-3936.3278666513215</v>
      </c>
      <c r="AQ18" s="409">
        <f t="shared" si="1"/>
        <v>-31059.778632030979</v>
      </c>
      <c r="AR18" s="409">
        <f t="shared" si="1"/>
        <v>7.1186141754151322</v>
      </c>
      <c r="AS18" s="409">
        <f t="shared" si="1"/>
        <v>-1.3769282891298644</v>
      </c>
      <c r="AT18" s="409">
        <f t="shared" si="1"/>
        <v>-3.4944575171878873</v>
      </c>
      <c r="AU18" s="409">
        <f t="shared" si="1"/>
        <v>28428.661149826232</v>
      </c>
      <c r="AV18" s="411">
        <f t="shared" si="6"/>
        <v>-32185.460832660447</v>
      </c>
    </row>
    <row r="19" spans="1:48">
      <c r="A19" s="404" t="s">
        <v>14</v>
      </c>
      <c r="B19" s="405">
        <f>ROUND(IF('[6]PART PEF2022'!X$4&lt;1,'[6]CALCULO GARANTIA'!H19*'[6]PART PEF2022'!U$4,'[6]CALCULO GARANTIA'!U19+'[6]CALCULO GARANTIA'!I19),2)</f>
        <v>84936198.780000001</v>
      </c>
      <c r="C19" s="406">
        <f>ROUND(+IF('[6]PART PEF2022'!X$5&lt;1,'[6]CALCULO GARANTIA'!J19*'[6]PART PEF2022'!U$5,'[6]CALCULO GARANTIA'!V19+'[6]CALCULO GARANTIA'!K19),2)</f>
        <v>11908804.48</v>
      </c>
      <c r="D19" s="407">
        <f>ROUND(+'[6]PART PEF2022'!U$11*'[6]Art.14 Frac.III'!R18,2)</f>
        <v>2216833.56</v>
      </c>
      <c r="E19" s="406">
        <f>ROUND(+IF('[6]PART PEF2022'!X$6&lt;1,'[6]CALCULO GARANTIA'!L19*'[6]PART PEF2022'!U$6,'[6]CALCULO GARANTIA'!W19+'[6]CALCULO GARANTIA'!M19),2)</f>
        <v>2574708.6800000002</v>
      </c>
      <c r="F19" s="406">
        <f>ROUND(+IF('[6]PART PEF2022'!X$7&lt;1,'[6]CALCULO GARANTIA'!N19*'[6]PART PEF2022'!U$7,'[6]CALCULO GARANTIA'!X19+'[6]CALCULO GARANTIA'!O19),2)</f>
        <v>4787482.82</v>
      </c>
      <c r="G19" s="406">
        <f>ROUND(+IF('[6]PART PEF2022'!X$8&lt;1,'[6]CALCULO GARANTIA'!P19*'[6]PART PEF2022'!U$8,'[6]CALCULO GARANTIA'!Y19+'[6]CALCULO GARANTIA'!Q19),2)</f>
        <v>2477482.7000000002</v>
      </c>
      <c r="H19" s="406">
        <f>ROUND(+IF('[6]PART PEF2022'!X$9&lt;1,'[6]CALCULO GARANTIA'!R19*'[6]PART PEF2022'!U$9,'[6]CALCULO GARANTIA'!Z19+'[6]CALCULO GARANTIA'!S19),2)</f>
        <v>465091.67</v>
      </c>
      <c r="I19" s="406">
        <f>+ROUND('[6]COEF Art 14 F II'!L20,2)</f>
        <v>569585.25</v>
      </c>
      <c r="J19" s="406">
        <f>+'[6]ISR BI'!D17</f>
        <v>3719.31</v>
      </c>
      <c r="K19" s="408">
        <f t="shared" si="2"/>
        <v>109939907.25000003</v>
      </c>
      <c r="N19" s="404" t="s">
        <v>14</v>
      </c>
      <c r="O19" s="405">
        <v>84405958.804207176</v>
      </c>
      <c r="P19" s="406">
        <v>11805994.538421549</v>
      </c>
      <c r="Q19" s="407">
        <v>1972623.1741075842</v>
      </c>
      <c r="R19" s="406">
        <v>2467440.1916511119</v>
      </c>
      <c r="S19" s="406">
        <v>3971848.8805889091</v>
      </c>
      <c r="T19" s="406">
        <v>2477465.3981963745</v>
      </c>
      <c r="U19" s="406">
        <v>465090.29032773559</v>
      </c>
      <c r="V19" s="406">
        <v>569548.26030370535</v>
      </c>
      <c r="W19" s="406">
        <v>3801.1637656182024</v>
      </c>
      <c r="X19" s="408">
        <f t="shared" si="3"/>
        <v>108139770.70156975</v>
      </c>
      <c r="Z19" s="404" t="s">
        <v>14</v>
      </c>
      <c r="AA19" s="409">
        <f t="shared" si="4"/>
        <v>530239.97579282522</v>
      </c>
      <c r="AB19" s="409">
        <f t="shared" si="0"/>
        <v>102809.94157845154</v>
      </c>
      <c r="AC19" s="409">
        <f t="shared" si="0"/>
        <v>244210.38589241588</v>
      </c>
      <c r="AD19" s="409">
        <f t="shared" si="0"/>
        <v>107268.48834888823</v>
      </c>
      <c r="AE19" s="409">
        <f t="shared" si="0"/>
        <v>815633.93941109115</v>
      </c>
      <c r="AF19" s="409">
        <f t="shared" si="0"/>
        <v>17.301803625654429</v>
      </c>
      <c r="AG19" s="409">
        <f t="shared" si="0"/>
        <v>1.3796722643892281</v>
      </c>
      <c r="AH19" s="409">
        <f t="shared" si="0"/>
        <v>36.989696294651367</v>
      </c>
      <c r="AI19" s="409">
        <f t="shared" si="0"/>
        <v>-81.853765618202488</v>
      </c>
      <c r="AJ19" s="411">
        <f t="shared" si="5"/>
        <v>1800136.5484302386</v>
      </c>
      <c r="AL19" s="404" t="s">
        <v>14</v>
      </c>
      <c r="AM19" s="409">
        <f t="shared" si="1"/>
        <v>88373.329298804209</v>
      </c>
      <c r="AN19" s="409">
        <f t="shared" si="1"/>
        <v>17134.990263075259</v>
      </c>
      <c r="AO19" s="409">
        <f t="shared" si="1"/>
        <v>40701.730982069312</v>
      </c>
      <c r="AP19" s="409">
        <f t="shared" si="1"/>
        <v>17878.081391481373</v>
      </c>
      <c r="AQ19" s="409">
        <f t="shared" si="1"/>
        <v>135938.98990184852</v>
      </c>
      <c r="AR19" s="409">
        <f t="shared" si="1"/>
        <v>2.8836339376090714</v>
      </c>
      <c r="AS19" s="409">
        <f t="shared" si="1"/>
        <v>0.22994537739820467</v>
      </c>
      <c r="AT19" s="409">
        <f t="shared" si="1"/>
        <v>6.1649493824418942</v>
      </c>
      <c r="AU19" s="409">
        <f t="shared" si="1"/>
        <v>-13.642294269700415</v>
      </c>
      <c r="AV19" s="411">
        <f t="shared" si="6"/>
        <v>300022.7580717064</v>
      </c>
    </row>
    <row r="20" spans="1:48">
      <c r="A20" s="404" t="s">
        <v>15</v>
      </c>
      <c r="B20" s="405">
        <f>ROUND(IF('[6]PART PEF2022'!X$4&lt;1,'[6]CALCULO GARANTIA'!H20*'[6]PART PEF2022'!U$4,'[6]CALCULO GARANTIA'!U20+'[6]CALCULO GARANTIA'!I20),2)</f>
        <v>10934608.02</v>
      </c>
      <c r="C20" s="406">
        <f>ROUND(+IF('[6]PART PEF2022'!X$5&lt;1,'[6]CALCULO GARANTIA'!J20*'[6]PART PEF2022'!U$5,'[6]CALCULO GARANTIA'!V20+'[6]CALCULO GARANTIA'!K20),2)</f>
        <v>1538098.05</v>
      </c>
      <c r="D20" s="407">
        <f>ROUND(+'[6]PART PEF2022'!U$11*'[6]Art.14 Frac.III'!R19,2)</f>
        <v>2245819.52</v>
      </c>
      <c r="E20" s="406">
        <f>ROUND(+IF('[6]PART PEF2022'!X$6&lt;1,'[6]CALCULO GARANTIA'!L20*'[6]PART PEF2022'!U$6,'[6]CALCULO GARANTIA'!W20+'[6]CALCULO GARANTIA'!M20),2)</f>
        <v>327002.43</v>
      </c>
      <c r="F20" s="406">
        <f>ROUND(+IF('[6]PART PEF2022'!X$7&lt;1,'[6]CALCULO GARANTIA'!N20*'[6]PART PEF2022'!U$7,'[6]CALCULO GARANTIA'!X20+'[6]CALCULO GARANTIA'!O20),2)</f>
        <v>616005.85</v>
      </c>
      <c r="G20" s="406">
        <f>ROUND(+IF('[6]PART PEF2022'!X$8&lt;1,'[6]CALCULO GARANTIA'!P20*'[6]PART PEF2022'!U$8,'[6]CALCULO GARANTIA'!Y20+'[6]CALCULO GARANTIA'!Q20),2)</f>
        <v>320763.67</v>
      </c>
      <c r="H20" s="406">
        <f>ROUND(+IF('[6]PART PEF2022'!X$9&lt;1,'[6]CALCULO GARANTIA'!R20*'[6]PART PEF2022'!U$9,'[6]CALCULO GARANTIA'!Z20+'[6]CALCULO GARANTIA'!S20),2)</f>
        <v>59205.3</v>
      </c>
      <c r="I20" s="406">
        <f>+ROUND('[6]COEF Art 14 F II'!L21,2)</f>
        <v>48205.599999999999</v>
      </c>
      <c r="J20" s="406">
        <f>+'[6]ISR BI'!D18</f>
        <v>772.81</v>
      </c>
      <c r="K20" s="408">
        <f t="shared" si="2"/>
        <v>16090481.25</v>
      </c>
      <c r="N20" s="404" t="s">
        <v>15</v>
      </c>
      <c r="O20" s="405">
        <v>10875053.932752158</v>
      </c>
      <c r="P20" s="406">
        <v>1526550.2393554023</v>
      </c>
      <c r="Q20" s="407">
        <v>2214688.7219633884</v>
      </c>
      <c r="R20" s="406">
        <v>314949.99878978694</v>
      </c>
      <c r="S20" s="406">
        <v>524442.52626212384</v>
      </c>
      <c r="T20" s="406">
        <v>320760.18900513067</v>
      </c>
      <c r="U20" s="406">
        <v>59205.157867116708</v>
      </c>
      <c r="V20" s="406">
        <v>48199.456411052655</v>
      </c>
      <c r="W20" s="406">
        <v>1199.8950739671013</v>
      </c>
      <c r="X20" s="408">
        <f t="shared" si="3"/>
        <v>15885050.117480127</v>
      </c>
      <c r="Z20" s="404" t="s">
        <v>15</v>
      </c>
      <c r="AA20" s="409">
        <f t="shared" si="4"/>
        <v>59554.08724784106</v>
      </c>
      <c r="AB20" s="409">
        <f t="shared" si="0"/>
        <v>11547.810644597746</v>
      </c>
      <c r="AC20" s="409">
        <f t="shared" si="0"/>
        <v>31130.798036611639</v>
      </c>
      <c r="AD20" s="409">
        <f t="shared" si="0"/>
        <v>12052.43121021305</v>
      </c>
      <c r="AE20" s="409">
        <f t="shared" si="0"/>
        <v>91563.323737876141</v>
      </c>
      <c r="AF20" s="409">
        <f t="shared" si="0"/>
        <v>3.4809948693145998</v>
      </c>
      <c r="AG20" s="409">
        <f t="shared" si="0"/>
        <v>0.14213288329483476</v>
      </c>
      <c r="AH20" s="409">
        <f t="shared" si="0"/>
        <v>6.1435889473432326</v>
      </c>
      <c r="AI20" s="409">
        <f t="shared" si="0"/>
        <v>-427.08507396710138</v>
      </c>
      <c r="AJ20" s="411">
        <f t="shared" si="5"/>
        <v>205431.13251987248</v>
      </c>
      <c r="AL20" s="404" t="s">
        <v>15</v>
      </c>
      <c r="AM20" s="409">
        <f t="shared" si="1"/>
        <v>9925.68120797351</v>
      </c>
      <c r="AN20" s="409">
        <f t="shared" si="1"/>
        <v>1924.6351074329577</v>
      </c>
      <c r="AO20" s="409">
        <f t="shared" si="1"/>
        <v>5188.4663394352729</v>
      </c>
      <c r="AP20" s="409">
        <f t="shared" si="1"/>
        <v>2008.7385350355082</v>
      </c>
      <c r="AQ20" s="409">
        <f t="shared" si="1"/>
        <v>15260.553956312689</v>
      </c>
      <c r="AR20" s="409">
        <f t="shared" si="1"/>
        <v>0.5801658115524333</v>
      </c>
      <c r="AS20" s="409">
        <f t="shared" si="1"/>
        <v>2.3688813882472459E-2</v>
      </c>
      <c r="AT20" s="409">
        <f t="shared" si="1"/>
        <v>1.0239314912238722</v>
      </c>
      <c r="AU20" s="409">
        <f t="shared" si="1"/>
        <v>-71.180845661183568</v>
      </c>
      <c r="AV20" s="411">
        <f t="shared" si="6"/>
        <v>34238.522086645411</v>
      </c>
    </row>
    <row r="21" spans="1:48">
      <c r="A21" s="404" t="s">
        <v>239</v>
      </c>
      <c r="B21" s="405">
        <f>ROUND(IF('[6]PART PEF2022'!X$4&lt;1,'[6]CALCULO GARANTIA'!H21*'[6]PART PEF2022'!U$4,'[6]CALCULO GARANTIA'!U21+'[6]CALCULO GARANTIA'!I21),2)</f>
        <v>7691742.1200000001</v>
      </c>
      <c r="C21" s="406">
        <f>ROUND(+IF('[6]PART PEF2022'!X$5&lt;1,'[6]CALCULO GARANTIA'!J21*'[6]PART PEF2022'!U$5,'[6]CALCULO GARANTIA'!V21+'[6]CALCULO GARANTIA'!K21),2)</f>
        <v>1082774.8899999999</v>
      </c>
      <c r="D21" s="407">
        <f>ROUND(+'[6]PART PEF2022'!U$11*'[6]Art.14 Frac.III'!R20,2)</f>
        <v>7418438.8399999999</v>
      </c>
      <c r="E21" s="406">
        <f>ROUND(+IF('[6]PART PEF2022'!X$6&lt;1,'[6]CALCULO GARANTIA'!L21*'[6]PART PEF2022'!U$6,'[6]CALCULO GARANTIA'!W21+'[6]CALCULO GARANTIA'!M21),2)</f>
        <v>229279.06</v>
      </c>
      <c r="F21" s="406">
        <f>ROUND(+IF('[6]PART PEF2022'!X$7&lt;1,'[6]CALCULO GARANTIA'!N21*'[6]PART PEF2022'!U$7,'[6]CALCULO GARANTIA'!X21+'[6]CALCULO GARANTIA'!O21),2)</f>
        <v>433262.5</v>
      </c>
      <c r="G21" s="406">
        <f>ROUND(+IF('[6]PART PEF2022'!X$8&lt;1,'[6]CALCULO GARANTIA'!P21*'[6]PART PEF2022'!U$8,'[6]CALCULO GARANTIA'!Y21+'[6]CALCULO GARANTIA'!Q21),2)</f>
        <v>225937.87</v>
      </c>
      <c r="H21" s="406">
        <f>ROUND(+IF('[6]PART PEF2022'!X$9&lt;1,'[6]CALCULO GARANTIA'!R21*'[6]PART PEF2022'!U$9,'[6]CALCULO GARANTIA'!Z21+'[6]CALCULO GARANTIA'!S21),2)</f>
        <v>41535.040000000001</v>
      </c>
      <c r="I21" s="406">
        <f>+ROUND('[6]COEF Art 14 F II'!L22,2)</f>
        <v>54066.83</v>
      </c>
      <c r="J21" s="406">
        <f>+'[6]ISR BI'!D19</f>
        <v>14323.26</v>
      </c>
      <c r="K21" s="408">
        <f t="shared" si="2"/>
        <v>17191360.41</v>
      </c>
      <c r="N21" s="404" t="s">
        <v>16</v>
      </c>
      <c r="O21" s="405">
        <v>7640018.4320926899</v>
      </c>
      <c r="P21" s="406">
        <v>1073007.3521510758</v>
      </c>
      <c r="Q21" s="407">
        <v>6659746.542520795</v>
      </c>
      <c r="R21" s="406">
        <v>221046.91500652902</v>
      </c>
      <c r="S21" s="406">
        <v>368304.40895241249</v>
      </c>
      <c r="T21" s="406">
        <v>225795.6569520137</v>
      </c>
      <c r="U21" s="406">
        <v>41519.168196074112</v>
      </c>
      <c r="V21" s="406">
        <v>53719.716708764747</v>
      </c>
      <c r="W21" s="406">
        <v>31024.319139363997</v>
      </c>
      <c r="X21" s="408">
        <f t="shared" si="3"/>
        <v>16314182.51171972</v>
      </c>
      <c r="Z21" s="404" t="s">
        <v>16</v>
      </c>
      <c r="AA21" s="409">
        <f t="shared" si="4"/>
        <v>51723.687907310203</v>
      </c>
      <c r="AB21" s="409">
        <f t="shared" si="0"/>
        <v>9767.5378489240538</v>
      </c>
      <c r="AC21" s="409">
        <f t="shared" si="0"/>
        <v>758692.29747920483</v>
      </c>
      <c r="AD21" s="409">
        <f t="shared" si="0"/>
        <v>8232.1449934709817</v>
      </c>
      <c r="AE21" s="409">
        <f t="shared" si="0"/>
        <v>64958.091047587513</v>
      </c>
      <c r="AF21" s="409">
        <f t="shared" si="0"/>
        <v>142.21304798629717</v>
      </c>
      <c r="AG21" s="409">
        <f t="shared" si="0"/>
        <v>15.871803925889253</v>
      </c>
      <c r="AH21" s="409">
        <f t="shared" si="0"/>
        <v>347.11329123525502</v>
      </c>
      <c r="AI21" s="409">
        <f t="shared" si="0"/>
        <v>-16701.059139363999</v>
      </c>
      <c r="AJ21" s="411">
        <f t="shared" si="5"/>
        <v>877177.89828028099</v>
      </c>
      <c r="AL21" s="404" t="s">
        <v>16</v>
      </c>
      <c r="AM21" s="409">
        <f t="shared" si="1"/>
        <v>8620.6146512183677</v>
      </c>
      <c r="AN21" s="409">
        <f t="shared" si="1"/>
        <v>1627.9229748206756</v>
      </c>
      <c r="AO21" s="409">
        <f t="shared" si="1"/>
        <v>126448.71624653414</v>
      </c>
      <c r="AP21" s="409">
        <f t="shared" si="1"/>
        <v>1372.0241655784969</v>
      </c>
      <c r="AQ21" s="409">
        <f t="shared" si="1"/>
        <v>10826.348507931252</v>
      </c>
      <c r="AR21" s="409">
        <f t="shared" si="1"/>
        <v>23.702174664382863</v>
      </c>
      <c r="AS21" s="409">
        <f t="shared" si="1"/>
        <v>2.6453006543148754</v>
      </c>
      <c r="AT21" s="409">
        <f t="shared" si="1"/>
        <v>57.852215205875837</v>
      </c>
      <c r="AU21" s="409">
        <f t="shared" si="1"/>
        <v>-2783.5098565606663</v>
      </c>
      <c r="AV21" s="411">
        <f t="shared" si="6"/>
        <v>146196.31638004683</v>
      </c>
    </row>
    <row r="22" spans="1:48">
      <c r="A22" s="404" t="s">
        <v>17</v>
      </c>
      <c r="B22" s="405">
        <f>ROUND(IF('[6]PART PEF2022'!X$4&lt;1,'[6]CALCULO GARANTIA'!H22*'[6]PART PEF2022'!U$4,'[6]CALCULO GARANTIA'!U22+'[6]CALCULO GARANTIA'!I22),2)</f>
        <v>67221143.090000004</v>
      </c>
      <c r="C22" s="406">
        <f>ROUND(+IF('[6]PART PEF2022'!X$5&lt;1,'[6]CALCULO GARANTIA'!J22*'[6]PART PEF2022'!U$5,'[6]CALCULO GARANTIA'!V22+'[6]CALCULO GARANTIA'!K22),2)</f>
        <v>9468896.3399999999</v>
      </c>
      <c r="D22" s="407">
        <f>ROUND(+'[6]PART PEF2022'!U$11*'[6]Art.14 Frac.III'!R21,2)</f>
        <v>1364933.5</v>
      </c>
      <c r="E22" s="406">
        <f>ROUND(+IF('[6]PART PEF2022'!X$6&lt;1,'[6]CALCULO GARANTIA'!L22*'[6]PART PEF2022'!U$6,'[6]CALCULO GARANTIA'!W22+'[6]CALCULO GARANTIA'!M22),2)</f>
        <v>1998278.17</v>
      </c>
      <c r="F22" s="406">
        <f>ROUND(+IF('[6]PART PEF2022'!X$7&lt;1,'[6]CALCULO GARANTIA'!N22*'[6]PART PEF2022'!U$7,'[6]CALCULO GARANTIA'!X22+'[6]CALCULO GARANTIA'!O22),2)</f>
        <v>3786044.88</v>
      </c>
      <c r="G22" s="406">
        <f>ROUND(+IF('[6]PART PEF2022'!X$8&lt;1,'[6]CALCULO GARANTIA'!P22*'[6]PART PEF2022'!U$8,'[6]CALCULO GARANTIA'!Y22+'[6]CALCULO GARANTIA'!Q22),2)</f>
        <v>1976788.19</v>
      </c>
      <c r="H22" s="406">
        <f>ROUND(+IF('[6]PART PEF2022'!X$9&lt;1,'[6]CALCULO GARANTIA'!R22*'[6]PART PEF2022'!U$9,'[6]CALCULO GARANTIA'!Z22+'[6]CALCULO GARANTIA'!S22),2)</f>
        <v>362167.93</v>
      </c>
      <c r="I22" s="406">
        <f>+ROUND('[6]COEF Art 14 F II'!L23,2)</f>
        <v>609084.86</v>
      </c>
      <c r="J22" s="406">
        <f>+'[6]ISR BI'!D20</f>
        <v>21888.080000000002</v>
      </c>
      <c r="K22" s="408">
        <f t="shared" si="2"/>
        <v>86809225.040000007</v>
      </c>
      <c r="N22" s="404" t="s">
        <v>17</v>
      </c>
      <c r="O22" s="405">
        <v>66879153.56209863</v>
      </c>
      <c r="P22" s="406">
        <v>9402571.4603857212</v>
      </c>
      <c r="Q22" s="407">
        <v>1328403.2362179207</v>
      </c>
      <c r="R22" s="406">
        <v>1928962.319305154</v>
      </c>
      <c r="S22" s="406">
        <v>3259185.8251129347</v>
      </c>
      <c r="T22" s="406">
        <v>1976783.8713905977</v>
      </c>
      <c r="U22" s="406">
        <v>362167.93894824968</v>
      </c>
      <c r="V22" s="406">
        <v>609079.06869392586</v>
      </c>
      <c r="W22" s="406">
        <v>21342.80737709552</v>
      </c>
      <c r="X22" s="408">
        <f t="shared" si="3"/>
        <v>85767650.089530215</v>
      </c>
      <c r="Z22" s="404" t="s">
        <v>17</v>
      </c>
      <c r="AA22" s="409">
        <f t="shared" si="4"/>
        <v>341989.5279013738</v>
      </c>
      <c r="AB22" s="409">
        <f t="shared" si="4"/>
        <v>66324.879614278674</v>
      </c>
      <c r="AC22" s="409">
        <f t="shared" si="4"/>
        <v>36530.263782079332</v>
      </c>
      <c r="AD22" s="409">
        <f t="shared" si="4"/>
        <v>69315.850694845896</v>
      </c>
      <c r="AE22" s="409">
        <f t="shared" si="4"/>
        <v>526859.0548870652</v>
      </c>
      <c r="AF22" s="409">
        <f t="shared" si="4"/>
        <v>4.3186094022821635</v>
      </c>
      <c r="AG22" s="409">
        <f t="shared" si="4"/>
        <v>-8.9482496841810644E-3</v>
      </c>
      <c r="AH22" s="409">
        <f t="shared" si="4"/>
        <v>5.7913060741266236</v>
      </c>
      <c r="AI22" s="409">
        <f t="shared" si="4"/>
        <v>545.27262290448198</v>
      </c>
      <c r="AJ22" s="411">
        <f t="shared" si="5"/>
        <v>1041574.9504697741</v>
      </c>
      <c r="AL22" s="404" t="s">
        <v>17</v>
      </c>
      <c r="AM22" s="409">
        <f t="shared" ref="AM22:AU50" si="7">+AA22/6</f>
        <v>56998.25465022897</v>
      </c>
      <c r="AN22" s="409">
        <f t="shared" si="7"/>
        <v>11054.146602379778</v>
      </c>
      <c r="AO22" s="409">
        <f t="shared" si="7"/>
        <v>6088.3772970132222</v>
      </c>
      <c r="AP22" s="409">
        <f t="shared" si="7"/>
        <v>11552.641782474317</v>
      </c>
      <c r="AQ22" s="409">
        <f t="shared" si="7"/>
        <v>87809.842481177533</v>
      </c>
      <c r="AR22" s="409">
        <f t="shared" si="7"/>
        <v>0.71976823371369392</v>
      </c>
      <c r="AS22" s="409">
        <f t="shared" si="7"/>
        <v>-1.4913749473635107E-3</v>
      </c>
      <c r="AT22" s="409">
        <f t="shared" si="7"/>
        <v>0.96521767902110389</v>
      </c>
      <c r="AU22" s="409">
        <f t="shared" si="7"/>
        <v>90.878770484080334</v>
      </c>
      <c r="AV22" s="411">
        <f t="shared" si="6"/>
        <v>173595.82507829569</v>
      </c>
    </row>
    <row r="23" spans="1:48">
      <c r="A23" s="404" t="s">
        <v>240</v>
      </c>
      <c r="B23" s="405">
        <f>ROUND(IF('[6]PART PEF2022'!X$4&lt;1,'[6]CALCULO GARANTIA'!H23*'[6]PART PEF2022'!U$4,'[6]CALCULO GARANTIA'!U23+'[6]CALCULO GARANTIA'!I23),2)</f>
        <v>106486598.39</v>
      </c>
      <c r="C23" s="406">
        <f>ROUND(+IF('[6]PART PEF2022'!X$5&lt;1,'[6]CALCULO GARANTIA'!J23*'[6]PART PEF2022'!U$5,'[6]CALCULO GARANTIA'!V23+'[6]CALCULO GARANTIA'!K23),2)</f>
        <v>15700547.68</v>
      </c>
      <c r="D23" s="407">
        <f>ROUND(+'[6]PART PEF2022'!U$11*'[6]Art.14 Frac.III'!R22,2)</f>
        <v>4639473.7699999996</v>
      </c>
      <c r="E23" s="406">
        <f>ROUND(+IF('[6]PART PEF2022'!X$6&lt;1,'[6]CALCULO GARANTIA'!L23*'[6]PART PEF2022'!U$6,'[6]CALCULO GARANTIA'!W23+'[6]CALCULO GARANTIA'!M23),2)</f>
        <v>2536261.7599999998</v>
      </c>
      <c r="F23" s="406">
        <f>ROUND(+IF('[6]PART PEF2022'!X$7&lt;1,'[6]CALCULO GARANTIA'!N23*'[6]PART PEF2022'!U$7,'[6]CALCULO GARANTIA'!X23+'[6]CALCULO GARANTIA'!O23),2)</f>
        <v>5950997.4800000004</v>
      </c>
      <c r="G23" s="406">
        <f>ROUND(+IF('[6]PART PEF2022'!X$8&lt;1,'[6]CALCULO GARANTIA'!P23*'[6]PART PEF2022'!U$8,'[6]CALCULO GARANTIA'!Y23+'[6]CALCULO GARANTIA'!Q23),2)</f>
        <v>3387346.26</v>
      </c>
      <c r="H23" s="406">
        <f>ROUND(+IF('[6]PART PEF2022'!X$9&lt;1,'[6]CALCULO GARANTIA'!R23*'[6]PART PEF2022'!U$9,'[6]CALCULO GARANTIA'!Z23+'[6]CALCULO GARANTIA'!S23),2)</f>
        <v>479232.39</v>
      </c>
      <c r="I23" s="406">
        <f>+ROUND('[6]COEF Art 14 F II'!L24,2)</f>
        <v>4078754.28</v>
      </c>
      <c r="J23" s="406">
        <f>+'[6]ISR BI'!D21</f>
        <v>4638924.09</v>
      </c>
      <c r="K23" s="408">
        <f t="shared" si="2"/>
        <v>147898136.09999996</v>
      </c>
      <c r="N23" s="404" t="s">
        <v>18</v>
      </c>
      <c r="O23" s="405">
        <v>107138412.35832657</v>
      </c>
      <c r="P23" s="406">
        <v>15827384.831187317</v>
      </c>
      <c r="Q23" s="407">
        <v>4599108.1426451383</v>
      </c>
      <c r="R23" s="406">
        <v>2672485.7678862684</v>
      </c>
      <c r="S23" s="406">
        <v>7010206.9205515077</v>
      </c>
      <c r="T23" s="406">
        <v>3386409.2759048883</v>
      </c>
      <c r="U23" s="406">
        <v>479195.68831115717</v>
      </c>
      <c r="V23" s="406">
        <v>4077119.0394114261</v>
      </c>
      <c r="W23" s="406">
        <v>4597257.8118293965</v>
      </c>
      <c r="X23" s="408">
        <f t="shared" si="3"/>
        <v>149787579.83605367</v>
      </c>
      <c r="Z23" s="404" t="s">
        <v>18</v>
      </c>
      <c r="AA23" s="409">
        <f t="shared" si="4"/>
        <v>-651813.9683265686</v>
      </c>
      <c r="AB23" s="409">
        <f t="shared" si="4"/>
        <v>-126837.15118731745</v>
      </c>
      <c r="AC23" s="409">
        <f t="shared" si="4"/>
        <v>40365.627354861237</v>
      </c>
      <c r="AD23" s="409">
        <f t="shared" si="4"/>
        <v>-136224.00788626866</v>
      </c>
      <c r="AE23" s="409">
        <f t="shared" si="4"/>
        <v>-1059209.4405515073</v>
      </c>
      <c r="AF23" s="409">
        <f t="shared" si="4"/>
        <v>936.9840951114893</v>
      </c>
      <c r="AG23" s="409">
        <f t="shared" si="4"/>
        <v>36.701688842847943</v>
      </c>
      <c r="AH23" s="409">
        <f t="shared" si="4"/>
        <v>1635.2405885737389</v>
      </c>
      <c r="AI23" s="409">
        <f t="shared" si="4"/>
        <v>41666.278170603327</v>
      </c>
      <c r="AJ23" s="411">
        <f t="shared" si="5"/>
        <v>-1889443.7360536694</v>
      </c>
      <c r="AL23" s="404" t="s">
        <v>18</v>
      </c>
      <c r="AM23" s="409">
        <f t="shared" si="7"/>
        <v>-108635.66138776143</v>
      </c>
      <c r="AN23" s="409">
        <f t="shared" si="7"/>
        <v>-21139.52519788624</v>
      </c>
      <c r="AO23" s="409">
        <f t="shared" si="7"/>
        <v>6727.6045591435395</v>
      </c>
      <c r="AP23" s="409">
        <f t="shared" si="7"/>
        <v>-22704.001314378111</v>
      </c>
      <c r="AQ23" s="409">
        <f t="shared" si="7"/>
        <v>-176534.90675858455</v>
      </c>
      <c r="AR23" s="409">
        <f t="shared" si="7"/>
        <v>156.16401585191488</v>
      </c>
      <c r="AS23" s="409">
        <f t="shared" si="7"/>
        <v>6.1169481404746575</v>
      </c>
      <c r="AT23" s="409">
        <f t="shared" si="7"/>
        <v>272.54009809562314</v>
      </c>
      <c r="AU23" s="409">
        <f t="shared" si="7"/>
        <v>6944.3796951005543</v>
      </c>
      <c r="AV23" s="411">
        <f t="shared" si="6"/>
        <v>-314907.28934227821</v>
      </c>
    </row>
    <row r="24" spans="1:48">
      <c r="A24" s="404" t="s">
        <v>19</v>
      </c>
      <c r="B24" s="405">
        <f>ROUND(IF('[6]PART PEF2022'!X$4&lt;1,'[6]CALCULO GARANTIA'!H24*'[6]PART PEF2022'!U$4,'[6]CALCULO GARANTIA'!U24+'[6]CALCULO GARANTIA'!I24),2)</f>
        <v>14186534.57</v>
      </c>
      <c r="C24" s="406">
        <f>ROUND(+IF('[6]PART PEF2022'!X$5&lt;1,'[6]CALCULO GARANTIA'!J24*'[6]PART PEF2022'!U$5,'[6]CALCULO GARANTIA'!V24+'[6]CALCULO GARANTIA'!K24),2)</f>
        <v>2036484.57</v>
      </c>
      <c r="D24" s="407">
        <f>ROUND(+'[6]PART PEF2022'!U$11*'[6]Art.14 Frac.III'!R23,2)</f>
        <v>25194381.989999998</v>
      </c>
      <c r="E24" s="406">
        <f>ROUND(+IF('[6]PART PEF2022'!X$6&lt;1,'[6]CALCULO GARANTIA'!L24*'[6]PART PEF2022'!U$6,'[6]CALCULO GARANTIA'!W24+'[6]CALCULO GARANTIA'!M24),2)</f>
        <v>387465.72</v>
      </c>
      <c r="F24" s="406">
        <f>ROUND(+IF('[6]PART PEF2022'!X$7&lt;1,'[6]CALCULO GARANTIA'!N24*'[6]PART PEF2022'!U$7,'[6]CALCULO GARANTIA'!X24+'[6]CALCULO GARANTIA'!O24),2)</f>
        <v>796482.31</v>
      </c>
      <c r="G24" s="406">
        <f>ROUND(+IF('[6]PART PEF2022'!X$8&lt;1,'[6]CALCULO GARANTIA'!P24*'[6]PART PEF2022'!U$8,'[6]CALCULO GARANTIA'!Y24+'[6]CALCULO GARANTIA'!Q24),2)</f>
        <v>431116.17</v>
      </c>
      <c r="H24" s="406">
        <f>ROUND(+IF('[6]PART PEF2022'!X$9&lt;1,'[6]CALCULO GARANTIA'!R24*'[6]PART PEF2022'!U$9,'[6]CALCULO GARANTIA'!Z24+'[6]CALCULO GARANTIA'!S24),2)</f>
        <v>71289.14</v>
      </c>
      <c r="I24" s="406">
        <f>+ROUND('[6]COEF Art 14 F II'!L25,2)</f>
        <v>127382.83</v>
      </c>
      <c r="J24" s="406">
        <f>+'[6]ISR BI'!D22</f>
        <v>8724.5400000000009</v>
      </c>
      <c r="K24" s="408">
        <f t="shared" si="2"/>
        <v>43239861.839999996</v>
      </c>
      <c r="N24" s="404" t="s">
        <v>19</v>
      </c>
      <c r="O24" s="405">
        <v>14101002.313776899</v>
      </c>
      <c r="P24" s="406">
        <v>2021771.8918464822</v>
      </c>
      <c r="Q24" s="407">
        <v>21315625.144199569</v>
      </c>
      <c r="R24" s="406">
        <v>386120.03393119009</v>
      </c>
      <c r="S24" s="406">
        <v>767999.99549116683</v>
      </c>
      <c r="T24" s="406">
        <v>430141.44253811135</v>
      </c>
      <c r="U24" s="406">
        <v>71176.676735345231</v>
      </c>
      <c r="V24" s="406">
        <v>124969.19848707745</v>
      </c>
      <c r="W24" s="406">
        <v>14275.299626626176</v>
      </c>
      <c r="X24" s="408">
        <f t="shared" si="3"/>
        <v>39233081.996632472</v>
      </c>
      <c r="Z24" s="404" t="s">
        <v>19</v>
      </c>
      <c r="AA24" s="409">
        <f t="shared" si="4"/>
        <v>85532.256223101169</v>
      </c>
      <c r="AB24" s="409">
        <f t="shared" si="4"/>
        <v>14712.678153517889</v>
      </c>
      <c r="AC24" s="409">
        <f t="shared" si="4"/>
        <v>3878756.8458004296</v>
      </c>
      <c r="AD24" s="409">
        <f t="shared" si="4"/>
        <v>1345.6860688098823</v>
      </c>
      <c r="AE24" s="409">
        <f t="shared" si="4"/>
        <v>28482.314508833224</v>
      </c>
      <c r="AF24" s="409">
        <f t="shared" si="4"/>
        <v>974.72746188862948</v>
      </c>
      <c r="AG24" s="409">
        <f t="shared" si="4"/>
        <v>112.46326465476886</v>
      </c>
      <c r="AH24" s="409">
        <f t="shared" si="4"/>
        <v>2413.631512922555</v>
      </c>
      <c r="AI24" s="409">
        <f t="shared" si="4"/>
        <v>-5550.7596266261753</v>
      </c>
      <c r="AJ24" s="411">
        <f t="shared" si="5"/>
        <v>4006779.8433675319</v>
      </c>
      <c r="AL24" s="404" t="s">
        <v>19</v>
      </c>
      <c r="AM24" s="409">
        <f t="shared" si="7"/>
        <v>14255.376037183529</v>
      </c>
      <c r="AN24" s="409">
        <f t="shared" si="7"/>
        <v>2452.113025586315</v>
      </c>
      <c r="AO24" s="409">
        <f t="shared" si="7"/>
        <v>646459.4743000716</v>
      </c>
      <c r="AP24" s="409">
        <f t="shared" si="7"/>
        <v>224.28101146831372</v>
      </c>
      <c r="AQ24" s="409">
        <f t="shared" si="7"/>
        <v>4747.052418138871</v>
      </c>
      <c r="AR24" s="409">
        <f t="shared" si="7"/>
        <v>162.45457698143824</v>
      </c>
      <c r="AS24" s="409">
        <f t="shared" si="7"/>
        <v>18.743877442461478</v>
      </c>
      <c r="AT24" s="409">
        <f t="shared" si="7"/>
        <v>402.27191882042581</v>
      </c>
      <c r="AU24" s="409">
        <f t="shared" si="7"/>
        <v>-925.12660443769585</v>
      </c>
      <c r="AV24" s="411">
        <f t="shared" si="6"/>
        <v>667796.64056125516</v>
      </c>
    </row>
    <row r="25" spans="1:48">
      <c r="A25" s="404" t="s">
        <v>20</v>
      </c>
      <c r="B25" s="405">
        <f>ROUND(IF('[6]PART PEF2022'!X$4&lt;1,'[6]CALCULO GARANTIA'!H25*'[6]PART PEF2022'!U$4,'[6]CALCULO GARANTIA'!U25+'[6]CALCULO GARANTIA'!I25),2)</f>
        <v>202836324.72</v>
      </c>
      <c r="C25" s="406">
        <f>ROUND(+IF('[6]PART PEF2022'!X$5&lt;1,'[6]CALCULO GARANTIA'!J25*'[6]PART PEF2022'!U$5,'[6]CALCULO GARANTIA'!V25+'[6]CALCULO GARANTIA'!K25),2)</f>
        <v>29361753.899999999</v>
      </c>
      <c r="D25" s="407">
        <f>ROUND(+'[6]PART PEF2022'!U$11*'[6]Art.14 Frac.III'!R24,2)</f>
        <v>6412534.04</v>
      </c>
      <c r="E25" s="406">
        <f>ROUND(+IF('[6]PART PEF2022'!X$6&lt;1,'[6]CALCULO GARANTIA'!L25*'[6]PART PEF2022'!U$6,'[6]CALCULO GARANTIA'!W25+'[6]CALCULO GARANTIA'!M25),2)</f>
        <v>5320329.04</v>
      </c>
      <c r="F25" s="406">
        <f>ROUND(+IF('[6]PART PEF2022'!X$7&lt;1,'[6]CALCULO GARANTIA'!N25*'[6]PART PEF2022'!U$7,'[6]CALCULO GARANTIA'!X25+'[6]CALCULO GARANTIA'!O25),2)</f>
        <v>11371700.699999999</v>
      </c>
      <c r="G25" s="406">
        <f>ROUND(+IF('[6]PART PEF2022'!X$8&lt;1,'[6]CALCULO GARANTIA'!P25*'[6]PART PEF2022'!U$8,'[6]CALCULO GARANTIA'!Y25+'[6]CALCULO GARANTIA'!Q25),2)</f>
        <v>6253301.7800000003</v>
      </c>
      <c r="H25" s="406">
        <f>ROUND(+IF('[6]PART PEF2022'!X$9&lt;1,'[6]CALCULO GARANTIA'!R25*'[6]PART PEF2022'!U$9,'[6]CALCULO GARANTIA'!Z25+'[6]CALCULO GARANTIA'!S25),2)</f>
        <v>986307.07</v>
      </c>
      <c r="I25" s="406">
        <f>+ROUND('[6]COEF Art 14 F II'!L26,2)</f>
        <v>5583952.4800000004</v>
      </c>
      <c r="J25" s="406">
        <f>+'[6]ISR BI'!D23</f>
        <v>2362515.63</v>
      </c>
      <c r="K25" s="408">
        <f t="shared" si="2"/>
        <v>270488719.35999995</v>
      </c>
      <c r="N25" s="404" t="s">
        <v>20</v>
      </c>
      <c r="O25" s="405">
        <v>206528357.88548708</v>
      </c>
      <c r="P25" s="406">
        <v>30026812.586637851</v>
      </c>
      <c r="Q25" s="407">
        <v>7918809.5632254221</v>
      </c>
      <c r="R25" s="406">
        <v>5597242.7539903522</v>
      </c>
      <c r="S25" s="406">
        <v>11848565.18732986</v>
      </c>
      <c r="T25" s="406">
        <v>6334889.6294611851</v>
      </c>
      <c r="U25" s="406">
        <v>990213.47542896448</v>
      </c>
      <c r="V25" s="406">
        <v>5733145.4571886547</v>
      </c>
      <c r="W25" s="406">
        <v>2093429.1053987506</v>
      </c>
      <c r="X25" s="408">
        <f t="shared" si="3"/>
        <v>277071465.64414817</v>
      </c>
      <c r="Z25" s="404" t="s">
        <v>20</v>
      </c>
      <c r="AA25" s="409">
        <f t="shared" si="4"/>
        <v>-3692033.1654870808</v>
      </c>
      <c r="AB25" s="409">
        <f t="shared" si="4"/>
        <v>-665058.68663785234</v>
      </c>
      <c r="AC25" s="409">
        <f t="shared" si="4"/>
        <v>-1506275.523225422</v>
      </c>
      <c r="AD25" s="409">
        <f t="shared" si="4"/>
        <v>-276913.71399035212</v>
      </c>
      <c r="AE25" s="409">
        <f t="shared" si="4"/>
        <v>-476864.48732986115</v>
      </c>
      <c r="AF25" s="409">
        <f t="shared" si="4"/>
        <v>-81587.849461184815</v>
      </c>
      <c r="AG25" s="409">
        <f t="shared" si="4"/>
        <v>-3906.4054289645283</v>
      </c>
      <c r="AH25" s="409">
        <f t="shared" si="4"/>
        <v>-149192.97718865424</v>
      </c>
      <c r="AI25" s="409">
        <f t="shared" si="4"/>
        <v>269086.52460124926</v>
      </c>
      <c r="AJ25" s="411">
        <f t="shared" si="5"/>
        <v>-6582746.2841481231</v>
      </c>
      <c r="AL25" s="404" t="s">
        <v>20</v>
      </c>
      <c r="AM25" s="409">
        <f t="shared" si="7"/>
        <v>-615338.86091451347</v>
      </c>
      <c r="AN25" s="409">
        <f t="shared" si="7"/>
        <v>-110843.11443964206</v>
      </c>
      <c r="AO25" s="409">
        <f t="shared" si="7"/>
        <v>-251045.92053757035</v>
      </c>
      <c r="AP25" s="409">
        <f t="shared" si="7"/>
        <v>-46152.285665058684</v>
      </c>
      <c r="AQ25" s="409">
        <f t="shared" si="7"/>
        <v>-79477.414554976858</v>
      </c>
      <c r="AR25" s="409">
        <f t="shared" si="7"/>
        <v>-13597.974910197468</v>
      </c>
      <c r="AS25" s="409">
        <f t="shared" si="7"/>
        <v>-651.06757149408804</v>
      </c>
      <c r="AT25" s="409">
        <f t="shared" si="7"/>
        <v>-24865.496198109042</v>
      </c>
      <c r="AU25" s="409">
        <f t="shared" si="7"/>
        <v>44847.754100208207</v>
      </c>
      <c r="AV25" s="411">
        <f t="shared" si="6"/>
        <v>-1097124.3806913539</v>
      </c>
    </row>
    <row r="26" spans="1:48">
      <c r="A26" s="404" t="s">
        <v>241</v>
      </c>
      <c r="B26" s="405">
        <f>ROUND(IF('[6]PART PEF2022'!X$4&lt;1,'[6]CALCULO GARANTIA'!H26*'[6]PART PEF2022'!U$4,'[6]CALCULO GARANTIA'!U26+'[6]CALCULO GARANTIA'!I26),2)</f>
        <v>26704419.57</v>
      </c>
      <c r="C26" s="406">
        <f>ROUND(+IF('[6]PART PEF2022'!X$5&lt;1,'[6]CALCULO GARANTIA'!J26*'[6]PART PEF2022'!U$5,'[6]CALCULO GARANTIA'!V26+'[6]CALCULO GARANTIA'!K26),2)</f>
        <v>3780574.94</v>
      </c>
      <c r="D26" s="407">
        <f>ROUND(+'[6]PART PEF2022'!U$11*'[6]Art.14 Frac.III'!R25,2)</f>
        <v>4280937.01</v>
      </c>
      <c r="E26" s="406">
        <f>ROUND(+IF('[6]PART PEF2022'!X$6&lt;1,'[6]CALCULO GARANTIA'!L26*'[6]PART PEF2022'!U$6,'[6]CALCULO GARANTIA'!W26+'[6]CALCULO GARANTIA'!M26),2)</f>
        <v>776829.9</v>
      </c>
      <c r="F26" s="406">
        <f>ROUND(+IF('[6]PART PEF2022'!X$7&lt;1,'[6]CALCULO GARANTIA'!N26*'[6]PART PEF2022'!U$7,'[6]CALCULO GARANTIA'!X26+'[6]CALCULO GARANTIA'!O26),2)</f>
        <v>1502793.75</v>
      </c>
      <c r="G26" s="406">
        <f>ROUND(+IF('[6]PART PEF2022'!X$8&lt;1,'[6]CALCULO GARANTIA'!P26*'[6]PART PEF2022'!U$8,'[6]CALCULO GARANTIA'!Y26+'[6]CALCULO GARANTIA'!Q26),2)</f>
        <v>792220.06</v>
      </c>
      <c r="H26" s="406">
        <f>ROUND(+IF('[6]PART PEF2022'!X$9&lt;1,'[6]CALCULO GARANTIA'!R26*'[6]PART PEF2022'!U$9,'[6]CALCULO GARANTIA'!Z26+'[6]CALCULO GARANTIA'!S26),2)</f>
        <v>141321.42000000001</v>
      </c>
      <c r="I26" s="406">
        <f>+ROUND('[6]COEF Art 14 F II'!L27,2)</f>
        <v>239178.96</v>
      </c>
      <c r="J26" s="406">
        <f>+'[6]ISR BI'!D24</f>
        <v>75844.600000000006</v>
      </c>
      <c r="K26" s="408">
        <f t="shared" si="2"/>
        <v>38294120.210000008</v>
      </c>
      <c r="N26" s="404" t="s">
        <v>21</v>
      </c>
      <c r="O26" s="405">
        <v>26588137.503325123</v>
      </c>
      <c r="P26" s="406">
        <v>3758321.7529475451</v>
      </c>
      <c r="Q26" s="407">
        <v>4048581.6346203829</v>
      </c>
      <c r="R26" s="406">
        <v>755831.9483783039</v>
      </c>
      <c r="S26" s="406">
        <v>1341822.7842430489</v>
      </c>
      <c r="T26" s="406">
        <v>792023.88126663794</v>
      </c>
      <c r="U26" s="406">
        <v>141302.91646980547</v>
      </c>
      <c r="V26" s="406">
        <v>238732.82135762536</v>
      </c>
      <c r="W26" s="406">
        <v>61985.336404816881</v>
      </c>
      <c r="X26" s="408">
        <f t="shared" si="3"/>
        <v>37726740.579013281</v>
      </c>
      <c r="Z26" s="404" t="s">
        <v>21</v>
      </c>
      <c r="AA26" s="409">
        <f t="shared" si="4"/>
        <v>116282.06667487696</v>
      </c>
      <c r="AB26" s="409">
        <f t="shared" si="4"/>
        <v>22253.187052454799</v>
      </c>
      <c r="AC26" s="409">
        <f t="shared" si="4"/>
        <v>232355.37537961686</v>
      </c>
      <c r="AD26" s="409">
        <f t="shared" si="4"/>
        <v>20997.95162169612</v>
      </c>
      <c r="AE26" s="409">
        <f t="shared" si="4"/>
        <v>160970.96575695113</v>
      </c>
      <c r="AF26" s="409">
        <f t="shared" si="4"/>
        <v>196.17873336211778</v>
      </c>
      <c r="AG26" s="409">
        <f t="shared" si="4"/>
        <v>18.503530194546329</v>
      </c>
      <c r="AH26" s="409">
        <f t="shared" si="4"/>
        <v>446.13864237462985</v>
      </c>
      <c r="AI26" s="409">
        <f t="shared" si="4"/>
        <v>13859.263595183125</v>
      </c>
      <c r="AJ26" s="411">
        <f t="shared" si="5"/>
        <v>567379.63098671031</v>
      </c>
      <c r="AL26" s="404" t="s">
        <v>21</v>
      </c>
      <c r="AM26" s="409">
        <f t="shared" si="7"/>
        <v>19380.344445812825</v>
      </c>
      <c r="AN26" s="409">
        <f t="shared" si="7"/>
        <v>3708.8645087424666</v>
      </c>
      <c r="AO26" s="409">
        <f t="shared" si="7"/>
        <v>38725.895896602808</v>
      </c>
      <c r="AP26" s="409">
        <f t="shared" si="7"/>
        <v>3499.6586036160202</v>
      </c>
      <c r="AQ26" s="409">
        <f t="shared" si="7"/>
        <v>26828.494292825188</v>
      </c>
      <c r="AR26" s="409">
        <f t="shared" si="7"/>
        <v>32.696455560352966</v>
      </c>
      <c r="AS26" s="409">
        <f t="shared" si="7"/>
        <v>3.083921699091055</v>
      </c>
      <c r="AT26" s="409">
        <f t="shared" si="7"/>
        <v>74.356440395771642</v>
      </c>
      <c r="AU26" s="409">
        <f t="shared" si="7"/>
        <v>2309.8772658638541</v>
      </c>
      <c r="AV26" s="411">
        <f t="shared" si="6"/>
        <v>94563.271831118371</v>
      </c>
    </row>
    <row r="27" spans="1:48">
      <c r="A27" s="404" t="s">
        <v>22</v>
      </c>
      <c r="B27" s="405">
        <f>ROUND(IF('[6]PART PEF2022'!X$4&lt;1,'[6]CALCULO GARANTIA'!H27*'[6]PART PEF2022'!U$4,'[6]CALCULO GARANTIA'!U27+'[6]CALCULO GARANTIA'!I27),2)</f>
        <v>4476950.32</v>
      </c>
      <c r="C27" s="406">
        <f>ROUND(+IF('[6]PART PEF2022'!X$5&lt;1,'[6]CALCULO GARANTIA'!J27*'[6]PART PEF2022'!U$5,'[6]CALCULO GARANTIA'!V27+'[6]CALCULO GARANTIA'!K27),2)</f>
        <v>637594.43000000005</v>
      </c>
      <c r="D27" s="407">
        <f>ROUND(+'[6]PART PEF2022'!U$11*'[6]Art.14 Frac.III'!R26,2)</f>
        <v>2886763.02</v>
      </c>
      <c r="E27" s="406">
        <f>ROUND(+IF('[6]PART PEF2022'!X$6&lt;1,'[6]CALCULO GARANTIA'!L27*'[6]PART PEF2022'!U$6,'[6]CALCULO GARANTIA'!W27+'[6]CALCULO GARANTIA'!M27),2)</f>
        <v>126832.61</v>
      </c>
      <c r="F27" s="406">
        <f>ROUND(+IF('[6]PART PEF2022'!X$7&lt;1,'[6]CALCULO GARANTIA'!N27*'[6]PART PEF2022'!U$7,'[6]CALCULO GARANTIA'!X27+'[6]CALCULO GARANTIA'!O27),2)</f>
        <v>251689.08</v>
      </c>
      <c r="G27" s="406">
        <f>ROUND(+IF('[6]PART PEF2022'!X$8&lt;1,'[6]CALCULO GARANTIA'!P27*'[6]PART PEF2022'!U$8,'[6]CALCULO GARANTIA'!Y27+'[6]CALCULO GARANTIA'!Q27),2)</f>
        <v>134197.5</v>
      </c>
      <c r="H27" s="406">
        <f>ROUND(+IF('[6]PART PEF2022'!X$9&lt;1,'[6]CALCULO GARANTIA'!R27*'[6]PART PEF2022'!U$9,'[6]CALCULO GARANTIA'!Z27+'[6]CALCULO GARANTIA'!S27),2)</f>
        <v>23181.53</v>
      </c>
      <c r="I27" s="406">
        <f>+ROUND('[6]COEF Art 14 F II'!L28,2)</f>
        <v>33237.83</v>
      </c>
      <c r="J27" s="406">
        <f>+'[6]ISR BI'!D25</f>
        <v>731.38</v>
      </c>
      <c r="K27" s="408">
        <f t="shared" si="2"/>
        <v>8571177.7000000011</v>
      </c>
      <c r="N27" s="404" t="s">
        <v>22</v>
      </c>
      <c r="O27" s="405">
        <v>4465841.8664191067</v>
      </c>
      <c r="P27" s="406">
        <v>635450.53422229446</v>
      </c>
      <c r="Q27" s="407">
        <v>2809028.5469305627</v>
      </c>
      <c r="R27" s="406">
        <v>124672.80525926854</v>
      </c>
      <c r="S27" s="406">
        <v>235314.38973197967</v>
      </c>
      <c r="T27" s="406">
        <v>134188.20769856338</v>
      </c>
      <c r="U27" s="406">
        <v>23180.849132085848</v>
      </c>
      <c r="V27" s="406">
        <v>33218.537616860645</v>
      </c>
      <c r="W27" s="406">
        <v>1283.0869192702894</v>
      </c>
      <c r="X27" s="408">
        <f t="shared" si="3"/>
        <v>8462178.8239299916</v>
      </c>
      <c r="Z27" s="404" t="s">
        <v>22</v>
      </c>
      <c r="AA27" s="409">
        <f t="shared" si="4"/>
        <v>11108.453580893576</v>
      </c>
      <c r="AB27" s="409">
        <f t="shared" si="4"/>
        <v>2143.8957777055912</v>
      </c>
      <c r="AC27" s="409">
        <f t="shared" si="4"/>
        <v>77734.473069437314</v>
      </c>
      <c r="AD27" s="409">
        <f t="shared" si="4"/>
        <v>2159.8047407314589</v>
      </c>
      <c r="AE27" s="409">
        <f t="shared" si="4"/>
        <v>16374.69026802032</v>
      </c>
      <c r="AF27" s="409">
        <f t="shared" si="4"/>
        <v>9.2923014366242569</v>
      </c>
      <c r="AG27" s="409">
        <f t="shared" si="4"/>
        <v>0.6808679141504399</v>
      </c>
      <c r="AH27" s="409">
        <f t="shared" si="4"/>
        <v>19.292383139356389</v>
      </c>
      <c r="AI27" s="409">
        <f t="shared" si="4"/>
        <v>-551.7069192702894</v>
      </c>
      <c r="AJ27" s="411">
        <f t="shared" si="5"/>
        <v>108998.8760700081</v>
      </c>
      <c r="AL27" s="404" t="s">
        <v>22</v>
      </c>
      <c r="AM27" s="409">
        <f t="shared" si="7"/>
        <v>1851.4089301489294</v>
      </c>
      <c r="AN27" s="409">
        <f t="shared" si="7"/>
        <v>357.31596295093186</v>
      </c>
      <c r="AO27" s="409">
        <f t="shared" si="7"/>
        <v>12955.745511572886</v>
      </c>
      <c r="AP27" s="409">
        <f t="shared" si="7"/>
        <v>359.9674567885765</v>
      </c>
      <c r="AQ27" s="409">
        <f t="shared" si="7"/>
        <v>2729.1150446700535</v>
      </c>
      <c r="AR27" s="409">
        <f t="shared" si="7"/>
        <v>1.5487169061040429</v>
      </c>
      <c r="AS27" s="409">
        <f t="shared" si="7"/>
        <v>0.11347798569173999</v>
      </c>
      <c r="AT27" s="409">
        <f t="shared" si="7"/>
        <v>3.2153971898927316</v>
      </c>
      <c r="AU27" s="409">
        <f t="shared" si="7"/>
        <v>-91.951153211714896</v>
      </c>
      <c r="AV27" s="411">
        <f t="shared" si="6"/>
        <v>18166.479345001349</v>
      </c>
    </row>
    <row r="28" spans="1:48">
      <c r="A28" s="404" t="s">
        <v>23</v>
      </c>
      <c r="B28" s="405">
        <f>ROUND(IF('[6]PART PEF2022'!X$4&lt;1,'[6]CALCULO GARANTIA'!H28*'[6]PART PEF2022'!U$4,'[6]CALCULO GARANTIA'!U28+'[6]CALCULO GARANTIA'!I28),2)</f>
        <v>19152594.739999998</v>
      </c>
      <c r="C28" s="406">
        <f>ROUND(+IF('[6]PART PEF2022'!X$5&lt;1,'[6]CALCULO GARANTIA'!J28*'[6]PART PEF2022'!U$5,'[6]CALCULO GARANTIA'!V28+'[6]CALCULO GARANTIA'!K28),2)</f>
        <v>2690559.98</v>
      </c>
      <c r="D28" s="407">
        <f>ROUND(+'[6]PART PEF2022'!U$11*'[6]Art.14 Frac.III'!R27,2)</f>
        <v>1866231.98</v>
      </c>
      <c r="E28" s="406">
        <f>ROUND(+IF('[6]PART PEF2022'!X$6&lt;1,'[6]CALCULO GARANTIA'!L28*'[6]PART PEF2022'!U$6,'[6]CALCULO GARANTIA'!W28+'[6]CALCULO GARANTIA'!M28),2)</f>
        <v>575913.43000000005</v>
      </c>
      <c r="F28" s="406">
        <f>ROUND(+IF('[6]PART PEF2022'!X$7&lt;1,'[6]CALCULO GARANTIA'!N28*'[6]PART PEF2022'!U$7,'[6]CALCULO GARANTIA'!X28+'[6]CALCULO GARANTIA'!O28),2)</f>
        <v>1079202.76</v>
      </c>
      <c r="G28" s="406">
        <f>ROUND(+IF('[6]PART PEF2022'!X$8&lt;1,'[6]CALCULO GARANTIA'!P28*'[6]PART PEF2022'!U$8,'[6]CALCULO GARANTIA'!Y28+'[6]CALCULO GARANTIA'!Q28),2)</f>
        <v>560555.21</v>
      </c>
      <c r="H28" s="406">
        <f>ROUND(+IF('[6]PART PEF2022'!X$9&lt;1,'[6]CALCULO GARANTIA'!R28*'[6]PART PEF2022'!U$9,'[6]CALCULO GARANTIA'!Z28+'[6]CALCULO GARANTIA'!S28),2)</f>
        <v>104174.46</v>
      </c>
      <c r="I28" s="406">
        <f>+ROUND('[6]COEF Art 14 F II'!L29,2)</f>
        <v>114969.58</v>
      </c>
      <c r="J28" s="406">
        <f>+'[6]ISR BI'!D26</f>
        <v>67.739999999999995</v>
      </c>
      <c r="K28" s="408">
        <f t="shared" si="2"/>
        <v>26144269.879999999</v>
      </c>
      <c r="N28" s="404" t="s">
        <v>23</v>
      </c>
      <c r="O28" s="405">
        <v>19042338.339912701</v>
      </c>
      <c r="P28" s="406">
        <v>2669177.9523139363</v>
      </c>
      <c r="Q28" s="407">
        <v>1682669.7249714241</v>
      </c>
      <c r="R28" s="406">
        <v>553573.23353298812</v>
      </c>
      <c r="S28" s="406">
        <v>909343.98120553256</v>
      </c>
      <c r="T28" s="406">
        <v>560554.51851211721</v>
      </c>
      <c r="U28" s="406">
        <v>104174.42816350584</v>
      </c>
      <c r="V28" s="406">
        <v>114968.31712713536</v>
      </c>
      <c r="W28" s="406">
        <v>186.80955519797803</v>
      </c>
      <c r="X28" s="408">
        <f t="shared" si="3"/>
        <v>25636987.305294544</v>
      </c>
      <c r="Z28" s="404" t="s">
        <v>23</v>
      </c>
      <c r="AA28" s="409">
        <f t="shared" si="4"/>
        <v>110256.40008729696</v>
      </c>
      <c r="AB28" s="409">
        <f t="shared" si="4"/>
        <v>21382.027686063666</v>
      </c>
      <c r="AC28" s="409">
        <f t="shared" si="4"/>
        <v>183562.25502857589</v>
      </c>
      <c r="AD28" s="409">
        <f t="shared" si="4"/>
        <v>22340.196467011934</v>
      </c>
      <c r="AE28" s="409">
        <f t="shared" si="4"/>
        <v>169858.77879446745</v>
      </c>
      <c r="AF28" s="409">
        <f t="shared" si="4"/>
        <v>0.69148788275197148</v>
      </c>
      <c r="AG28" s="409">
        <f t="shared" si="4"/>
        <v>3.183649416314438E-2</v>
      </c>
      <c r="AH28" s="409">
        <f t="shared" si="4"/>
        <v>1.2628728646377567</v>
      </c>
      <c r="AI28" s="409">
        <f t="shared" si="4"/>
        <v>-119.06955519797803</v>
      </c>
      <c r="AJ28" s="411">
        <f t="shared" si="5"/>
        <v>507282.57470545953</v>
      </c>
      <c r="AL28" s="404" t="s">
        <v>23</v>
      </c>
      <c r="AM28" s="409">
        <f t="shared" si="7"/>
        <v>18376.066681216162</v>
      </c>
      <c r="AN28" s="409">
        <f t="shared" si="7"/>
        <v>3563.671281010611</v>
      </c>
      <c r="AO28" s="409">
        <f t="shared" si="7"/>
        <v>30593.709171429316</v>
      </c>
      <c r="AP28" s="409">
        <f t="shared" si="7"/>
        <v>3723.3660778353224</v>
      </c>
      <c r="AQ28" s="409">
        <f t="shared" si="7"/>
        <v>28309.796465744574</v>
      </c>
      <c r="AR28" s="409">
        <f t="shared" si="7"/>
        <v>0.11524798045866191</v>
      </c>
      <c r="AS28" s="409">
        <f t="shared" si="7"/>
        <v>5.306082360524063E-3</v>
      </c>
      <c r="AT28" s="409">
        <f t="shared" si="7"/>
        <v>0.21047881077295946</v>
      </c>
      <c r="AU28" s="409">
        <f t="shared" si="7"/>
        <v>-19.844925866329671</v>
      </c>
      <c r="AV28" s="411">
        <f t="shared" si="6"/>
        <v>84547.09578424324</v>
      </c>
    </row>
    <row r="29" spans="1:48">
      <c r="A29" s="404" t="s">
        <v>24</v>
      </c>
      <c r="B29" s="405">
        <f>ROUND(IF('[6]PART PEF2022'!X$4&lt;1,'[6]CALCULO GARANTIA'!H29*'[6]PART PEF2022'!U$4,'[6]CALCULO GARANTIA'!U29+'[6]CALCULO GARANTIA'!I29),2)</f>
        <v>24938989.309999999</v>
      </c>
      <c r="C29" s="406">
        <f>ROUND(+IF('[6]PART PEF2022'!X$5&lt;1,'[6]CALCULO GARANTIA'!J29*'[6]PART PEF2022'!U$5,'[6]CALCULO GARANTIA'!V29+'[6]CALCULO GARANTIA'!K29),2)</f>
        <v>3683094.41</v>
      </c>
      <c r="D29" s="407">
        <f>ROUND(+'[6]PART PEF2022'!U$11*'[6]Art.14 Frac.III'!R28,2)</f>
        <v>3811605.85</v>
      </c>
      <c r="E29" s="406">
        <f>ROUND(+IF('[6]PART PEF2022'!X$6&lt;1,'[6]CALCULO GARANTIA'!L29*'[6]PART PEF2022'!U$6,'[6]CALCULO GARANTIA'!W29+'[6]CALCULO GARANTIA'!M29),2)</f>
        <v>588553.48</v>
      </c>
      <c r="F29" s="406">
        <f>ROUND(+IF('[6]PART PEF2022'!X$7&lt;1,'[6]CALCULO GARANTIA'!N29*'[6]PART PEF2022'!U$7,'[6]CALCULO GARANTIA'!X29+'[6]CALCULO GARANTIA'!O29),2)</f>
        <v>1393311.81</v>
      </c>
      <c r="G29" s="406">
        <f>ROUND(+IF('[6]PART PEF2022'!X$8&lt;1,'[6]CALCULO GARANTIA'!P29*'[6]PART PEF2022'!U$8,'[6]CALCULO GARANTIA'!Y29+'[6]CALCULO GARANTIA'!Q29),2)</f>
        <v>795520.98</v>
      </c>
      <c r="H29" s="406">
        <f>ROUND(+IF('[6]PART PEF2022'!X$9&lt;1,'[6]CALCULO GARANTIA'!R29*'[6]PART PEF2022'!U$9,'[6]CALCULO GARANTIA'!Z29+'[6]CALCULO GARANTIA'!S29),2)</f>
        <v>111419.37</v>
      </c>
      <c r="I29" s="406">
        <f>+ROUND('[6]COEF Art 14 F II'!L30,2)</f>
        <v>1102125.8600000001</v>
      </c>
      <c r="J29" s="406">
        <f>+'[6]ISR BI'!D27</f>
        <v>106764.6</v>
      </c>
      <c r="K29" s="408">
        <f t="shared" si="2"/>
        <v>36531385.669999994</v>
      </c>
      <c r="N29" s="404" t="s">
        <v>24</v>
      </c>
      <c r="O29" s="405">
        <v>25076841.404024016</v>
      </c>
      <c r="P29" s="406">
        <v>3710581.9764396516</v>
      </c>
      <c r="Q29" s="407">
        <v>4557420.9144598534</v>
      </c>
      <c r="R29" s="406">
        <v>622946.21781945589</v>
      </c>
      <c r="S29" s="406">
        <v>1649339.6117278468</v>
      </c>
      <c r="T29" s="406">
        <v>795081.54495777539</v>
      </c>
      <c r="U29" s="406">
        <v>111373.43090633136</v>
      </c>
      <c r="V29" s="406">
        <v>1101083.5486153448</v>
      </c>
      <c r="W29" s="406">
        <v>107576.1685603099</v>
      </c>
      <c r="X29" s="408">
        <f t="shared" si="3"/>
        <v>37732244.817510583</v>
      </c>
      <c r="Z29" s="404" t="s">
        <v>24</v>
      </c>
      <c r="AA29" s="409">
        <f t="shared" si="4"/>
        <v>-137852.09402401745</v>
      </c>
      <c r="AB29" s="409">
        <f t="shared" si="4"/>
        <v>-27487.566439651418</v>
      </c>
      <c r="AC29" s="409">
        <f t="shared" si="4"/>
        <v>-745815.06445985334</v>
      </c>
      <c r="AD29" s="409">
        <f t="shared" si="4"/>
        <v>-34392.737819455913</v>
      </c>
      <c r="AE29" s="409">
        <f t="shared" si="4"/>
        <v>-256027.80172784673</v>
      </c>
      <c r="AF29" s="409">
        <f t="shared" si="4"/>
        <v>439.4350422245916</v>
      </c>
      <c r="AG29" s="409">
        <f t="shared" si="4"/>
        <v>45.939093668639543</v>
      </c>
      <c r="AH29" s="409">
        <f t="shared" si="4"/>
        <v>1042.3113846553024</v>
      </c>
      <c r="AI29" s="409">
        <f t="shared" si="4"/>
        <v>-811.56856030989729</v>
      </c>
      <c r="AJ29" s="411">
        <f t="shared" si="5"/>
        <v>-1200859.1475105863</v>
      </c>
      <c r="AL29" s="404" t="s">
        <v>24</v>
      </c>
      <c r="AM29" s="409">
        <f t="shared" si="7"/>
        <v>-22975.34900400291</v>
      </c>
      <c r="AN29" s="409">
        <f t="shared" si="7"/>
        <v>-4581.2610732752364</v>
      </c>
      <c r="AO29" s="409">
        <f t="shared" si="7"/>
        <v>-124302.51074330889</v>
      </c>
      <c r="AP29" s="409">
        <f t="shared" si="7"/>
        <v>-5732.1229699093192</v>
      </c>
      <c r="AQ29" s="409">
        <f t="shared" si="7"/>
        <v>-42671.300287974453</v>
      </c>
      <c r="AR29" s="409">
        <f t="shared" si="7"/>
        <v>73.239173704098604</v>
      </c>
      <c r="AS29" s="409">
        <f t="shared" si="7"/>
        <v>7.6565156114399242</v>
      </c>
      <c r="AT29" s="409">
        <f t="shared" si="7"/>
        <v>173.71856410921706</v>
      </c>
      <c r="AU29" s="409">
        <f t="shared" si="7"/>
        <v>-135.26142671831622</v>
      </c>
      <c r="AV29" s="411">
        <f t="shared" si="6"/>
        <v>-200143.19125176437</v>
      </c>
    </row>
    <row r="30" spans="1:48">
      <c r="A30" s="404" t="s">
        <v>25</v>
      </c>
      <c r="B30" s="405">
        <f>ROUND(IF('[6]PART PEF2022'!X$4&lt;1,'[6]CALCULO GARANTIA'!H30*'[6]PART PEF2022'!U$4,'[6]CALCULO GARANTIA'!U30+'[6]CALCULO GARANTIA'!I30),2)</f>
        <v>321287881.51999998</v>
      </c>
      <c r="C30" s="406">
        <f>ROUND(+IF('[6]PART PEF2022'!X$5&lt;1,'[6]CALCULO GARANTIA'!J30*'[6]PART PEF2022'!U$5,'[6]CALCULO GARANTIA'!V30+'[6]CALCULO GARANTIA'!K30),2)</f>
        <v>45836399.119999997</v>
      </c>
      <c r="D30" s="407">
        <f>ROUND(+'[6]PART PEF2022'!U$11*'[6]Art.14 Frac.III'!R29,2)</f>
        <v>6690791.2699999996</v>
      </c>
      <c r="E30" s="406">
        <f>ROUND(+IF('[6]PART PEF2022'!X$6&lt;1,'[6]CALCULO GARANTIA'!L30*'[6]PART PEF2022'!U$6,'[6]CALCULO GARANTIA'!W30+'[6]CALCULO GARANTIA'!M30),2)</f>
        <v>9030729.2200000007</v>
      </c>
      <c r="F30" s="406">
        <f>ROUND(+IF('[6]PART PEF2022'!X$7&lt;1,'[6]CALCULO GARANTIA'!N30*'[6]PART PEF2022'!U$7,'[6]CALCULO GARANTIA'!X30+'[6]CALCULO GARANTIA'!O30),2)</f>
        <v>18057157.75</v>
      </c>
      <c r="G30" s="406">
        <f>ROUND(+IF('[6]PART PEF2022'!X$8&lt;1,'[6]CALCULO GARANTIA'!P30*'[6]PART PEF2022'!U$8,'[6]CALCULO GARANTIA'!Y30+'[6]CALCULO GARANTIA'!Q30),2)</f>
        <v>9659702.6099999994</v>
      </c>
      <c r="H30" s="406">
        <f>ROUND(+IF('[6]PART PEF2022'!X$9&lt;1,'[6]CALCULO GARANTIA'!R30*'[6]PART PEF2022'!U$9,'[6]CALCULO GARANTIA'!Z30+'[6]CALCULO GARANTIA'!S30),2)</f>
        <v>1652898.79</v>
      </c>
      <c r="I30" s="406">
        <f>+ROUND('[6]COEF Art 14 F II'!L31,2)</f>
        <v>7650730.8099999996</v>
      </c>
      <c r="J30" s="406">
        <f>+'[6]ISR BI'!D28</f>
        <v>2811999.1</v>
      </c>
      <c r="K30" s="408">
        <f t="shared" si="2"/>
        <v>422678290.19000006</v>
      </c>
      <c r="N30" s="404" t="s">
        <v>25</v>
      </c>
      <c r="O30" s="405">
        <v>321059157.23438489</v>
      </c>
      <c r="P30" s="406">
        <v>45781370.958183609</v>
      </c>
      <c r="Q30" s="407">
        <v>7109937.6484052464</v>
      </c>
      <c r="R30" s="406">
        <v>8895435.8744196426</v>
      </c>
      <c r="S30" s="406">
        <v>17250642.995758008</v>
      </c>
      <c r="T30" s="406">
        <v>9662180.2955791522</v>
      </c>
      <c r="U30" s="406">
        <v>1653491.4018466705</v>
      </c>
      <c r="V30" s="406">
        <v>7659809.653853029</v>
      </c>
      <c r="W30" s="406">
        <v>3040297.6916675065</v>
      </c>
      <c r="X30" s="408">
        <f t="shared" si="3"/>
        <v>422112323.75409764</v>
      </c>
      <c r="Z30" s="404" t="s">
        <v>25</v>
      </c>
      <c r="AA30" s="409">
        <f t="shared" si="4"/>
        <v>228724.28561508656</v>
      </c>
      <c r="AB30" s="409">
        <f t="shared" si="4"/>
        <v>55028.161816388369</v>
      </c>
      <c r="AC30" s="409">
        <f t="shared" si="4"/>
        <v>-419146.37840524688</v>
      </c>
      <c r="AD30" s="409">
        <f t="shared" si="4"/>
        <v>135293.34558035806</v>
      </c>
      <c r="AE30" s="409">
        <f t="shared" si="4"/>
        <v>806514.75424199179</v>
      </c>
      <c r="AF30" s="409">
        <f t="shared" si="4"/>
        <v>-2477.6855791527778</v>
      </c>
      <c r="AG30" s="409">
        <f t="shared" si="4"/>
        <v>-592.61184667050838</v>
      </c>
      <c r="AH30" s="409">
        <f t="shared" si="4"/>
        <v>-9078.8438530294225</v>
      </c>
      <c r="AI30" s="409">
        <f t="shared" si="4"/>
        <v>-228298.59166750638</v>
      </c>
      <c r="AJ30" s="411">
        <f t="shared" si="5"/>
        <v>565966.4359022188</v>
      </c>
      <c r="AL30" s="404" t="s">
        <v>25</v>
      </c>
      <c r="AM30" s="409">
        <f t="shared" si="7"/>
        <v>38120.714269181095</v>
      </c>
      <c r="AN30" s="409">
        <f t="shared" si="7"/>
        <v>9171.3603027313948</v>
      </c>
      <c r="AO30" s="409">
        <f t="shared" si="7"/>
        <v>-69857.729734207809</v>
      </c>
      <c r="AP30" s="409">
        <f t="shared" si="7"/>
        <v>22548.890930059675</v>
      </c>
      <c r="AQ30" s="409">
        <f t="shared" si="7"/>
        <v>134419.12570699863</v>
      </c>
      <c r="AR30" s="409">
        <f t="shared" si="7"/>
        <v>-412.94759652546298</v>
      </c>
      <c r="AS30" s="409">
        <f t="shared" si="7"/>
        <v>-98.768641111751393</v>
      </c>
      <c r="AT30" s="409">
        <f t="shared" si="7"/>
        <v>-1513.1406421715703</v>
      </c>
      <c r="AU30" s="409">
        <f t="shared" si="7"/>
        <v>-38049.76527791773</v>
      </c>
      <c r="AV30" s="411">
        <f t="shared" si="6"/>
        <v>94327.739317036467</v>
      </c>
    </row>
    <row r="31" spans="1:48">
      <c r="A31" s="404" t="s">
        <v>212</v>
      </c>
      <c r="B31" s="405">
        <f>ROUND(IF('[6]PART PEF2022'!X$4&lt;1,'[6]CALCULO GARANTIA'!H31*'[6]PART PEF2022'!U$4,'[6]CALCULO GARANTIA'!U31+'[6]CALCULO GARANTIA'!I31),2)</f>
        <v>7600729.6699999999</v>
      </c>
      <c r="C31" s="406">
        <f>ROUND(+IF('[6]PART PEF2022'!X$5&lt;1,'[6]CALCULO GARANTIA'!J31*'[6]PART PEF2022'!U$5,'[6]CALCULO GARANTIA'!V31+'[6]CALCULO GARANTIA'!K31),2)</f>
        <v>1065321.1100000001</v>
      </c>
      <c r="D31" s="407">
        <f>ROUND(+'[6]PART PEF2022'!U$11*'[6]Art.14 Frac.III'!R30,2)</f>
        <v>2192666.91</v>
      </c>
      <c r="E31" s="406">
        <f>ROUND(+IF('[6]PART PEF2022'!X$6&lt;1,'[6]CALCULO GARANTIA'!L31*'[6]PART PEF2022'!U$6,'[6]CALCULO GARANTIA'!W31+'[6]CALCULO GARANTIA'!M31),2)</f>
        <v>230735.03</v>
      </c>
      <c r="F31" s="406">
        <f>ROUND(+IF('[6]PART PEF2022'!X$7&lt;1,'[6]CALCULO GARANTIA'!N31*'[6]PART PEF2022'!U$7,'[6]CALCULO GARANTIA'!X31+'[6]CALCULO GARANTIA'!O31),2)</f>
        <v>428444.43</v>
      </c>
      <c r="G31" s="406">
        <f>ROUND(+IF('[6]PART PEF2022'!X$8&lt;1,'[6]CALCULO GARANTIA'!P31*'[6]PART PEF2022'!U$8,'[6]CALCULO GARANTIA'!Y31+'[6]CALCULO GARANTIA'!Q31),2)</f>
        <v>221569.29</v>
      </c>
      <c r="H31" s="406">
        <f>ROUND(+IF('[6]PART PEF2022'!X$9&lt;1,'[6]CALCULO GARANTIA'!R31*'[6]PART PEF2022'!U$9,'[6]CALCULO GARANTIA'!Z31+'[6]CALCULO GARANTIA'!S31),2)</f>
        <v>41669.56</v>
      </c>
      <c r="I31" s="406">
        <f>+ROUND('[6]COEF Art 14 F II'!L32,2)</f>
        <v>38511.29</v>
      </c>
      <c r="J31" s="406">
        <f>+'[6]ISR BI'!D29</f>
        <v>539.23</v>
      </c>
      <c r="K31" s="408">
        <f t="shared" si="2"/>
        <v>11820186.519999998</v>
      </c>
      <c r="N31" s="404" t="s">
        <v>26</v>
      </c>
      <c r="O31" s="405">
        <v>7552851.5446957322</v>
      </c>
      <c r="P31" s="406">
        <v>1056031.6165508633</v>
      </c>
      <c r="Q31" s="407">
        <v>2279778.7672037208</v>
      </c>
      <c r="R31" s="406">
        <v>220997.48493585479</v>
      </c>
      <c r="S31" s="406">
        <v>354555.10505114251</v>
      </c>
      <c r="T31" s="406">
        <v>221568.62517938507</v>
      </c>
      <c r="U31" s="406">
        <v>41669.782963834972</v>
      </c>
      <c r="V31" s="406">
        <v>38512.422477124368</v>
      </c>
      <c r="W31" s="406">
        <v>380.88154655821643</v>
      </c>
      <c r="X31" s="408">
        <f t="shared" si="3"/>
        <v>11766346.230604218</v>
      </c>
      <c r="Z31" s="404" t="s">
        <v>26</v>
      </c>
      <c r="AA31" s="409">
        <f t="shared" si="4"/>
        <v>47878.125304267742</v>
      </c>
      <c r="AB31" s="409">
        <f t="shared" si="4"/>
        <v>9289.4934491368476</v>
      </c>
      <c r="AC31" s="409">
        <f t="shared" si="4"/>
        <v>-87111.857203720603</v>
      </c>
      <c r="AD31" s="409">
        <f t="shared" si="4"/>
        <v>9737.5450641452044</v>
      </c>
      <c r="AE31" s="409">
        <f t="shared" si="4"/>
        <v>73889.32494885748</v>
      </c>
      <c r="AF31" s="409">
        <f t="shared" si="4"/>
        <v>0.66482061494025402</v>
      </c>
      <c r="AG31" s="409">
        <f t="shared" si="4"/>
        <v>-0.22296383497450734</v>
      </c>
      <c r="AH31" s="409">
        <f t="shared" si="4"/>
        <v>-1.1324771243671421</v>
      </c>
      <c r="AI31" s="409">
        <f t="shared" si="4"/>
        <v>158.34845344178359</v>
      </c>
      <c r="AJ31" s="411">
        <f t="shared" si="5"/>
        <v>53840.28939578405</v>
      </c>
      <c r="AL31" s="404" t="s">
        <v>26</v>
      </c>
      <c r="AM31" s="409">
        <f t="shared" si="7"/>
        <v>7979.68755071129</v>
      </c>
      <c r="AN31" s="409">
        <f t="shared" si="7"/>
        <v>1548.2489081894746</v>
      </c>
      <c r="AO31" s="409">
        <f t="shared" si="7"/>
        <v>-14518.642867286768</v>
      </c>
      <c r="AP31" s="409">
        <f t="shared" si="7"/>
        <v>1622.9241773575341</v>
      </c>
      <c r="AQ31" s="409">
        <f t="shared" si="7"/>
        <v>12314.887491476247</v>
      </c>
      <c r="AR31" s="409">
        <f t="shared" si="7"/>
        <v>0.11080343582337566</v>
      </c>
      <c r="AS31" s="409">
        <f t="shared" si="7"/>
        <v>-3.7160639162417887E-2</v>
      </c>
      <c r="AT31" s="409">
        <f t="shared" si="7"/>
        <v>-0.18874618739452367</v>
      </c>
      <c r="AU31" s="409">
        <f t="shared" si="7"/>
        <v>26.391408906963932</v>
      </c>
      <c r="AV31" s="411">
        <f t="shared" si="6"/>
        <v>8973.3815659640095</v>
      </c>
    </row>
    <row r="32" spans="1:48">
      <c r="A32" s="404" t="s">
        <v>27</v>
      </c>
      <c r="B32" s="405">
        <f>ROUND(IF('[6]PART PEF2022'!X$4&lt;1,'[6]CALCULO GARANTIA'!H32*'[6]PART PEF2022'!U$4,'[6]CALCULO GARANTIA'!U32+'[6]CALCULO GARANTIA'!I32),2)</f>
        <v>13224186.84</v>
      </c>
      <c r="C32" s="406">
        <f>ROUND(+IF('[6]PART PEF2022'!X$5&lt;1,'[6]CALCULO GARANTIA'!J32*'[6]PART PEF2022'!U$5,'[6]CALCULO GARANTIA'!V32+'[6]CALCULO GARANTIA'!K32),2)</f>
        <v>1857842.89</v>
      </c>
      <c r="D32" s="407">
        <f>ROUND(+'[6]PART PEF2022'!U$11*'[6]Art.14 Frac.III'!R31,2)</f>
        <v>1868561.59</v>
      </c>
      <c r="E32" s="406">
        <f>ROUND(+IF('[6]PART PEF2022'!X$6&lt;1,'[6]CALCULO GARANTIA'!L32*'[6]PART PEF2022'!U$6,'[6]CALCULO GARANTIA'!W32+'[6]CALCULO GARANTIA'!M32),2)</f>
        <v>397551.92</v>
      </c>
      <c r="F32" s="406">
        <f>ROUND(+IF('[6]PART PEF2022'!X$7&lt;1,'[6]CALCULO GARANTIA'!N32*'[6]PART PEF2022'!U$7,'[6]CALCULO GARANTIA'!X32+'[6]CALCULO GARANTIA'!O32),2)</f>
        <v>745144.11</v>
      </c>
      <c r="G32" s="406">
        <f>ROUND(+IF('[6]PART PEF2022'!X$8&lt;1,'[6]CALCULO GARANTIA'!P32*'[6]PART PEF2022'!U$8,'[6]CALCULO GARANTIA'!Y32+'[6]CALCULO GARANTIA'!Q32),2)</f>
        <v>387082.45</v>
      </c>
      <c r="H32" s="406">
        <f>ROUND(+IF('[6]PART PEF2022'!X$9&lt;1,'[6]CALCULO GARANTIA'!R32*'[6]PART PEF2022'!U$9,'[6]CALCULO GARANTIA'!Z32+'[6]CALCULO GARANTIA'!S32),2)</f>
        <v>71914.37</v>
      </c>
      <c r="I32" s="406">
        <f>+ROUND('[6]COEF Art 14 F II'!L33,2)</f>
        <v>184594.65</v>
      </c>
      <c r="J32" s="406">
        <f>+'[6]ISR BI'!D30</f>
        <v>3141.21</v>
      </c>
      <c r="K32" s="408">
        <f t="shared" si="2"/>
        <v>18740020.030000001</v>
      </c>
      <c r="N32" s="404" t="s">
        <v>27</v>
      </c>
      <c r="O32" s="405">
        <v>13148292.420582334</v>
      </c>
      <c r="P32" s="406">
        <v>1843121.8009273219</v>
      </c>
      <c r="Q32" s="407">
        <v>2040379.0750044778</v>
      </c>
      <c r="R32" s="406">
        <v>382152.03082307056</v>
      </c>
      <c r="S32" s="406">
        <v>628221.97009431175</v>
      </c>
      <c r="T32" s="406">
        <v>387079.84621484409</v>
      </c>
      <c r="U32" s="406">
        <v>71914.470600614819</v>
      </c>
      <c r="V32" s="406">
        <v>184591.99713028866</v>
      </c>
      <c r="W32" s="406">
        <v>1886.9478281952161</v>
      </c>
      <c r="X32" s="408">
        <f t="shared" si="3"/>
        <v>18687640.559205465</v>
      </c>
      <c r="Z32" s="404" t="s">
        <v>27</v>
      </c>
      <c r="AA32" s="409">
        <f t="shared" si="4"/>
        <v>75894.419417666271</v>
      </c>
      <c r="AB32" s="409">
        <f t="shared" si="4"/>
        <v>14721.089072678005</v>
      </c>
      <c r="AC32" s="409">
        <f t="shared" si="4"/>
        <v>-171817.48500447767</v>
      </c>
      <c r="AD32" s="409">
        <f t="shared" si="4"/>
        <v>15399.889176929428</v>
      </c>
      <c r="AE32" s="409">
        <f t="shared" si="4"/>
        <v>116922.13990568824</v>
      </c>
      <c r="AF32" s="409">
        <f t="shared" si="4"/>
        <v>2.6037851559231058</v>
      </c>
      <c r="AG32" s="409">
        <f t="shared" si="4"/>
        <v>-0.1006006148236338</v>
      </c>
      <c r="AH32" s="409">
        <f t="shared" si="4"/>
        <v>2.6528697113390081</v>
      </c>
      <c r="AI32" s="409">
        <f t="shared" si="4"/>
        <v>1254.262171804784</v>
      </c>
      <c r="AJ32" s="411">
        <f t="shared" si="5"/>
        <v>52379.470794541492</v>
      </c>
      <c r="AL32" s="404" t="s">
        <v>27</v>
      </c>
      <c r="AM32" s="409">
        <f t="shared" si="7"/>
        <v>12649.069902944379</v>
      </c>
      <c r="AN32" s="409">
        <f t="shared" si="7"/>
        <v>2453.5148454463342</v>
      </c>
      <c r="AO32" s="409">
        <f t="shared" si="7"/>
        <v>-28636.247500746278</v>
      </c>
      <c r="AP32" s="409">
        <f t="shared" si="7"/>
        <v>2566.6481961549048</v>
      </c>
      <c r="AQ32" s="409">
        <f t="shared" si="7"/>
        <v>19487.023317614705</v>
      </c>
      <c r="AR32" s="409">
        <f t="shared" si="7"/>
        <v>0.43396419265385094</v>
      </c>
      <c r="AS32" s="409">
        <f t="shared" si="7"/>
        <v>-1.6766769137272302E-2</v>
      </c>
      <c r="AT32" s="409">
        <f t="shared" si="7"/>
        <v>0.44214495188983466</v>
      </c>
      <c r="AU32" s="409">
        <f t="shared" si="7"/>
        <v>209.04369530079734</v>
      </c>
      <c r="AV32" s="411">
        <f t="shared" si="6"/>
        <v>8729.9117990902505</v>
      </c>
    </row>
    <row r="33" spans="1:48">
      <c r="A33" s="404" t="s">
        <v>28</v>
      </c>
      <c r="B33" s="405">
        <f>ROUND(IF('[6]PART PEF2022'!X$4&lt;1,'[6]CALCULO GARANTIA'!H33*'[6]PART PEF2022'!U$4,'[6]CALCULO GARANTIA'!U33+'[6]CALCULO GARANTIA'!I33),2)</f>
        <v>7862861.4800000004</v>
      </c>
      <c r="C33" s="406">
        <f>ROUND(+IF('[6]PART PEF2022'!X$5&lt;1,'[6]CALCULO GARANTIA'!J33*'[6]PART PEF2022'!U$5,'[6]CALCULO GARANTIA'!V33+'[6]CALCULO GARANTIA'!K33),2)</f>
        <v>1112968.44</v>
      </c>
      <c r="D33" s="407">
        <f>ROUND(+'[6]PART PEF2022'!U$11*'[6]Art.14 Frac.III'!R32,2)</f>
        <v>5781235.2199999997</v>
      </c>
      <c r="E33" s="406">
        <f>ROUND(+IF('[6]PART PEF2022'!X$6&lt;1,'[6]CALCULO GARANTIA'!L33*'[6]PART PEF2022'!U$6,'[6]CALCULO GARANTIA'!W33+'[6]CALCULO GARANTIA'!M33),2)</f>
        <v>228896.99</v>
      </c>
      <c r="F33" s="406">
        <f>ROUND(+IF('[6]PART PEF2022'!X$7&lt;1,'[6]CALCULO GARANTIA'!N33*'[6]PART PEF2022'!U$7,'[6]CALCULO GARANTIA'!X33+'[6]CALCULO GARANTIA'!O33),2)</f>
        <v>442495.62</v>
      </c>
      <c r="G33" s="406">
        <f>ROUND(+IF('[6]PART PEF2022'!X$8&lt;1,'[6]CALCULO GARANTIA'!P33*'[6]PART PEF2022'!U$8,'[6]CALCULO GARANTIA'!Y33+'[6]CALCULO GARANTIA'!Q33),2)</f>
        <v>233193.8</v>
      </c>
      <c r="H33" s="406">
        <f>ROUND(+IF('[6]PART PEF2022'!X$9&lt;1,'[6]CALCULO GARANTIA'!R33*'[6]PART PEF2022'!U$9,'[6]CALCULO GARANTIA'!Z33+'[6]CALCULO GARANTIA'!S33),2)</f>
        <v>41635.800000000003</v>
      </c>
      <c r="I33" s="406">
        <f>+ROUND('[6]COEF Art 14 F II'!L34,2)</f>
        <v>43470.35</v>
      </c>
      <c r="J33" s="406">
        <f>+'[6]ISR BI'!D31</f>
        <v>4246.5200000000004</v>
      </c>
      <c r="K33" s="408">
        <f t="shared" si="2"/>
        <v>15751004.220000001</v>
      </c>
      <c r="N33" s="404" t="s">
        <v>28</v>
      </c>
      <c r="O33" s="405">
        <v>7829531.3324491531</v>
      </c>
      <c r="P33" s="406">
        <v>1106566.7746760026</v>
      </c>
      <c r="Q33" s="407">
        <v>5865304.3347877301</v>
      </c>
      <c r="R33" s="406">
        <v>222676.29621900208</v>
      </c>
      <c r="S33" s="406">
        <v>394797.53780002118</v>
      </c>
      <c r="T33" s="406">
        <v>233156.05795736928</v>
      </c>
      <c r="U33" s="406">
        <v>41631.985191671251</v>
      </c>
      <c r="V33" s="406">
        <v>43382.097690545939</v>
      </c>
      <c r="W33" s="406">
        <v>5224.4782722328655</v>
      </c>
      <c r="X33" s="408">
        <f t="shared" si="3"/>
        <v>15742270.895043729</v>
      </c>
      <c r="Z33" s="404" t="s">
        <v>28</v>
      </c>
      <c r="AA33" s="409">
        <f t="shared" si="4"/>
        <v>33330.147550847381</v>
      </c>
      <c r="AB33" s="409">
        <f t="shared" si="4"/>
        <v>6401.6653239973821</v>
      </c>
      <c r="AC33" s="409">
        <f t="shared" si="4"/>
        <v>-84069.114787730388</v>
      </c>
      <c r="AD33" s="409">
        <f t="shared" si="4"/>
        <v>6220.6937809979136</v>
      </c>
      <c r="AE33" s="409">
        <f t="shared" si="4"/>
        <v>47698.082199978817</v>
      </c>
      <c r="AF33" s="409">
        <f t="shared" si="4"/>
        <v>37.742042630707147</v>
      </c>
      <c r="AG33" s="409">
        <f t="shared" si="4"/>
        <v>3.8148083287524059</v>
      </c>
      <c r="AH33" s="409">
        <f t="shared" si="4"/>
        <v>88.252309454059287</v>
      </c>
      <c r="AI33" s="409">
        <f t="shared" si="4"/>
        <v>-977.95827223286506</v>
      </c>
      <c r="AJ33" s="411">
        <f t="shared" si="5"/>
        <v>8733.3249562717592</v>
      </c>
      <c r="AL33" s="404" t="s">
        <v>28</v>
      </c>
      <c r="AM33" s="409">
        <f t="shared" si="7"/>
        <v>5555.0245918078972</v>
      </c>
      <c r="AN33" s="409">
        <f t="shared" si="7"/>
        <v>1066.9442206662304</v>
      </c>
      <c r="AO33" s="409">
        <f t="shared" si="7"/>
        <v>-14011.519131288398</v>
      </c>
      <c r="AP33" s="409">
        <f t="shared" si="7"/>
        <v>1036.7822968329856</v>
      </c>
      <c r="AQ33" s="409">
        <f t="shared" si="7"/>
        <v>7949.6803666631358</v>
      </c>
      <c r="AR33" s="409">
        <f t="shared" si="7"/>
        <v>6.2903404384511914</v>
      </c>
      <c r="AS33" s="409">
        <f t="shared" si="7"/>
        <v>0.63580138812540099</v>
      </c>
      <c r="AT33" s="409">
        <f t="shared" si="7"/>
        <v>14.708718242343215</v>
      </c>
      <c r="AU33" s="409">
        <f t="shared" si="7"/>
        <v>-162.99304537214417</v>
      </c>
      <c r="AV33" s="411">
        <f t="shared" si="6"/>
        <v>1455.5541593786268</v>
      </c>
    </row>
    <row r="34" spans="1:48">
      <c r="A34" s="404" t="s">
        <v>29</v>
      </c>
      <c r="B34" s="405">
        <f>ROUND(IF('[6]PART PEF2022'!X$4&lt;1,'[6]CALCULO GARANTIA'!H34*'[6]PART PEF2022'!U$4,'[6]CALCULO GARANTIA'!U34+'[6]CALCULO GARANTIA'!I34),2)</f>
        <v>10710764.9</v>
      </c>
      <c r="C34" s="406">
        <f>ROUND(+IF('[6]PART PEF2022'!X$5&lt;1,'[6]CALCULO GARANTIA'!J34*'[6]PART PEF2022'!U$5,'[6]CALCULO GARANTIA'!V34+'[6]CALCULO GARANTIA'!K34),2)</f>
        <v>1508517.24</v>
      </c>
      <c r="D34" s="407">
        <f>ROUND(+'[6]PART PEF2022'!U$11*'[6]Art.14 Frac.III'!R33,2)</f>
        <v>2526543.0299999998</v>
      </c>
      <c r="E34" s="406">
        <f>ROUND(+IF('[6]PART PEF2022'!X$6&lt;1,'[6]CALCULO GARANTIA'!L34*'[6]PART PEF2022'!U$6,'[6]CALCULO GARANTIA'!W34+'[6]CALCULO GARANTIA'!M34),2)</f>
        <v>318596.81</v>
      </c>
      <c r="F34" s="406">
        <f>ROUND(+IF('[6]PART PEF2022'!X$7&lt;1,'[6]CALCULO GARANTIA'!N34*'[6]PART PEF2022'!U$7,'[6]CALCULO GARANTIA'!X34+'[6]CALCULO GARANTIA'!O34),2)</f>
        <v>603268.9</v>
      </c>
      <c r="G34" s="406">
        <f>ROUND(+IF('[6]PART PEF2022'!X$8&lt;1,'[6]CALCULO GARANTIA'!P34*'[6]PART PEF2022'!U$8,'[6]CALCULO GARANTIA'!Y34+'[6]CALCULO GARANTIA'!Q34),2)</f>
        <v>314893.24</v>
      </c>
      <c r="H34" s="406">
        <f>ROUND(+IF('[6]PART PEF2022'!X$9&lt;1,'[6]CALCULO GARANTIA'!R34*'[6]PART PEF2022'!U$9,'[6]CALCULO GARANTIA'!Z34+'[6]CALCULO GARANTIA'!S34),2)</f>
        <v>57736.31</v>
      </c>
      <c r="I34" s="406">
        <f>+ROUND('[6]COEF Art 14 F II'!L35,2)</f>
        <v>101868.85</v>
      </c>
      <c r="J34" s="406">
        <f>+'[6]ISR BI'!D32</f>
        <v>19218.310000000001</v>
      </c>
      <c r="K34" s="408">
        <f t="shared" si="2"/>
        <v>16161407.590000002</v>
      </c>
      <c r="N34" s="404" t="s">
        <v>29</v>
      </c>
      <c r="O34" s="405">
        <v>10656575.185056411</v>
      </c>
      <c r="P34" s="406">
        <v>1497988.3601716815</v>
      </c>
      <c r="Q34" s="407">
        <v>2893243.7890388165</v>
      </c>
      <c r="R34" s="406">
        <v>307452.33298117609</v>
      </c>
      <c r="S34" s="406">
        <v>519007.82496785803</v>
      </c>
      <c r="T34" s="406">
        <v>314895.96312305745</v>
      </c>
      <c r="U34" s="406">
        <v>57737.379416400028</v>
      </c>
      <c r="V34" s="406">
        <v>101882.77215077859</v>
      </c>
      <c r="W34" s="406">
        <v>16536.302518370168</v>
      </c>
      <c r="X34" s="408">
        <f t="shared" si="3"/>
        <v>16365319.909424549</v>
      </c>
      <c r="Z34" s="404" t="s">
        <v>29</v>
      </c>
      <c r="AA34" s="409">
        <f t="shared" si="4"/>
        <v>54189.714943589643</v>
      </c>
      <c r="AB34" s="409">
        <f t="shared" si="4"/>
        <v>10528.879828318488</v>
      </c>
      <c r="AC34" s="409">
        <f t="shared" si="4"/>
        <v>-366700.75903881667</v>
      </c>
      <c r="AD34" s="409">
        <f t="shared" si="4"/>
        <v>11144.477018823905</v>
      </c>
      <c r="AE34" s="409">
        <f t="shared" si="4"/>
        <v>84261.075032141991</v>
      </c>
      <c r="AF34" s="409">
        <f t="shared" si="4"/>
        <v>-2.7231230574543588</v>
      </c>
      <c r="AG34" s="409">
        <f t="shared" si="4"/>
        <v>-1.0694164000306046</v>
      </c>
      <c r="AH34" s="409">
        <f t="shared" si="4"/>
        <v>-13.922150778584182</v>
      </c>
      <c r="AI34" s="409">
        <f t="shared" si="4"/>
        <v>2682.0074816298329</v>
      </c>
      <c r="AJ34" s="411">
        <f t="shared" si="5"/>
        <v>-203912.31942454888</v>
      </c>
      <c r="AL34" s="404" t="s">
        <v>29</v>
      </c>
      <c r="AM34" s="409">
        <f t="shared" si="7"/>
        <v>9031.6191572649404</v>
      </c>
      <c r="AN34" s="409">
        <f t="shared" si="7"/>
        <v>1754.813304719748</v>
      </c>
      <c r="AO34" s="409">
        <f t="shared" si="7"/>
        <v>-61116.79317313611</v>
      </c>
      <c r="AP34" s="409">
        <f t="shared" si="7"/>
        <v>1857.412836470651</v>
      </c>
      <c r="AQ34" s="409">
        <f t="shared" si="7"/>
        <v>14043.512505356999</v>
      </c>
      <c r="AR34" s="409">
        <f t="shared" si="7"/>
        <v>-0.45385384290905978</v>
      </c>
      <c r="AS34" s="409">
        <f t="shared" si="7"/>
        <v>-0.17823606667176742</v>
      </c>
      <c r="AT34" s="409">
        <f t="shared" si="7"/>
        <v>-2.3203584630973637</v>
      </c>
      <c r="AU34" s="409">
        <f t="shared" si="7"/>
        <v>447.00124693830548</v>
      </c>
      <c r="AV34" s="411">
        <f t="shared" si="6"/>
        <v>-33985.386570758143</v>
      </c>
    </row>
    <row r="35" spans="1:48">
      <c r="A35" s="404" t="s">
        <v>30</v>
      </c>
      <c r="B35" s="405">
        <f>ROUND(IF('[6]PART PEF2022'!X$4&lt;1,'[6]CALCULO GARANTIA'!H35*'[6]PART PEF2022'!U$4,'[6]CALCULO GARANTIA'!U35+'[6]CALCULO GARANTIA'!I35),2)</f>
        <v>10327465.300000001</v>
      </c>
      <c r="C35" s="406">
        <f>ROUND(+IF('[6]PART PEF2022'!X$5&lt;1,'[6]CALCULO GARANTIA'!J35*'[6]PART PEF2022'!U$5,'[6]CALCULO GARANTIA'!V35+'[6]CALCULO GARANTIA'!K35),2)</f>
        <v>1458148.1</v>
      </c>
      <c r="D35" s="407">
        <f>ROUND(+'[6]PART PEF2022'!U$11*'[6]Art.14 Frac.III'!R34,2)</f>
        <v>2392884.4300000002</v>
      </c>
      <c r="E35" s="406">
        <f>ROUND(+IF('[6]PART PEF2022'!X$6&lt;1,'[6]CALCULO GARANTIA'!L35*'[6]PART PEF2022'!U$6,'[6]CALCULO GARANTIA'!W35+'[6]CALCULO GARANTIA'!M35),2)</f>
        <v>303948.5</v>
      </c>
      <c r="F35" s="406">
        <f>ROUND(+IF('[6]PART PEF2022'!X$7&lt;1,'[6]CALCULO GARANTIA'!N35*'[6]PART PEF2022'!U$7,'[6]CALCULO GARANTIA'!X35+'[6]CALCULO GARANTIA'!O35),2)</f>
        <v>581439.81000000006</v>
      </c>
      <c r="G35" s="406">
        <f>ROUND(+IF('[6]PART PEF2022'!X$8&lt;1,'[6]CALCULO GARANTIA'!P35*'[6]PART PEF2022'!U$8,'[6]CALCULO GARANTIA'!Y35+'[6]CALCULO GARANTIA'!Q35),2)</f>
        <v>304944.59999999998</v>
      </c>
      <c r="H35" s="406">
        <f>ROUND(+IF('[6]PART PEF2022'!X$9&lt;1,'[6]CALCULO GARANTIA'!R35*'[6]PART PEF2022'!U$9,'[6]CALCULO GARANTIA'!Z35+'[6]CALCULO GARANTIA'!S35),2)</f>
        <v>55182.6</v>
      </c>
      <c r="I35" s="406">
        <f>+ROUND('[6]COEF Art 14 F II'!L36,2)</f>
        <v>69045.64</v>
      </c>
      <c r="J35" s="406">
        <f>+'[6]ISR BI'!D33</f>
        <v>372.18</v>
      </c>
      <c r="K35" s="408">
        <f t="shared" si="2"/>
        <v>15493431.16</v>
      </c>
      <c r="N35" s="404" t="s">
        <v>30</v>
      </c>
      <c r="O35" s="405">
        <v>10280746.279851811</v>
      </c>
      <c r="P35" s="406">
        <v>1449090.6083197186</v>
      </c>
      <c r="Q35" s="407">
        <v>2491759.1174674584</v>
      </c>
      <c r="R35" s="406">
        <v>294506.04319492925</v>
      </c>
      <c r="S35" s="406">
        <v>509641.8942702529</v>
      </c>
      <c r="T35" s="406">
        <v>304942.30104597338</v>
      </c>
      <c r="U35" s="406">
        <v>55182.412400236899</v>
      </c>
      <c r="V35" s="406">
        <v>69040.696310317726</v>
      </c>
      <c r="W35" s="406">
        <v>606.27153024284542</v>
      </c>
      <c r="X35" s="408">
        <f t="shared" si="3"/>
        <v>15455515.624390937</v>
      </c>
      <c r="Z35" s="404" t="s">
        <v>30</v>
      </c>
      <c r="AA35" s="409">
        <f t="shared" si="4"/>
        <v>46719.020148189738</v>
      </c>
      <c r="AB35" s="409">
        <f t="shared" si="4"/>
        <v>9057.4916802814696</v>
      </c>
      <c r="AC35" s="409">
        <f t="shared" si="4"/>
        <v>-98874.687467458192</v>
      </c>
      <c r="AD35" s="409">
        <f t="shared" si="4"/>
        <v>9442.4568050707458</v>
      </c>
      <c r="AE35" s="409">
        <f t="shared" si="4"/>
        <v>71797.915729747154</v>
      </c>
      <c r="AF35" s="409">
        <f t="shared" si="4"/>
        <v>2.298954026598949</v>
      </c>
      <c r="AG35" s="409">
        <f t="shared" si="4"/>
        <v>0.18759976309956983</v>
      </c>
      <c r="AH35" s="409">
        <f t="shared" si="4"/>
        <v>4.9436896822735434</v>
      </c>
      <c r="AI35" s="409">
        <f t="shared" si="4"/>
        <v>-234.09153024284541</v>
      </c>
      <c r="AJ35" s="411">
        <f t="shared" si="5"/>
        <v>37915.53560906004</v>
      </c>
      <c r="AL35" s="404" t="s">
        <v>30</v>
      </c>
      <c r="AM35" s="409">
        <f t="shared" si="7"/>
        <v>7786.5033580316231</v>
      </c>
      <c r="AN35" s="409">
        <f t="shared" si="7"/>
        <v>1509.5819467135782</v>
      </c>
      <c r="AO35" s="409">
        <f t="shared" si="7"/>
        <v>-16479.114577909699</v>
      </c>
      <c r="AP35" s="409">
        <f t="shared" si="7"/>
        <v>1573.7428008451243</v>
      </c>
      <c r="AQ35" s="409">
        <f t="shared" si="7"/>
        <v>11966.319288291192</v>
      </c>
      <c r="AR35" s="409">
        <f t="shared" si="7"/>
        <v>0.38315900443315815</v>
      </c>
      <c r="AS35" s="409">
        <f t="shared" si="7"/>
        <v>3.126662718326164E-2</v>
      </c>
      <c r="AT35" s="409">
        <f t="shared" si="7"/>
        <v>0.82394828037892387</v>
      </c>
      <c r="AU35" s="409">
        <f t="shared" si="7"/>
        <v>-39.015255040474237</v>
      </c>
      <c r="AV35" s="411">
        <f t="shared" si="6"/>
        <v>6319.2559348433397</v>
      </c>
    </row>
    <row r="36" spans="1:48">
      <c r="A36" s="404" t="s">
        <v>242</v>
      </c>
      <c r="B36" s="405">
        <f>ROUND(IF('[6]PART PEF2022'!X$4&lt;1,'[6]CALCULO GARANTIA'!H36*'[6]PART PEF2022'!U$4,'[6]CALCULO GARANTIA'!U36+'[6]CALCULO GARANTIA'!I36),2)</f>
        <v>124342238.38</v>
      </c>
      <c r="C36" s="406">
        <f>ROUND(+IF('[6]PART PEF2022'!X$5&lt;1,'[6]CALCULO GARANTIA'!J36*'[6]PART PEF2022'!U$5,'[6]CALCULO GARANTIA'!V36+'[6]CALCULO GARANTIA'!K36),2)</f>
        <v>18406859.280000001</v>
      </c>
      <c r="D36" s="407">
        <f>ROUND(+'[6]PART PEF2022'!U$11*'[6]Art.14 Frac.III'!R35,2)</f>
        <v>4698286.9400000004</v>
      </c>
      <c r="E36" s="406">
        <f>ROUND(+IF('[6]PART PEF2022'!X$6&lt;1,'[6]CALCULO GARANTIA'!L36*'[6]PART PEF2022'!U$6,'[6]CALCULO GARANTIA'!W36+'[6]CALCULO GARANTIA'!M36),2)</f>
        <v>2895396.7</v>
      </c>
      <c r="F36" s="406">
        <f>ROUND(+IF('[6]PART PEF2022'!X$7&lt;1,'[6]CALCULO GARANTIA'!N36*'[6]PART PEF2022'!U$7,'[6]CALCULO GARANTIA'!X36+'[6]CALCULO GARANTIA'!O36),2)</f>
        <v>6943964.1500000004</v>
      </c>
      <c r="G36" s="406">
        <f>ROUND(+IF('[6]PART PEF2022'!X$8&lt;1,'[6]CALCULO GARANTIA'!P36*'[6]PART PEF2022'!U$8,'[6]CALCULO GARANTIA'!Y36+'[6]CALCULO GARANTIA'!Q36),2)</f>
        <v>3982231.25</v>
      </c>
      <c r="H36" s="406">
        <f>ROUND(+IF('[6]PART PEF2022'!X$9&lt;1,'[6]CALCULO GARANTIA'!R36*'[6]PART PEF2022'!U$9,'[6]CALCULO GARANTIA'!Z36+'[6]CALCULO GARANTIA'!S36),2)</f>
        <v>549657.96</v>
      </c>
      <c r="I36" s="406">
        <f>+ROUND('[6]COEF Art 14 F II'!L37,2)</f>
        <v>5060270.4000000004</v>
      </c>
      <c r="J36" s="406">
        <f>+'[6]ISR BI'!D34</f>
        <v>1482900.88</v>
      </c>
      <c r="K36" s="408">
        <f t="shared" si="2"/>
        <v>168361805.94</v>
      </c>
      <c r="N36" s="404" t="s">
        <v>31</v>
      </c>
      <c r="O36" s="405">
        <v>125398174.09437624</v>
      </c>
      <c r="P36" s="406">
        <v>18608201.883445714</v>
      </c>
      <c r="Q36" s="407">
        <v>385578.28</v>
      </c>
      <c r="R36" s="406">
        <v>3080700.4140640898</v>
      </c>
      <c r="S36" s="406">
        <v>8423300.7159159221</v>
      </c>
      <c r="T36" s="406">
        <v>3983064.0933703855</v>
      </c>
      <c r="U36" s="406">
        <v>549849.48623201263</v>
      </c>
      <c r="V36" s="406">
        <v>5063248.490407005</v>
      </c>
      <c r="W36" s="406">
        <v>1429608.8419250993</v>
      </c>
      <c r="X36" s="408">
        <f t="shared" si="3"/>
        <v>166921726.29973644</v>
      </c>
      <c r="Z36" s="404" t="s">
        <v>31</v>
      </c>
      <c r="AA36" s="409">
        <f t="shared" si="4"/>
        <v>-1055935.714376241</v>
      </c>
      <c r="AB36" s="409">
        <f t="shared" si="4"/>
        <v>-201342.60344571248</v>
      </c>
      <c r="AC36" s="409">
        <f t="shared" si="4"/>
        <v>4312708.66</v>
      </c>
      <c r="AD36" s="409">
        <f t="shared" si="4"/>
        <v>-185303.71406408958</v>
      </c>
      <c r="AE36" s="409">
        <f t="shared" si="4"/>
        <v>-1479336.5659159217</v>
      </c>
      <c r="AF36" s="409">
        <f t="shared" si="4"/>
        <v>-832.84337038546801</v>
      </c>
      <c r="AG36" s="409">
        <f t="shared" si="4"/>
        <v>-191.52623201266397</v>
      </c>
      <c r="AH36" s="409">
        <f t="shared" si="4"/>
        <v>-2978.0904070045799</v>
      </c>
      <c r="AI36" s="409">
        <f t="shared" si="4"/>
        <v>53292.038074900629</v>
      </c>
      <c r="AJ36" s="411">
        <f t="shared" si="5"/>
        <v>1440079.6402635335</v>
      </c>
      <c r="AL36" s="404" t="s">
        <v>31</v>
      </c>
      <c r="AM36" s="409">
        <f t="shared" si="7"/>
        <v>-175989.28572937349</v>
      </c>
      <c r="AN36" s="409">
        <f t="shared" si="7"/>
        <v>-33557.10057428541</v>
      </c>
      <c r="AO36" s="409">
        <f t="shared" si="7"/>
        <v>718784.77666666673</v>
      </c>
      <c r="AP36" s="409">
        <f t="shared" si="7"/>
        <v>-30883.952344014931</v>
      </c>
      <c r="AQ36" s="409">
        <f t="shared" si="7"/>
        <v>-246556.09431932028</v>
      </c>
      <c r="AR36" s="409">
        <f t="shared" si="7"/>
        <v>-138.807228397578</v>
      </c>
      <c r="AS36" s="409">
        <f t="shared" si="7"/>
        <v>-31.921038668777328</v>
      </c>
      <c r="AT36" s="409">
        <f t="shared" si="7"/>
        <v>-496.34840116742998</v>
      </c>
      <c r="AU36" s="409">
        <f t="shared" si="7"/>
        <v>8882.0063458167715</v>
      </c>
      <c r="AV36" s="411">
        <f t="shared" si="6"/>
        <v>240013.27337725559</v>
      </c>
    </row>
    <row r="37" spans="1:48">
      <c r="A37" s="404" t="s">
        <v>32</v>
      </c>
      <c r="B37" s="405">
        <f>ROUND(IF('[6]PART PEF2022'!X$4&lt;1,'[6]CALCULO GARANTIA'!H37*'[6]PART PEF2022'!U$4,'[6]CALCULO GARANTIA'!U37+'[6]CALCULO GARANTIA'!I37),2)</f>
        <v>19282943.739999998</v>
      </c>
      <c r="C37" s="406">
        <f>ROUND(+IF('[6]PART PEF2022'!X$5&lt;1,'[6]CALCULO GARANTIA'!J37*'[6]PART PEF2022'!U$5,'[6]CALCULO GARANTIA'!V37+'[6]CALCULO GARANTIA'!K37),2)</f>
        <v>2746953.11</v>
      </c>
      <c r="D37" s="407">
        <f>ROUND(+'[6]PART PEF2022'!U$11*'[6]Art.14 Frac.III'!R36,2)</f>
        <v>2151853.92</v>
      </c>
      <c r="E37" s="406">
        <f>ROUND(+IF('[6]PART PEF2022'!X$6&lt;1,'[6]CALCULO GARANTIA'!L37*'[6]PART PEF2022'!U$6,'[6]CALCULO GARANTIA'!W37+'[6]CALCULO GARANTIA'!M37),2)</f>
        <v>545631.4</v>
      </c>
      <c r="F37" s="406">
        <f>ROUND(+IF('[6]PART PEF2022'!X$7&lt;1,'[6]CALCULO GARANTIA'!N37*'[6]PART PEF2022'!U$7,'[6]CALCULO GARANTIA'!X37+'[6]CALCULO GARANTIA'!O37),2)</f>
        <v>1084016.67</v>
      </c>
      <c r="G37" s="406">
        <f>ROUND(+IF('[6]PART PEF2022'!X$8&lt;1,'[6]CALCULO GARANTIA'!P37*'[6]PART PEF2022'!U$8,'[6]CALCULO GARANTIA'!Y37+'[6]CALCULO GARANTIA'!Q37),2)</f>
        <v>578277.32999999996</v>
      </c>
      <c r="H37" s="406">
        <f>ROUND(+IF('[6]PART PEF2022'!X$9&lt;1,'[6]CALCULO GARANTIA'!R37*'[6]PART PEF2022'!U$9,'[6]CALCULO GARANTIA'!Z37+'[6]CALCULO GARANTIA'!S37),2)</f>
        <v>99747.91</v>
      </c>
      <c r="I37" s="406">
        <f>+ROUND('[6]COEF Art 14 F II'!L38,2)</f>
        <v>135884.88</v>
      </c>
      <c r="J37" s="406">
        <f>+'[6]ISR BI'!D35</f>
        <v>40236.949999999997</v>
      </c>
      <c r="K37" s="408">
        <f t="shared" si="2"/>
        <v>26665545.909999993</v>
      </c>
      <c r="N37" s="404" t="s">
        <v>32</v>
      </c>
      <c r="O37" s="405">
        <v>19240804.538342651</v>
      </c>
      <c r="P37" s="406">
        <v>2738723.8230887298</v>
      </c>
      <c r="Q37" s="407">
        <v>2289961.5579466298</v>
      </c>
      <c r="R37" s="406">
        <v>536614.01117360243</v>
      </c>
      <c r="S37" s="406">
        <v>1016524.2962367601</v>
      </c>
      <c r="T37" s="406">
        <v>578293.53671681648</v>
      </c>
      <c r="U37" s="406">
        <v>99751.117552929558</v>
      </c>
      <c r="V37" s="406">
        <v>135937.90436680467</v>
      </c>
      <c r="W37" s="406">
        <v>25959.258128894951</v>
      </c>
      <c r="X37" s="408">
        <f t="shared" si="3"/>
        <v>26662570.043553822</v>
      </c>
      <c r="Z37" s="404" t="s">
        <v>32</v>
      </c>
      <c r="AA37" s="409">
        <f t="shared" si="4"/>
        <v>42139.201657347381</v>
      </c>
      <c r="AB37" s="409">
        <f t="shared" si="4"/>
        <v>8229.2869112701155</v>
      </c>
      <c r="AC37" s="409">
        <f t="shared" si="4"/>
        <v>-138107.6379466299</v>
      </c>
      <c r="AD37" s="409">
        <f t="shared" si="4"/>
        <v>9017.3888263975969</v>
      </c>
      <c r="AE37" s="409">
        <f t="shared" si="4"/>
        <v>67492.373763239826</v>
      </c>
      <c r="AF37" s="409">
        <f t="shared" si="4"/>
        <v>-16.206716816523112</v>
      </c>
      <c r="AG37" s="409">
        <f t="shared" si="4"/>
        <v>-3.2075529295543674</v>
      </c>
      <c r="AH37" s="409">
        <f t="shared" si="4"/>
        <v>-53.024366804660531</v>
      </c>
      <c r="AI37" s="409">
        <f t="shared" si="4"/>
        <v>14277.691871105046</v>
      </c>
      <c r="AJ37" s="411">
        <f t="shared" si="5"/>
        <v>2975.8664461793305</v>
      </c>
      <c r="AL37" s="404" t="s">
        <v>32</v>
      </c>
      <c r="AM37" s="409">
        <f t="shared" si="7"/>
        <v>7023.2002762245638</v>
      </c>
      <c r="AN37" s="409">
        <f t="shared" si="7"/>
        <v>1371.5478185450193</v>
      </c>
      <c r="AO37" s="409">
        <f t="shared" si="7"/>
        <v>-23017.939657771651</v>
      </c>
      <c r="AP37" s="409">
        <f t="shared" si="7"/>
        <v>1502.8981377329328</v>
      </c>
      <c r="AQ37" s="409">
        <f t="shared" si="7"/>
        <v>11248.728960539971</v>
      </c>
      <c r="AR37" s="409">
        <f t="shared" si="7"/>
        <v>-2.7011194694205187</v>
      </c>
      <c r="AS37" s="409">
        <f t="shared" si="7"/>
        <v>-0.53459215492572787</v>
      </c>
      <c r="AT37" s="409">
        <f t="shared" si="7"/>
        <v>-8.8373944674434224</v>
      </c>
      <c r="AU37" s="409">
        <f t="shared" si="7"/>
        <v>2379.615311850841</v>
      </c>
      <c r="AV37" s="411">
        <f t="shared" si="6"/>
        <v>495.97774102988842</v>
      </c>
    </row>
    <row r="38" spans="1:48">
      <c r="A38" s="404" t="s">
        <v>33</v>
      </c>
      <c r="B38" s="405">
        <f>ROUND(IF('[6]PART PEF2022'!X$4&lt;1,'[6]CALCULO GARANTIA'!H38*'[6]PART PEF2022'!U$4,'[6]CALCULO GARANTIA'!U38+'[6]CALCULO GARANTIA'!I38),2)</f>
        <v>67838596.849999994</v>
      </c>
      <c r="C38" s="406">
        <f>ROUND(+IF('[6]PART PEF2022'!X$5&lt;1,'[6]CALCULO GARANTIA'!J38*'[6]PART PEF2022'!U$5,'[6]CALCULO GARANTIA'!V38+'[6]CALCULO GARANTIA'!K38),2)</f>
        <v>9582367.3100000005</v>
      </c>
      <c r="D38" s="407">
        <f>ROUND(+'[6]PART PEF2022'!U$11*'[6]Art.14 Frac.III'!R37,2)</f>
        <v>3416669.12</v>
      </c>
      <c r="E38" s="406">
        <f>ROUND(+IF('[6]PART PEF2022'!X$6&lt;1,'[6]CALCULO GARANTIA'!L38*'[6]PART PEF2022'!U$6,'[6]CALCULO GARANTIA'!W38+'[6]CALCULO GARANTIA'!M38),2)</f>
        <v>1992837.46</v>
      </c>
      <c r="F38" s="406">
        <f>ROUND(+IF('[6]PART PEF2022'!X$7&lt;1,'[6]CALCULO GARANTIA'!N38*'[6]PART PEF2022'!U$7,'[6]CALCULO GARANTIA'!X38+'[6]CALCULO GARANTIA'!O38),2)</f>
        <v>3819060.36</v>
      </c>
      <c r="G38" s="406">
        <f>ROUND(+IF('[6]PART PEF2022'!X$8&lt;1,'[6]CALCULO GARANTIA'!P38*'[6]PART PEF2022'!U$8,'[6]CALCULO GARANTIA'!Y38+'[6]CALCULO GARANTIA'!Q38),2)</f>
        <v>2004621.64</v>
      </c>
      <c r="H38" s="406">
        <f>ROUND(+IF('[6]PART PEF2022'!X$9&lt;1,'[6]CALCULO GARANTIA'!R38*'[6]PART PEF2022'!U$9,'[6]CALCULO GARANTIA'!Z38+'[6]CALCULO GARANTIA'!S38),2)</f>
        <v>361921.54</v>
      </c>
      <c r="I38" s="406">
        <f>+ROUND('[6]COEF Art 14 F II'!L39,2)</f>
        <v>1031524.43</v>
      </c>
      <c r="J38" s="406">
        <f>+'[6]ISR BI'!D36</f>
        <v>156004.93</v>
      </c>
      <c r="K38" s="408">
        <f t="shared" si="2"/>
        <v>90203603.640000015</v>
      </c>
      <c r="N38" s="404" t="s">
        <v>33</v>
      </c>
      <c r="O38" s="405">
        <v>67510214.160050213</v>
      </c>
      <c r="P38" s="406">
        <v>9519294.0547006316</v>
      </c>
      <c r="Q38" s="407">
        <v>3277180.0525044557</v>
      </c>
      <c r="R38" s="406">
        <v>1931613.9464366559</v>
      </c>
      <c r="S38" s="406">
        <v>3354072.432814653</v>
      </c>
      <c r="T38" s="406">
        <v>2004135.2781093409</v>
      </c>
      <c r="U38" s="406">
        <v>361882.28721373802</v>
      </c>
      <c r="V38" s="406">
        <v>1030481.7695085324</v>
      </c>
      <c r="W38" s="406">
        <v>157511.01800036436</v>
      </c>
      <c r="X38" s="408">
        <f t="shared" si="3"/>
        <v>89146384.999338582</v>
      </c>
      <c r="Z38" s="404" t="s">
        <v>33</v>
      </c>
      <c r="AA38" s="409">
        <f t="shared" si="4"/>
        <v>328382.6899497807</v>
      </c>
      <c r="AB38" s="409">
        <f t="shared" si="4"/>
        <v>63073.255299368873</v>
      </c>
      <c r="AC38" s="409">
        <f t="shared" si="4"/>
        <v>139489.06749554444</v>
      </c>
      <c r="AD38" s="409">
        <f t="shared" si="4"/>
        <v>61223.513563344022</v>
      </c>
      <c r="AE38" s="409">
        <f t="shared" si="4"/>
        <v>464987.92718534684</v>
      </c>
      <c r="AF38" s="409">
        <f t="shared" si="4"/>
        <v>486.36189065896906</v>
      </c>
      <c r="AG38" s="409">
        <f t="shared" si="4"/>
        <v>39.252786261960864</v>
      </c>
      <c r="AH38" s="409">
        <f t="shared" si="4"/>
        <v>1042.6604914676864</v>
      </c>
      <c r="AI38" s="409">
        <f t="shared" si="4"/>
        <v>-1506.0880003643688</v>
      </c>
      <c r="AJ38" s="411">
        <f t="shared" si="5"/>
        <v>1057218.6406614091</v>
      </c>
      <c r="AL38" s="404" t="s">
        <v>33</v>
      </c>
      <c r="AM38" s="409">
        <f t="shared" si="7"/>
        <v>54730.44832496345</v>
      </c>
      <c r="AN38" s="409">
        <f t="shared" si="7"/>
        <v>10512.209216561479</v>
      </c>
      <c r="AO38" s="409">
        <f t="shared" si="7"/>
        <v>23248.177915924072</v>
      </c>
      <c r="AP38" s="409">
        <f t="shared" si="7"/>
        <v>10203.918927224004</v>
      </c>
      <c r="AQ38" s="409">
        <f t="shared" si="7"/>
        <v>77497.987864224473</v>
      </c>
      <c r="AR38" s="409">
        <f t="shared" si="7"/>
        <v>81.060315109828181</v>
      </c>
      <c r="AS38" s="409">
        <f t="shared" si="7"/>
        <v>6.5421310436601443</v>
      </c>
      <c r="AT38" s="409">
        <f t="shared" si="7"/>
        <v>173.77674857794773</v>
      </c>
      <c r="AU38" s="409">
        <f t="shared" si="7"/>
        <v>-251.0146667273948</v>
      </c>
      <c r="AV38" s="411">
        <f t="shared" si="6"/>
        <v>176203.10677690152</v>
      </c>
    </row>
    <row r="39" spans="1:48">
      <c r="A39" s="404" t="s">
        <v>243</v>
      </c>
      <c r="B39" s="405">
        <f>ROUND(IF('[6]PART PEF2022'!X$4&lt;1,'[6]CALCULO GARANTIA'!H39*'[6]PART PEF2022'!U$4,'[6]CALCULO GARANTIA'!U39+'[6]CALCULO GARANTIA'!I39),2)</f>
        <v>14184386.42</v>
      </c>
      <c r="C39" s="406">
        <f>ROUND(+IF('[6]PART PEF2022'!X$5&lt;1,'[6]CALCULO GARANTIA'!J39*'[6]PART PEF2022'!U$5,'[6]CALCULO GARANTIA'!V39+'[6]CALCULO GARANTIA'!K39),2)</f>
        <v>1994956.97</v>
      </c>
      <c r="D39" s="407">
        <f>ROUND(+'[6]PART PEF2022'!U$11*'[6]Art.14 Frac.III'!R38,2)</f>
        <v>3132211.31</v>
      </c>
      <c r="E39" s="406">
        <f>ROUND(+IF('[6]PART PEF2022'!X$6&lt;1,'[6]CALCULO GARANTIA'!L39*'[6]PART PEF2022'!U$6,'[6]CALCULO GARANTIA'!W39+'[6]CALCULO GARANTIA'!M39),2)</f>
        <v>424426.51</v>
      </c>
      <c r="F39" s="406">
        <f>ROUND(+IF('[6]PART PEF2022'!X$7&lt;1,'[6]CALCULO GARANTIA'!N39*'[6]PART PEF2022'!U$7,'[6]CALCULO GARANTIA'!X39+'[6]CALCULO GARANTIA'!O39),2)</f>
        <v>799101.17</v>
      </c>
      <c r="G39" s="406">
        <f>ROUND(+IF('[6]PART PEF2022'!X$8&lt;1,'[6]CALCULO GARANTIA'!P39*'[6]PART PEF2022'!U$8,'[6]CALCULO GARANTIA'!Y39+'[6]CALCULO GARANTIA'!Q39),2)</f>
        <v>415998</v>
      </c>
      <c r="H39" s="406">
        <f>ROUND(+IF('[6]PART PEF2022'!X$9&lt;1,'[6]CALCULO GARANTIA'!R39*'[6]PART PEF2022'!U$9,'[6]CALCULO GARANTIA'!Z39+'[6]CALCULO GARANTIA'!S39),2)</f>
        <v>76837.009999999995</v>
      </c>
      <c r="I39" s="406">
        <f>+ROUND('[6]COEF Art 14 F II'!L40,2)</f>
        <v>94994.54</v>
      </c>
      <c r="J39" s="406">
        <f>+'[6]ISR BI'!D37</f>
        <v>45859.76</v>
      </c>
      <c r="K39" s="408">
        <f t="shared" si="2"/>
        <v>21168771.690000005</v>
      </c>
      <c r="N39" s="404" t="s">
        <v>34</v>
      </c>
      <c r="O39" s="405">
        <v>14108950.137485538</v>
      </c>
      <c r="P39" s="406">
        <v>1980270.5167742462</v>
      </c>
      <c r="Q39" s="407">
        <v>3288312.319875895</v>
      </c>
      <c r="R39" s="406">
        <v>408664.36073255813</v>
      </c>
      <c r="S39" s="406">
        <v>680373.00010009331</v>
      </c>
      <c r="T39" s="406">
        <v>416012.67819066293</v>
      </c>
      <c r="U39" s="406">
        <v>76840.193079169912</v>
      </c>
      <c r="V39" s="406">
        <v>95045.13512158065</v>
      </c>
      <c r="W39" s="406">
        <v>31303.730794071889</v>
      </c>
      <c r="X39" s="408">
        <f t="shared" si="3"/>
        <v>21085772.072153818</v>
      </c>
      <c r="Z39" s="404" t="s">
        <v>34</v>
      </c>
      <c r="AA39" s="409">
        <f t="shared" si="4"/>
        <v>75436.282514462247</v>
      </c>
      <c r="AB39" s="409">
        <f t="shared" si="4"/>
        <v>14686.453225753736</v>
      </c>
      <c r="AC39" s="409">
        <f t="shared" si="4"/>
        <v>-156101.00987589499</v>
      </c>
      <c r="AD39" s="409">
        <f t="shared" si="4"/>
        <v>15762.149267441884</v>
      </c>
      <c r="AE39" s="409">
        <f t="shared" si="4"/>
        <v>118728.16989990673</v>
      </c>
      <c r="AF39" s="409">
        <f t="shared" si="4"/>
        <v>-14.678190662933048</v>
      </c>
      <c r="AG39" s="409">
        <f t="shared" si="4"/>
        <v>-3.1830791699176189</v>
      </c>
      <c r="AH39" s="409">
        <f t="shared" si="4"/>
        <v>-50.595121580656269</v>
      </c>
      <c r="AI39" s="409">
        <f t="shared" si="4"/>
        <v>14556.029205928113</v>
      </c>
      <c r="AJ39" s="411">
        <f t="shared" si="5"/>
        <v>82999.617846184206</v>
      </c>
      <c r="AL39" s="404" t="s">
        <v>34</v>
      </c>
      <c r="AM39" s="409">
        <f t="shared" si="7"/>
        <v>12572.713752410375</v>
      </c>
      <c r="AN39" s="409">
        <f t="shared" si="7"/>
        <v>2447.7422042922894</v>
      </c>
      <c r="AO39" s="409">
        <f t="shared" si="7"/>
        <v>-26016.83497931583</v>
      </c>
      <c r="AP39" s="409">
        <f t="shared" si="7"/>
        <v>2627.0248779069807</v>
      </c>
      <c r="AQ39" s="409">
        <f t="shared" si="7"/>
        <v>19788.028316651122</v>
      </c>
      <c r="AR39" s="409">
        <f t="shared" si="7"/>
        <v>-2.4463651104888413</v>
      </c>
      <c r="AS39" s="409">
        <f t="shared" si="7"/>
        <v>-0.53051319498626981</v>
      </c>
      <c r="AT39" s="409">
        <f t="shared" si="7"/>
        <v>-8.4325202634427114</v>
      </c>
      <c r="AU39" s="409">
        <f t="shared" si="7"/>
        <v>2426.0048676546853</v>
      </c>
      <c r="AV39" s="411">
        <f t="shared" si="6"/>
        <v>13833.269641030703</v>
      </c>
    </row>
    <row r="40" spans="1:48">
      <c r="A40" s="404" t="s">
        <v>35</v>
      </c>
      <c r="B40" s="405">
        <f>ROUND(IF('[6]PART PEF2022'!X$4&lt;1,'[6]CALCULO GARANTIA'!H40*'[6]PART PEF2022'!U$4,'[6]CALCULO GARANTIA'!U40+'[6]CALCULO GARANTIA'!I40),2)</f>
        <v>12327733.380000001</v>
      </c>
      <c r="C40" s="406">
        <f>ROUND(+IF('[6]PART PEF2022'!X$5&lt;1,'[6]CALCULO GARANTIA'!J40*'[6]PART PEF2022'!U$5,'[6]CALCULO GARANTIA'!V40+'[6]CALCULO GARANTIA'!K40),2)</f>
        <v>1694205.55</v>
      </c>
      <c r="D40" s="407">
        <f>ROUND(+'[6]PART PEF2022'!U$11*'[6]Art.14 Frac.III'!R39,2)</f>
        <v>2732105.49</v>
      </c>
      <c r="E40" s="406">
        <f>ROUND(+IF('[6]PART PEF2022'!X$6&lt;1,'[6]CALCULO GARANTIA'!L40*'[6]PART PEF2022'!U$6,'[6]CALCULO GARANTIA'!W40+'[6]CALCULO GARANTIA'!M40),2)</f>
        <v>404457.66</v>
      </c>
      <c r="F40" s="406">
        <f>ROUND(+IF('[6]PART PEF2022'!X$7&lt;1,'[6]CALCULO GARANTIA'!N40*'[6]PART PEF2022'!U$7,'[6]CALCULO GARANTIA'!X40+'[6]CALCULO GARANTIA'!O40),2)</f>
        <v>697136.9</v>
      </c>
      <c r="G40" s="406">
        <f>ROUND(+IF('[6]PART PEF2022'!X$8&lt;1,'[6]CALCULO GARANTIA'!P40*'[6]PART PEF2022'!U$8,'[6]CALCULO GARANTIA'!Y40+'[6]CALCULO GARANTIA'!Q40),2)</f>
        <v>347076.25</v>
      </c>
      <c r="H40" s="406">
        <f>ROUND(+IF('[6]PART PEF2022'!X$9&lt;1,'[6]CALCULO GARANTIA'!R40*'[6]PART PEF2022'!U$9,'[6]CALCULO GARANTIA'!Z40+'[6]CALCULO GARANTIA'!S40),2)</f>
        <v>72122.929999999993</v>
      </c>
      <c r="I40" s="406">
        <f>+ROUND('[6]COEF Art 14 F II'!L41,2)</f>
        <v>19599.91</v>
      </c>
      <c r="J40" s="406">
        <f>+'[6]ISR BI'!D38</f>
        <v>1623.78</v>
      </c>
      <c r="K40" s="408">
        <f t="shared" si="2"/>
        <v>18296061.850000001</v>
      </c>
      <c r="N40" s="404" t="s">
        <v>35</v>
      </c>
      <c r="O40" s="405">
        <v>12191563.275262149</v>
      </c>
      <c r="P40" s="406">
        <v>1667781.0732043707</v>
      </c>
      <c r="Q40" s="407">
        <v>2913631.2389169103</v>
      </c>
      <c r="R40" s="406">
        <v>376724.2566172643</v>
      </c>
      <c r="S40" s="406">
        <v>486581.39999581163</v>
      </c>
      <c r="T40" s="406">
        <v>347080.51169003453</v>
      </c>
      <c r="U40" s="406">
        <v>72123.859659158872</v>
      </c>
      <c r="V40" s="406">
        <v>19614.595310311204</v>
      </c>
      <c r="W40" s="406">
        <v>1478.3755059736889</v>
      </c>
      <c r="X40" s="408">
        <f t="shared" si="3"/>
        <v>18076578.586161982</v>
      </c>
      <c r="Z40" s="404" t="s">
        <v>35</v>
      </c>
      <c r="AA40" s="409">
        <f t="shared" si="4"/>
        <v>136170.10473785177</v>
      </c>
      <c r="AB40" s="409">
        <f t="shared" si="4"/>
        <v>26424.476795629365</v>
      </c>
      <c r="AC40" s="409">
        <f t="shared" si="4"/>
        <v>-181525.74891691003</v>
      </c>
      <c r="AD40" s="409">
        <f t="shared" si="4"/>
        <v>27733.403382735676</v>
      </c>
      <c r="AE40" s="409">
        <f t="shared" si="4"/>
        <v>210555.50000418839</v>
      </c>
      <c r="AF40" s="409">
        <f t="shared" si="4"/>
        <v>-4.2616900345310569</v>
      </c>
      <c r="AG40" s="409">
        <f t="shared" si="4"/>
        <v>-0.92965915887907613</v>
      </c>
      <c r="AH40" s="409">
        <f t="shared" si="4"/>
        <v>-14.685310311204375</v>
      </c>
      <c r="AI40" s="409">
        <f t="shared" si="4"/>
        <v>145.40449402631111</v>
      </c>
      <c r="AJ40" s="411">
        <f t="shared" si="5"/>
        <v>219483.26383801686</v>
      </c>
      <c r="AL40" s="404" t="s">
        <v>35</v>
      </c>
      <c r="AM40" s="409">
        <f t="shared" si="7"/>
        <v>22695.017456308629</v>
      </c>
      <c r="AN40" s="409">
        <f t="shared" si="7"/>
        <v>4404.0794659382273</v>
      </c>
      <c r="AO40" s="409">
        <f t="shared" si="7"/>
        <v>-30254.291486151673</v>
      </c>
      <c r="AP40" s="409">
        <f t="shared" si="7"/>
        <v>4622.2338971226127</v>
      </c>
      <c r="AQ40" s="409">
        <f t="shared" si="7"/>
        <v>35092.583334031398</v>
      </c>
      <c r="AR40" s="409">
        <f t="shared" si="7"/>
        <v>-0.71028167242184281</v>
      </c>
      <c r="AS40" s="409">
        <f t="shared" si="7"/>
        <v>-0.1549431931465127</v>
      </c>
      <c r="AT40" s="409">
        <f t="shared" si="7"/>
        <v>-2.4475517185340627</v>
      </c>
      <c r="AU40" s="409">
        <f t="shared" si="7"/>
        <v>24.234082337718519</v>
      </c>
      <c r="AV40" s="411">
        <f t="shared" si="6"/>
        <v>36580.543973002801</v>
      </c>
    </row>
    <row r="41" spans="1:48">
      <c r="A41" s="404" t="s">
        <v>36</v>
      </c>
      <c r="B41" s="405">
        <f>ROUND(IF('[6]PART PEF2022'!X$4&lt;1,'[6]CALCULO GARANTIA'!H41*'[6]PART PEF2022'!U$4,'[6]CALCULO GARANTIA'!U41+'[6]CALCULO GARANTIA'!I41),2)</f>
        <v>15330965.66</v>
      </c>
      <c r="C41" s="406">
        <f>ROUND(+IF('[6]PART PEF2022'!X$5&lt;1,'[6]CALCULO GARANTIA'!J41*'[6]PART PEF2022'!U$5,'[6]CALCULO GARANTIA'!V41+'[6]CALCULO GARANTIA'!K41),2)</f>
        <v>2176213.4900000002</v>
      </c>
      <c r="D41" s="407">
        <f>ROUND(+'[6]PART PEF2022'!U$11*'[6]Art.14 Frac.III'!R40,2)</f>
        <v>4434319.29</v>
      </c>
      <c r="E41" s="406">
        <f>ROUND(+IF('[6]PART PEF2022'!X$6&lt;1,'[6]CALCULO GARANTIA'!L41*'[6]PART PEF2022'!U$6,'[6]CALCULO GARANTIA'!W41+'[6]CALCULO GARANTIA'!M41),2)</f>
        <v>440775.6</v>
      </c>
      <c r="F41" s="406">
        <f>ROUND(+IF('[6]PART PEF2022'!X$7&lt;1,'[6]CALCULO GARANTIA'!N41*'[6]PART PEF2022'!U$7,'[6]CALCULO GARANTIA'!X41+'[6]CALCULO GARANTIA'!O41),2)</f>
        <v>862366.65</v>
      </c>
      <c r="G41" s="406">
        <f>ROUND(+IF('[6]PART PEF2022'!X$8&lt;1,'[6]CALCULO GARANTIA'!P41*'[6]PART PEF2022'!U$8,'[6]CALCULO GARANTIA'!Y41+'[6]CALCULO GARANTIA'!Q41),2)</f>
        <v>456927.24</v>
      </c>
      <c r="H41" s="406">
        <f>ROUND(+IF('[6]PART PEF2022'!X$9&lt;1,'[6]CALCULO GARANTIA'!R41*'[6]PART PEF2022'!U$9,'[6]CALCULO GARANTIA'!Z41+'[6]CALCULO GARANTIA'!S41),2)</f>
        <v>80351.41</v>
      </c>
      <c r="I41" s="406">
        <f>+ROUND('[6]COEF Art 14 F II'!L42,2)</f>
        <v>131366.37</v>
      </c>
      <c r="J41" s="406">
        <f>+'[6]ISR BI'!D39</f>
        <v>28.89</v>
      </c>
      <c r="K41" s="408">
        <f t="shared" si="2"/>
        <v>23913314.599999998</v>
      </c>
      <c r="N41" s="404" t="s">
        <v>36</v>
      </c>
      <c r="O41" s="405">
        <v>15281940.989312211</v>
      </c>
      <c r="P41" s="406">
        <v>2166710.9884888111</v>
      </c>
      <c r="Q41" s="407">
        <v>3815127.6422499111</v>
      </c>
      <c r="R41" s="406">
        <v>430883.50175002601</v>
      </c>
      <c r="S41" s="406">
        <v>787106.23971574113</v>
      </c>
      <c r="T41" s="406">
        <v>456924.4358153526</v>
      </c>
      <c r="U41" s="406">
        <v>80351.10015513339</v>
      </c>
      <c r="V41" s="406">
        <v>131359.62018217437</v>
      </c>
      <c r="W41" s="406">
        <v>63.360894492511832</v>
      </c>
      <c r="X41" s="408">
        <f t="shared" si="3"/>
        <v>23150467.878563855</v>
      </c>
      <c r="Z41" s="404" t="s">
        <v>36</v>
      </c>
      <c r="AA41" s="409">
        <f t="shared" si="4"/>
        <v>49024.670687789097</v>
      </c>
      <c r="AB41" s="409">
        <f t="shared" si="4"/>
        <v>9502.5015111891553</v>
      </c>
      <c r="AC41" s="409">
        <f t="shared" si="4"/>
        <v>619191.64775008895</v>
      </c>
      <c r="AD41" s="409">
        <f t="shared" si="4"/>
        <v>9892.0982499739621</v>
      </c>
      <c r="AE41" s="409">
        <f t="shared" si="4"/>
        <v>75260.410284258891</v>
      </c>
      <c r="AF41" s="409">
        <f t="shared" si="4"/>
        <v>2.8041846473934129</v>
      </c>
      <c r="AG41" s="409">
        <f t="shared" si="4"/>
        <v>0.30984486661327537</v>
      </c>
      <c r="AH41" s="409">
        <f t="shared" si="4"/>
        <v>6.749817825620994</v>
      </c>
      <c r="AI41" s="409">
        <f t="shared" si="4"/>
        <v>-34.470894492511832</v>
      </c>
      <c r="AJ41" s="411">
        <f t="shared" si="5"/>
        <v>762846.72143614723</v>
      </c>
      <c r="AL41" s="404" t="s">
        <v>36</v>
      </c>
      <c r="AM41" s="409">
        <f t="shared" si="7"/>
        <v>8170.7784479648499</v>
      </c>
      <c r="AN41" s="409">
        <f t="shared" si="7"/>
        <v>1583.7502518648591</v>
      </c>
      <c r="AO41" s="409">
        <f t="shared" si="7"/>
        <v>103198.60795834816</v>
      </c>
      <c r="AP41" s="409">
        <f t="shared" si="7"/>
        <v>1648.683041662327</v>
      </c>
      <c r="AQ41" s="409">
        <f t="shared" si="7"/>
        <v>12543.401714043148</v>
      </c>
      <c r="AR41" s="409">
        <f t="shared" si="7"/>
        <v>0.46736410789890215</v>
      </c>
      <c r="AS41" s="409">
        <f t="shared" si="7"/>
        <v>5.164081110221256E-2</v>
      </c>
      <c r="AT41" s="409">
        <f t="shared" si="7"/>
        <v>1.124969637603499</v>
      </c>
      <c r="AU41" s="409">
        <f t="shared" si="7"/>
        <v>-5.7451490820853053</v>
      </c>
      <c r="AV41" s="411">
        <f t="shared" si="6"/>
        <v>127141.12023935787</v>
      </c>
    </row>
    <row r="42" spans="1:48">
      <c r="A42" s="404" t="s">
        <v>37</v>
      </c>
      <c r="B42" s="405">
        <f>ROUND(IF('[6]PART PEF2022'!X$4&lt;1,'[6]CALCULO GARANTIA'!H42*'[6]PART PEF2022'!U$4,'[6]CALCULO GARANTIA'!U42+'[6]CALCULO GARANTIA'!I42),2)</f>
        <v>20905813.52</v>
      </c>
      <c r="C42" s="406">
        <f>ROUND(+IF('[6]PART PEF2022'!X$5&lt;1,'[6]CALCULO GARANTIA'!J42*'[6]PART PEF2022'!U$5,'[6]CALCULO GARANTIA'!V42+'[6]CALCULO GARANTIA'!K42),2)</f>
        <v>2962784.33</v>
      </c>
      <c r="D42" s="407">
        <f>ROUND(+'[6]PART PEF2022'!U$11*'[6]Art.14 Frac.III'!R41,2)</f>
        <v>1402034.42</v>
      </c>
      <c r="E42" s="406">
        <f>ROUND(+IF('[6]PART PEF2022'!X$6&lt;1,'[6]CALCULO GARANTIA'!L42*'[6]PART PEF2022'!U$6,'[6]CALCULO GARANTIA'!W42+'[6]CALCULO GARANTIA'!M42),2)</f>
        <v>605342.55000000005</v>
      </c>
      <c r="F42" s="406">
        <f>ROUND(+IF('[6]PART PEF2022'!X$7&lt;1,'[6]CALCULO GARANTIA'!N42*'[6]PART PEF2022'!U$7,'[6]CALCULO GARANTIA'!X42+'[6]CALCULO GARANTIA'!O42),2)</f>
        <v>1176268.98</v>
      </c>
      <c r="G42" s="406">
        <f>ROUND(+IF('[6]PART PEF2022'!X$8&lt;1,'[6]CALCULO GARANTIA'!P42*'[6]PART PEF2022'!U$8,'[6]CALCULO GARANTIA'!Y42+'[6]CALCULO GARANTIA'!Q42),2)</f>
        <v>621338.23</v>
      </c>
      <c r="H42" s="406">
        <f>ROUND(+IF('[6]PART PEF2022'!X$9&lt;1,'[6]CALCULO GARANTIA'!R42*'[6]PART PEF2022'!U$9,'[6]CALCULO GARANTIA'!Z42+'[6]CALCULO GARANTIA'!S42),2)</f>
        <v>110213.47</v>
      </c>
      <c r="I42" s="406">
        <f>+ROUND('[6]COEF Art 14 F II'!L43,2)</f>
        <v>134998.48000000001</v>
      </c>
      <c r="J42" s="406">
        <f>+'[6]ISR BI'!D40</f>
        <v>12093.94</v>
      </c>
      <c r="K42" s="408">
        <f t="shared" si="2"/>
        <v>27930887.920000006</v>
      </c>
      <c r="N42" s="404" t="s">
        <v>37</v>
      </c>
      <c r="O42" s="405">
        <v>20834024.911389302</v>
      </c>
      <c r="P42" s="406">
        <v>2948774.1849542591</v>
      </c>
      <c r="Q42" s="407">
        <v>2537233.7420449276</v>
      </c>
      <c r="R42" s="406">
        <v>590064.71177655167</v>
      </c>
      <c r="S42" s="406">
        <v>1062117.479647981</v>
      </c>
      <c r="T42" s="406">
        <v>621353.74600411684</v>
      </c>
      <c r="U42" s="406">
        <v>110218.2696718314</v>
      </c>
      <c r="V42" s="406">
        <v>135065.83841011691</v>
      </c>
      <c r="W42" s="406">
        <v>32175.703998255856</v>
      </c>
      <c r="X42" s="408">
        <f t="shared" si="3"/>
        <v>28871028.587897342</v>
      </c>
      <c r="Z42" s="404" t="s">
        <v>37</v>
      </c>
      <c r="AA42" s="409">
        <f t="shared" si="4"/>
        <v>71788.608610697091</v>
      </c>
      <c r="AB42" s="409">
        <f t="shared" si="4"/>
        <v>14010.145045740996</v>
      </c>
      <c r="AC42" s="409">
        <f t="shared" si="4"/>
        <v>-1135199.3220449276</v>
      </c>
      <c r="AD42" s="409">
        <f t="shared" si="4"/>
        <v>15277.838223448372</v>
      </c>
      <c r="AE42" s="409">
        <f t="shared" si="4"/>
        <v>114151.50035201898</v>
      </c>
      <c r="AF42" s="409">
        <f t="shared" si="4"/>
        <v>-15.516004116856493</v>
      </c>
      <c r="AG42" s="409">
        <f t="shared" si="4"/>
        <v>-4.7996718313952442</v>
      </c>
      <c r="AH42" s="409">
        <f t="shared" si="4"/>
        <v>-67.358410116896266</v>
      </c>
      <c r="AI42" s="409">
        <f t="shared" si="4"/>
        <v>-20081.763998255854</v>
      </c>
      <c r="AJ42" s="411">
        <f t="shared" si="5"/>
        <v>-940140.66789734317</v>
      </c>
      <c r="AL42" s="404" t="s">
        <v>37</v>
      </c>
      <c r="AM42" s="409">
        <f t="shared" si="7"/>
        <v>11964.768101782849</v>
      </c>
      <c r="AN42" s="409">
        <f t="shared" si="7"/>
        <v>2335.0241742901658</v>
      </c>
      <c r="AO42" s="409">
        <f t="shared" si="7"/>
        <v>-189199.88700748794</v>
      </c>
      <c r="AP42" s="409">
        <f t="shared" si="7"/>
        <v>2546.3063705747286</v>
      </c>
      <c r="AQ42" s="409">
        <f t="shared" si="7"/>
        <v>19025.25005866983</v>
      </c>
      <c r="AR42" s="409">
        <f t="shared" si="7"/>
        <v>-2.5860006861427487</v>
      </c>
      <c r="AS42" s="409">
        <f t="shared" si="7"/>
        <v>-0.7999453052325407</v>
      </c>
      <c r="AT42" s="409">
        <f t="shared" si="7"/>
        <v>-11.226401686149378</v>
      </c>
      <c r="AU42" s="409">
        <f t="shared" si="7"/>
        <v>-3346.9606663759755</v>
      </c>
      <c r="AV42" s="411">
        <f t="shared" si="6"/>
        <v>-156690.11131622383</v>
      </c>
    </row>
    <row r="43" spans="1:48">
      <c r="A43" s="404" t="s">
        <v>38</v>
      </c>
      <c r="B43" s="405">
        <f>ROUND(IF('[6]PART PEF2022'!X$4&lt;1,'[6]CALCULO GARANTIA'!H43*'[6]PART PEF2022'!U$4,'[6]CALCULO GARANTIA'!U43+'[6]CALCULO GARANTIA'!I43),2)</f>
        <v>48871816.18</v>
      </c>
      <c r="C43" s="406">
        <f>ROUND(+IF('[6]PART PEF2022'!X$5&lt;1,'[6]CALCULO GARANTIA'!J43*'[6]PART PEF2022'!U$5,'[6]CALCULO GARANTIA'!V43+'[6]CALCULO GARANTIA'!K43),2)</f>
        <v>6921018.7199999997</v>
      </c>
      <c r="D43" s="407">
        <f>ROUND(+'[6]PART PEF2022'!U$11*'[6]Art.14 Frac.III'!R42,2)</f>
        <v>4240677.92</v>
      </c>
      <c r="E43" s="406">
        <f>ROUND(+IF('[6]PART PEF2022'!X$6&lt;1,'[6]CALCULO GARANTIA'!L43*'[6]PART PEF2022'!U$6,'[6]CALCULO GARANTIA'!W43+'[6]CALCULO GARANTIA'!M43),2)</f>
        <v>1419719.92</v>
      </c>
      <c r="F43" s="406">
        <f>ROUND(+IF('[6]PART PEF2022'!X$7&lt;1,'[6]CALCULO GARANTIA'!N43*'[6]PART PEF2022'!U$7,'[6]CALCULO GARANTIA'!X43+'[6]CALCULO GARANTIA'!O43),2)</f>
        <v>2750121.2</v>
      </c>
      <c r="G43" s="406">
        <f>ROUND(+IF('[6]PART PEF2022'!X$8&lt;1,'[6]CALCULO GARANTIA'!P43*'[6]PART PEF2022'!U$8,'[6]CALCULO GARANTIA'!Y43+'[6]CALCULO GARANTIA'!Q43),2)</f>
        <v>1450639.88</v>
      </c>
      <c r="H43" s="406">
        <f>ROUND(+IF('[6]PART PEF2022'!X$9&lt;1,'[6]CALCULO GARANTIA'!R43*'[6]PART PEF2022'!U$9,'[6]CALCULO GARANTIA'!Z43+'[6]CALCULO GARANTIA'!S43),2)</f>
        <v>258338.6</v>
      </c>
      <c r="I43" s="406">
        <f>+ROUND('[6]COEF Art 14 F II'!L44,2)</f>
        <v>803196.16</v>
      </c>
      <c r="J43" s="406">
        <f>+'[6]ISR BI'!D41</f>
        <v>620137.06999999995</v>
      </c>
      <c r="K43" s="408">
        <f t="shared" si="2"/>
        <v>67335665.650000006</v>
      </c>
      <c r="N43" s="404" t="s">
        <v>38</v>
      </c>
      <c r="O43" s="405">
        <v>48625074.780436262</v>
      </c>
      <c r="P43" s="406">
        <v>6874546.0547172949</v>
      </c>
      <c r="Q43" s="407">
        <v>4514837.5669355197</v>
      </c>
      <c r="R43" s="406">
        <v>1381591.3226438656</v>
      </c>
      <c r="S43" s="406">
        <v>2453538.7071337816</v>
      </c>
      <c r="T43" s="406">
        <v>1449747.6246416171</v>
      </c>
      <c r="U43" s="406">
        <v>258253.18533766005</v>
      </c>
      <c r="V43" s="406">
        <v>801154.95201693848</v>
      </c>
      <c r="W43" s="406">
        <v>617525.2498774596</v>
      </c>
      <c r="X43" s="408">
        <f t="shared" si="3"/>
        <v>66976269.443740405</v>
      </c>
      <c r="Z43" s="404" t="s">
        <v>38</v>
      </c>
      <c r="AA43" s="409">
        <f t="shared" si="4"/>
        <v>246741.39956373721</v>
      </c>
      <c r="AB43" s="409">
        <f t="shared" si="4"/>
        <v>46472.665282704867</v>
      </c>
      <c r="AC43" s="409">
        <f t="shared" si="4"/>
        <v>-274159.64693551976</v>
      </c>
      <c r="AD43" s="409">
        <f t="shared" si="4"/>
        <v>38128.597356134327</v>
      </c>
      <c r="AE43" s="409">
        <f t="shared" si="4"/>
        <v>296582.49286621856</v>
      </c>
      <c r="AF43" s="409">
        <f t="shared" si="4"/>
        <v>892.25535838282667</v>
      </c>
      <c r="AG43" s="409">
        <f t="shared" si="4"/>
        <v>85.414662339957431</v>
      </c>
      <c r="AH43" s="409">
        <f t="shared" si="4"/>
        <v>2041.2079830615548</v>
      </c>
      <c r="AI43" s="409">
        <f t="shared" si="4"/>
        <v>2611.8201225403463</v>
      </c>
      <c r="AJ43" s="411">
        <f t="shared" si="5"/>
        <v>359396.20625959989</v>
      </c>
      <c r="AL43" s="404" t="s">
        <v>38</v>
      </c>
      <c r="AM43" s="409">
        <f t="shared" si="7"/>
        <v>41123.566593956202</v>
      </c>
      <c r="AN43" s="409">
        <f t="shared" si="7"/>
        <v>7745.4442137841443</v>
      </c>
      <c r="AO43" s="409">
        <f t="shared" si="7"/>
        <v>-45693.274489253294</v>
      </c>
      <c r="AP43" s="409">
        <f t="shared" si="7"/>
        <v>6354.7662260223879</v>
      </c>
      <c r="AQ43" s="409">
        <f t="shared" si="7"/>
        <v>49430.415477703093</v>
      </c>
      <c r="AR43" s="409">
        <f t="shared" si="7"/>
        <v>148.70922639713777</v>
      </c>
      <c r="AS43" s="409">
        <f t="shared" si="7"/>
        <v>14.235777056659572</v>
      </c>
      <c r="AT43" s="409">
        <f t="shared" si="7"/>
        <v>340.20133051025914</v>
      </c>
      <c r="AU43" s="409">
        <f t="shared" si="7"/>
        <v>435.30335375672439</v>
      </c>
      <c r="AV43" s="411">
        <f t="shared" si="6"/>
        <v>59899.367709933314</v>
      </c>
    </row>
    <row r="44" spans="1:48">
      <c r="A44" s="404" t="s">
        <v>39</v>
      </c>
      <c r="B44" s="405">
        <f>ROUND(IF('[6]PART PEF2022'!X$4&lt;1,'[6]CALCULO GARANTIA'!H44*'[6]PART PEF2022'!U$4,'[6]CALCULO GARANTIA'!U44+'[6]CALCULO GARANTIA'!I44),2)</f>
        <v>1107902519.1400001</v>
      </c>
      <c r="C44" s="406">
        <f>ROUND(+IF('[6]PART PEF2022'!X$5&lt;1,'[6]CALCULO GARANTIA'!J44*'[6]PART PEF2022'!U$5,'[6]CALCULO GARANTIA'!V44+'[6]CALCULO GARANTIA'!K44),2)</f>
        <v>159729406.03</v>
      </c>
      <c r="D44" s="407">
        <f>ROUND(+'[6]PART PEF2022'!U$11*'[6]Art.14 Frac.III'!R43,2)</f>
        <v>0</v>
      </c>
      <c r="E44" s="406">
        <f>ROUND(+IF('[6]PART PEF2022'!X$6&lt;1,'[6]CALCULO GARANTIA'!L44*'[6]PART PEF2022'!U$6,'[6]CALCULO GARANTIA'!W44+'[6]CALCULO GARANTIA'!M44),2)</f>
        <v>29640107.030000001</v>
      </c>
      <c r="F44" s="406">
        <f>ROUND(+IF('[6]PART PEF2022'!X$7&lt;1,'[6]CALCULO GARANTIA'!N44*'[6]PART PEF2022'!U$7,'[6]CALCULO GARANTIA'!X44+'[6]CALCULO GARANTIA'!O44),2)</f>
        <v>62155753.439999998</v>
      </c>
      <c r="G44" s="406">
        <f>ROUND(+IF('[6]PART PEF2022'!X$8&lt;1,'[6]CALCULO GARANTIA'!P44*'[6]PART PEF2022'!U$8,'[6]CALCULO GARANTIA'!Y44+'[6]CALCULO GARANTIA'!Q44),2)</f>
        <v>33919939.310000002</v>
      </c>
      <c r="H44" s="406">
        <f>ROUND(+IF('[6]PART PEF2022'!X$9&lt;1,'[6]CALCULO GARANTIA'!R44*'[6]PART PEF2022'!U$9,'[6]CALCULO GARANTIA'!Z44+'[6]CALCULO GARANTIA'!S44),2)</f>
        <v>5474379.54</v>
      </c>
      <c r="I44" s="406">
        <f>+ROUND('[6]COEF Art 14 F II'!L45,2)</f>
        <v>16673240.189999999</v>
      </c>
      <c r="J44" s="406">
        <f>+'[6]ISR BI'!D42</f>
        <v>12851914.48</v>
      </c>
      <c r="K44" s="408">
        <f t="shared" si="2"/>
        <v>1428347259.1600001</v>
      </c>
      <c r="N44" s="404" t="s">
        <v>39</v>
      </c>
      <c r="O44" s="405">
        <v>1106010274.3660531</v>
      </c>
      <c r="P44" s="406">
        <v>159414699.15782303</v>
      </c>
      <c r="Q44" s="407">
        <v>0</v>
      </c>
      <c r="R44" s="406">
        <v>29716402.723449882</v>
      </c>
      <c r="S44" s="406">
        <v>63041131.71661257</v>
      </c>
      <c r="T44" s="406">
        <v>33871660.785131261</v>
      </c>
      <c r="U44" s="406">
        <v>5470919.1202006415</v>
      </c>
      <c r="V44" s="406">
        <v>16573933.447603423</v>
      </c>
      <c r="W44" s="406">
        <v>13119977.971572105</v>
      </c>
      <c r="X44" s="408">
        <f t="shared" si="3"/>
        <v>1427218999.2884462</v>
      </c>
      <c r="Z44" s="404" t="s">
        <v>39</v>
      </c>
      <c r="AA44" s="409">
        <f t="shared" si="4"/>
        <v>1892244.7739470005</v>
      </c>
      <c r="AB44" s="409">
        <f t="shared" si="4"/>
        <v>314706.87217697501</v>
      </c>
      <c r="AC44" s="409">
        <f t="shared" si="4"/>
        <v>0</v>
      </c>
      <c r="AD44" s="409">
        <f t="shared" si="4"/>
        <v>-76295.693449880928</v>
      </c>
      <c r="AE44" s="409">
        <f t="shared" si="4"/>
        <v>-885378.27661257237</v>
      </c>
      <c r="AF44" s="409">
        <f t="shared" si="4"/>
        <v>48278.524868741632</v>
      </c>
      <c r="AG44" s="409">
        <f t="shared" si="4"/>
        <v>3460.419799358584</v>
      </c>
      <c r="AH44" s="409">
        <f t="shared" si="4"/>
        <v>99306.74239657633</v>
      </c>
      <c r="AI44" s="409">
        <f t="shared" si="4"/>
        <v>-268063.49157210439</v>
      </c>
      <c r="AJ44" s="411">
        <f t="shared" si="5"/>
        <v>1128259.8715540944</v>
      </c>
      <c r="AL44" s="404" t="s">
        <v>39</v>
      </c>
      <c r="AM44" s="409">
        <f t="shared" si="7"/>
        <v>315374.12899116677</v>
      </c>
      <c r="AN44" s="409">
        <f t="shared" si="7"/>
        <v>52451.145362829171</v>
      </c>
      <c r="AO44" s="409">
        <f t="shared" si="7"/>
        <v>0</v>
      </c>
      <c r="AP44" s="409">
        <f t="shared" si="7"/>
        <v>-12715.948908313489</v>
      </c>
      <c r="AQ44" s="409">
        <f t="shared" si="7"/>
        <v>-147563.0461020954</v>
      </c>
      <c r="AR44" s="409">
        <f t="shared" si="7"/>
        <v>8046.4208114569383</v>
      </c>
      <c r="AS44" s="409">
        <f t="shared" si="7"/>
        <v>576.73663322643063</v>
      </c>
      <c r="AT44" s="409">
        <f t="shared" si="7"/>
        <v>16551.12373276272</v>
      </c>
      <c r="AU44" s="409">
        <f t="shared" si="7"/>
        <v>-44677.248595350735</v>
      </c>
      <c r="AV44" s="411">
        <f t="shared" si="6"/>
        <v>188043.31192568241</v>
      </c>
    </row>
    <row r="45" spans="1:48">
      <c r="A45" s="404" t="s">
        <v>244</v>
      </c>
      <c r="B45" s="405">
        <f>ROUND(IF('[6]PART PEF2022'!X$4&lt;1,'[6]CALCULO GARANTIA'!H45*'[6]PART PEF2022'!U$4,'[6]CALCULO GARANTIA'!U45+'[6]CALCULO GARANTIA'!I45),2)</f>
        <v>6157918.6299999999</v>
      </c>
      <c r="C45" s="406">
        <f>ROUND(+IF('[6]PART PEF2022'!X$5&lt;1,'[6]CALCULO GARANTIA'!J45*'[6]PART PEF2022'!U$5,'[6]CALCULO GARANTIA'!V45+'[6]CALCULO GARANTIA'!K45),2)</f>
        <v>895121.33</v>
      </c>
      <c r="D45" s="407">
        <f>ROUND(+'[6]PART PEF2022'!U$11*'[6]Art.14 Frac.III'!R44,2)</f>
        <v>1921631.35</v>
      </c>
      <c r="E45" s="406">
        <f>ROUND(+IF('[6]PART PEF2022'!X$6&lt;1,'[6]CALCULO GARANTIA'!L45*'[6]PART PEF2022'!U$6,'[6]CALCULO GARANTIA'!W45+'[6]CALCULO GARANTIA'!M45),2)</f>
        <v>158173.51</v>
      </c>
      <c r="F45" s="406">
        <f>ROUND(+IF('[6]PART PEF2022'!X$7&lt;1,'[6]CALCULO GARANTIA'!N45*'[6]PART PEF2022'!U$7,'[6]CALCULO GARANTIA'!X45+'[6]CALCULO GARANTIA'!O45),2)</f>
        <v>344986.41</v>
      </c>
      <c r="G45" s="406">
        <f>ROUND(+IF('[6]PART PEF2022'!X$8&lt;1,'[6]CALCULO GARANTIA'!P45*'[6]PART PEF2022'!U$8,'[6]CALCULO GARANTIA'!Y45+'[6]CALCULO GARANTIA'!Q45),2)</f>
        <v>191205.13</v>
      </c>
      <c r="H45" s="406">
        <f>ROUND(+IF('[6]PART PEF2022'!X$9&lt;1,'[6]CALCULO GARANTIA'!R45*'[6]PART PEF2022'!U$9,'[6]CALCULO GARANTIA'!Z45+'[6]CALCULO GARANTIA'!S45),2)</f>
        <v>29440.83</v>
      </c>
      <c r="I45" s="406">
        <f>+ROUND('[6]COEF Art 14 F II'!L46,2)</f>
        <v>49591.23</v>
      </c>
      <c r="J45" s="406">
        <f>+'[6]ISR BI'!D43</f>
        <v>2559.9299999999998</v>
      </c>
      <c r="K45" s="408">
        <f t="shared" si="2"/>
        <v>9750628.3500000015</v>
      </c>
      <c r="N45" s="404" t="s">
        <v>40</v>
      </c>
      <c r="O45" s="405">
        <v>6177498.6333182063</v>
      </c>
      <c r="P45" s="406">
        <v>898859.93156882259</v>
      </c>
      <c r="Q45" s="407">
        <v>2117061.1411288334</v>
      </c>
      <c r="R45" s="406">
        <v>161645.15861817147</v>
      </c>
      <c r="S45" s="406">
        <v>372168.24118215434</v>
      </c>
      <c r="T45" s="406">
        <v>191230.08617536706</v>
      </c>
      <c r="U45" s="406">
        <v>29444.277869067453</v>
      </c>
      <c r="V45" s="406">
        <v>49658.334023763338</v>
      </c>
      <c r="W45" s="406">
        <v>3197.8640536361017</v>
      </c>
      <c r="X45" s="408">
        <f t="shared" si="3"/>
        <v>10000763.667938022</v>
      </c>
      <c r="Z45" s="404" t="s">
        <v>40</v>
      </c>
      <c r="AA45" s="409">
        <f t="shared" si="4"/>
        <v>-19580.003318206407</v>
      </c>
      <c r="AB45" s="409">
        <f t="shared" si="4"/>
        <v>-3738.6015688226325</v>
      </c>
      <c r="AC45" s="409">
        <f t="shared" si="4"/>
        <v>-195429.79112883331</v>
      </c>
      <c r="AD45" s="409">
        <f t="shared" si="4"/>
        <v>-3471.6486181714572</v>
      </c>
      <c r="AE45" s="409">
        <f t="shared" si="4"/>
        <v>-27181.831182154361</v>
      </c>
      <c r="AF45" s="409">
        <f t="shared" si="4"/>
        <v>-24.956175367056858</v>
      </c>
      <c r="AG45" s="409">
        <f t="shared" si="4"/>
        <v>-3.4478690674513928</v>
      </c>
      <c r="AH45" s="409">
        <f t="shared" si="4"/>
        <v>-67.104023763335135</v>
      </c>
      <c r="AI45" s="409">
        <f t="shared" si="4"/>
        <v>-637.93405363610191</v>
      </c>
      <c r="AJ45" s="411">
        <f t="shared" si="5"/>
        <v>-250135.31793802211</v>
      </c>
      <c r="AL45" s="404" t="s">
        <v>40</v>
      </c>
      <c r="AM45" s="409">
        <f t="shared" si="7"/>
        <v>-3263.3338863677345</v>
      </c>
      <c r="AN45" s="409">
        <f t="shared" si="7"/>
        <v>-623.1002614704388</v>
      </c>
      <c r="AO45" s="409">
        <f t="shared" si="7"/>
        <v>-32571.631854805553</v>
      </c>
      <c r="AP45" s="409">
        <f t="shared" si="7"/>
        <v>-578.60810302857624</v>
      </c>
      <c r="AQ45" s="409">
        <f t="shared" si="7"/>
        <v>-4530.3051970257266</v>
      </c>
      <c r="AR45" s="409">
        <f t="shared" si="7"/>
        <v>-4.1593625611761427</v>
      </c>
      <c r="AS45" s="409">
        <f t="shared" si="7"/>
        <v>-0.57464484457523213</v>
      </c>
      <c r="AT45" s="409">
        <f t="shared" si="7"/>
        <v>-11.184003960555856</v>
      </c>
      <c r="AU45" s="409">
        <f t="shared" si="7"/>
        <v>-106.32234227268366</v>
      </c>
      <c r="AV45" s="411">
        <f t="shared" si="6"/>
        <v>-41689.219656337031</v>
      </c>
    </row>
    <row r="46" spans="1:48">
      <c r="A46" s="404" t="s">
        <v>245</v>
      </c>
      <c r="B46" s="405">
        <f>ROUND(IF('[6]PART PEF2022'!X$4&lt;1,'[6]CALCULO GARANTIA'!H46*'[6]PART PEF2022'!U$4,'[6]CALCULO GARANTIA'!U46+'[6]CALCULO GARANTIA'!I46),2)</f>
        <v>30658473.309999999</v>
      </c>
      <c r="C46" s="406">
        <f>ROUND(+IF('[6]PART PEF2022'!X$5&lt;1,'[6]CALCULO GARANTIA'!J46*'[6]PART PEF2022'!U$5,'[6]CALCULO GARANTIA'!V46+'[6]CALCULO GARANTIA'!K46),2)</f>
        <v>4583702.5599999996</v>
      </c>
      <c r="D46" s="407">
        <f>ROUND(+'[6]PART PEF2022'!U$11*'[6]Art.14 Frac.III'!R45,2)</f>
        <v>3365835.59</v>
      </c>
      <c r="E46" s="406">
        <f>ROUND(+IF('[6]PART PEF2022'!X$6&lt;1,'[6]CALCULO GARANTIA'!L46*'[6]PART PEF2022'!U$6,'[6]CALCULO GARANTIA'!W46+'[6]CALCULO GARANTIA'!M46),2)</f>
        <v>673299.68</v>
      </c>
      <c r="F46" s="406">
        <f>ROUND(+IF('[6]PART PEF2022'!X$7&lt;1,'[6]CALCULO GARANTIA'!N46*'[6]PART PEF2022'!U$7,'[6]CALCULO GARANTIA'!X46+'[6]CALCULO GARANTIA'!O46),2)</f>
        <v>1709135.39</v>
      </c>
      <c r="G46" s="406">
        <f>ROUND(+IF('[6]PART PEF2022'!X$8&lt;1,'[6]CALCULO GARANTIA'!P46*'[6]PART PEF2022'!U$8,'[6]CALCULO GARANTIA'!Y46+'[6]CALCULO GARANTIA'!Q46),2)</f>
        <v>998390.42</v>
      </c>
      <c r="H46" s="406">
        <f>ROUND(+IF('[6]PART PEF2022'!X$9&lt;1,'[6]CALCULO GARANTIA'!R46*'[6]PART PEF2022'!U$9,'[6]CALCULO GARANTIA'!Z46+'[6]CALCULO GARANTIA'!S46),2)</f>
        <v>129429.57</v>
      </c>
      <c r="I46" s="406">
        <f>+ROUND('[6]COEF Art 14 F II'!L47,2)</f>
        <v>1495143.77</v>
      </c>
      <c r="J46" s="406">
        <f>+'[6]ISR BI'!D44</f>
        <v>476966.77</v>
      </c>
      <c r="K46" s="408">
        <f t="shared" si="2"/>
        <v>44090377.060000002</v>
      </c>
      <c r="N46" s="404" t="s">
        <v>41</v>
      </c>
      <c r="O46" s="405">
        <v>30945726.466040574</v>
      </c>
      <c r="P46" s="406">
        <v>4639763.8996344842</v>
      </c>
      <c r="Q46" s="407">
        <v>3437947.2803629944</v>
      </c>
      <c r="R46" s="406">
        <v>734711.71605457657</v>
      </c>
      <c r="S46" s="406">
        <v>2183427.1152910269</v>
      </c>
      <c r="T46" s="406">
        <v>997927.7925401628</v>
      </c>
      <c r="U46" s="406">
        <v>129404.06200588527</v>
      </c>
      <c r="V46" s="406">
        <v>1494265.7290580929</v>
      </c>
      <c r="W46" s="406">
        <v>442828.30561954941</v>
      </c>
      <c r="X46" s="408">
        <f t="shared" si="3"/>
        <v>45006002.366607353</v>
      </c>
      <c r="Z46" s="404" t="s">
        <v>41</v>
      </c>
      <c r="AA46" s="409">
        <f t="shared" si="4"/>
        <v>-287253.15604057536</v>
      </c>
      <c r="AB46" s="409">
        <f t="shared" si="4"/>
        <v>-56061.339634484611</v>
      </c>
      <c r="AC46" s="409">
        <f t="shared" si="4"/>
        <v>-72111.690362994559</v>
      </c>
      <c r="AD46" s="409">
        <f t="shared" si="4"/>
        <v>-61412.036054576514</v>
      </c>
      <c r="AE46" s="409">
        <f t="shared" si="4"/>
        <v>-474291.72529102699</v>
      </c>
      <c r="AF46" s="409">
        <f t="shared" si="4"/>
        <v>462.62745983724017</v>
      </c>
      <c r="AG46" s="409">
        <f t="shared" si="4"/>
        <v>25.50799411474145</v>
      </c>
      <c r="AH46" s="409">
        <f t="shared" si="4"/>
        <v>878.04094190709293</v>
      </c>
      <c r="AI46" s="409">
        <f t="shared" si="4"/>
        <v>34138.464380450605</v>
      </c>
      <c r="AJ46" s="411">
        <f t="shared" si="5"/>
        <v>-915625.30660734838</v>
      </c>
      <c r="AL46" s="404" t="s">
        <v>41</v>
      </c>
      <c r="AM46" s="409">
        <f t="shared" si="7"/>
        <v>-47875.526006762557</v>
      </c>
      <c r="AN46" s="409">
        <f t="shared" si="7"/>
        <v>-9343.5566057474352</v>
      </c>
      <c r="AO46" s="409">
        <f t="shared" si="7"/>
        <v>-12018.615060499093</v>
      </c>
      <c r="AP46" s="409">
        <f t="shared" si="7"/>
        <v>-10235.339342429419</v>
      </c>
      <c r="AQ46" s="409">
        <f t="shared" si="7"/>
        <v>-79048.620881837836</v>
      </c>
      <c r="AR46" s="409">
        <f t="shared" si="7"/>
        <v>77.104576639540028</v>
      </c>
      <c r="AS46" s="409">
        <f t="shared" si="7"/>
        <v>4.2513323524569087</v>
      </c>
      <c r="AT46" s="409">
        <f t="shared" si="7"/>
        <v>146.34015698451549</v>
      </c>
      <c r="AU46" s="409">
        <f t="shared" si="7"/>
        <v>5689.7440634084342</v>
      </c>
      <c r="AV46" s="411">
        <f t="shared" si="6"/>
        <v>-152604.21776789139</v>
      </c>
    </row>
    <row r="47" spans="1:48">
      <c r="A47" s="404" t="s">
        <v>213</v>
      </c>
      <c r="B47" s="405">
        <f>ROUND(IF('[6]PART PEF2022'!X$4&lt;1,'[6]CALCULO GARANTIA'!H47*'[6]PART PEF2022'!U$4,'[6]CALCULO GARANTIA'!U47+'[6]CALCULO GARANTIA'!I47),2)</f>
        <v>11217058.15</v>
      </c>
      <c r="C47" s="406">
        <f>ROUND(+IF('[6]PART PEF2022'!X$5&lt;1,'[6]CALCULO GARANTIA'!J47*'[6]PART PEF2022'!U$5,'[6]CALCULO GARANTIA'!V47+'[6]CALCULO GARANTIA'!K47),2)</f>
        <v>1592566.15</v>
      </c>
      <c r="D47" s="407">
        <f>ROUND(+'[6]PART PEF2022'!U$11*'[6]Art.14 Frac.III'!R46,2)</f>
        <v>2119607.06</v>
      </c>
      <c r="E47" s="406">
        <f>ROUND(+IF('[6]PART PEF2022'!X$6&lt;1,'[6]CALCULO GARANTIA'!L47*'[6]PART PEF2022'!U$6,'[6]CALCULO GARANTIA'!W47+'[6]CALCULO GARANTIA'!M47),2)</f>
        <v>322213.06</v>
      </c>
      <c r="F47" s="406">
        <f>ROUND(+IF('[6]PART PEF2022'!X$7&lt;1,'[6]CALCULO GARANTIA'!N47*'[6]PART PEF2022'!U$7,'[6]CALCULO GARANTIA'!X47+'[6]CALCULO GARANTIA'!O47),2)</f>
        <v>630938.31999999995</v>
      </c>
      <c r="G47" s="406">
        <f>ROUND(+IF('[6]PART PEF2022'!X$8&lt;1,'[6]CALCULO GARANTIA'!P47*'[6]PART PEF2022'!U$8,'[6]CALCULO GARANTIA'!Y47+'[6]CALCULO GARANTIA'!Q47),2)</f>
        <v>334431.34999999998</v>
      </c>
      <c r="H47" s="406">
        <f>ROUND(+IF('[6]PART PEF2022'!X$9&lt;1,'[6]CALCULO GARANTIA'!R47*'[6]PART PEF2022'!U$9,'[6]CALCULO GARANTIA'!Z47+'[6]CALCULO GARANTIA'!S47),2)</f>
        <v>58747.15</v>
      </c>
      <c r="I47" s="406">
        <f>+ROUND('[6]COEF Art 14 F II'!L48,2)</f>
        <v>93639.47</v>
      </c>
      <c r="J47" s="406">
        <f>+'[6]ISR BI'!D45</f>
        <v>41719.550000000003</v>
      </c>
      <c r="K47" s="408">
        <f t="shared" si="2"/>
        <v>16410920.260000004</v>
      </c>
      <c r="N47" s="404" t="s">
        <v>42</v>
      </c>
      <c r="O47" s="405">
        <v>11181324.487886343</v>
      </c>
      <c r="P47" s="406">
        <v>1585646.9130982223</v>
      </c>
      <c r="Q47" s="407">
        <v>1988411.4552222046</v>
      </c>
      <c r="R47" s="406">
        <v>315066.73125977052</v>
      </c>
      <c r="S47" s="406">
        <v>576716.04459557787</v>
      </c>
      <c r="T47" s="406">
        <v>334420.02034394164</v>
      </c>
      <c r="U47" s="406">
        <v>58746.413270823236</v>
      </c>
      <c r="V47" s="406">
        <v>93616.917246201381</v>
      </c>
      <c r="W47" s="406">
        <v>39187.050552980669</v>
      </c>
      <c r="X47" s="408">
        <f t="shared" si="3"/>
        <v>16173136.033476066</v>
      </c>
      <c r="Z47" s="404" t="s">
        <v>42</v>
      </c>
      <c r="AA47" s="409">
        <f t="shared" si="4"/>
        <v>35733.662113657221</v>
      </c>
      <c r="AB47" s="409">
        <f t="shared" si="4"/>
        <v>6919.2369017775636</v>
      </c>
      <c r="AC47" s="409">
        <f t="shared" si="4"/>
        <v>131195.6047777955</v>
      </c>
      <c r="AD47" s="409">
        <f t="shared" si="4"/>
        <v>7146.3287402294809</v>
      </c>
      <c r="AE47" s="409">
        <f t="shared" si="4"/>
        <v>54222.275404422078</v>
      </c>
      <c r="AF47" s="409">
        <f t="shared" si="4"/>
        <v>11.329656058340333</v>
      </c>
      <c r="AG47" s="409">
        <f t="shared" si="4"/>
        <v>0.73672917676594807</v>
      </c>
      <c r="AH47" s="409">
        <f t="shared" si="4"/>
        <v>22.55275379861996</v>
      </c>
      <c r="AI47" s="409">
        <f t="shared" si="4"/>
        <v>2532.4994470193342</v>
      </c>
      <c r="AJ47" s="411">
        <f t="shared" si="5"/>
        <v>237784.22652393489</v>
      </c>
      <c r="AL47" s="404" t="s">
        <v>42</v>
      </c>
      <c r="AM47" s="409">
        <f t="shared" si="7"/>
        <v>5955.6103522762032</v>
      </c>
      <c r="AN47" s="409">
        <f t="shared" si="7"/>
        <v>1153.2061502962606</v>
      </c>
      <c r="AO47" s="409">
        <f t="shared" si="7"/>
        <v>21865.934129632584</v>
      </c>
      <c r="AP47" s="409">
        <f t="shared" si="7"/>
        <v>1191.0547900382469</v>
      </c>
      <c r="AQ47" s="409">
        <f t="shared" si="7"/>
        <v>9037.0459007370137</v>
      </c>
      <c r="AR47" s="409">
        <f t="shared" si="7"/>
        <v>1.8882760097233888</v>
      </c>
      <c r="AS47" s="409">
        <f t="shared" si="7"/>
        <v>0.12278819612765801</v>
      </c>
      <c r="AT47" s="409">
        <f t="shared" si="7"/>
        <v>3.7587922997699934</v>
      </c>
      <c r="AU47" s="409">
        <f t="shared" si="7"/>
        <v>422.08324116988905</v>
      </c>
      <c r="AV47" s="411">
        <f t="shared" si="6"/>
        <v>39630.70442065582</v>
      </c>
    </row>
    <row r="48" spans="1:48">
      <c r="A48" s="404" t="s">
        <v>43</v>
      </c>
      <c r="B48" s="405">
        <f>ROUND(IF('[6]PART PEF2022'!X$4&lt;1,'[6]CALCULO GARANTIA'!H48*'[6]PART PEF2022'!U$4,'[6]CALCULO GARANTIA'!U48+'[6]CALCULO GARANTIA'!I48),2)</f>
        <v>12221048.09</v>
      </c>
      <c r="C48" s="406">
        <f>ROUND(+IF('[6]PART PEF2022'!X$5&lt;1,'[6]CALCULO GARANTIA'!J48*'[6]PART PEF2022'!U$5,'[6]CALCULO GARANTIA'!V48+'[6]CALCULO GARANTIA'!K48),2)</f>
        <v>1725003.75</v>
      </c>
      <c r="D48" s="407">
        <f>ROUND(+'[6]PART PEF2022'!U$11*'[6]Art.14 Frac.III'!R47,2)</f>
        <v>3805734.77</v>
      </c>
      <c r="E48" s="406">
        <f>ROUND(+IF('[6]PART PEF2022'!X$6&lt;1,'[6]CALCULO GARANTIA'!L48*'[6]PART PEF2022'!U$6,'[6]CALCULO GARANTIA'!W48+'[6]CALCULO GARANTIA'!M48),2)</f>
        <v>360129.3</v>
      </c>
      <c r="F48" s="406">
        <f>ROUND(+IF('[6]PART PEF2022'!X$7&lt;1,'[6]CALCULO GARANTIA'!N48*'[6]PART PEF2022'!U$7,'[6]CALCULO GARANTIA'!X48+'[6]CALCULO GARANTIA'!O48),2)</f>
        <v>688082.51</v>
      </c>
      <c r="G48" s="406">
        <f>ROUND(+IF('[6]PART PEF2022'!X$8&lt;1,'[6]CALCULO GARANTIA'!P48*'[6]PART PEF2022'!U$8,'[6]CALCULO GARANTIA'!Y48+'[6]CALCULO GARANTIA'!Q48),2)</f>
        <v>360674.2</v>
      </c>
      <c r="H48" s="406">
        <f>ROUND(+IF('[6]PART PEF2022'!X$9&lt;1,'[6]CALCULO GARANTIA'!R48*'[6]PART PEF2022'!U$9,'[6]CALCULO GARANTIA'!Z48+'[6]CALCULO GARANTIA'!S48),2)</f>
        <v>65368.21</v>
      </c>
      <c r="I48" s="406">
        <f>+ROUND('[6]COEF Art 14 F II'!L49,2)</f>
        <v>66485.41</v>
      </c>
      <c r="J48" s="406">
        <f>+'[6]ISR BI'!D46</f>
        <v>1944.14</v>
      </c>
      <c r="K48" s="408">
        <f t="shared" si="2"/>
        <v>19294470.380000003</v>
      </c>
      <c r="N48" s="404" t="s">
        <v>43</v>
      </c>
      <c r="O48" s="405">
        <v>12163900.685382666</v>
      </c>
      <c r="P48" s="406">
        <v>1713946.9553664443</v>
      </c>
      <c r="Q48" s="407">
        <v>3543879.0644605863</v>
      </c>
      <c r="R48" s="406">
        <v>348771.25234612322</v>
      </c>
      <c r="S48" s="406">
        <v>601532.71042197687</v>
      </c>
      <c r="T48" s="406">
        <v>360658.86912922323</v>
      </c>
      <c r="U48" s="406">
        <v>65366.617437064851</v>
      </c>
      <c r="V48" s="406">
        <v>66449.173495135998</v>
      </c>
      <c r="W48" s="406">
        <v>1323.9788989250678</v>
      </c>
      <c r="X48" s="408">
        <f t="shared" si="3"/>
        <v>18865829.306938142</v>
      </c>
      <c r="Z48" s="404" t="s">
        <v>43</v>
      </c>
      <c r="AA48" s="409">
        <f t="shared" si="4"/>
        <v>57147.404617333785</v>
      </c>
      <c r="AB48" s="409">
        <f t="shared" si="4"/>
        <v>11056.794633555692</v>
      </c>
      <c r="AC48" s="409">
        <f t="shared" si="4"/>
        <v>261855.70553941373</v>
      </c>
      <c r="AD48" s="409">
        <f t="shared" si="4"/>
        <v>11358.047653876769</v>
      </c>
      <c r="AE48" s="409">
        <f t="shared" si="4"/>
        <v>86549.799578023143</v>
      </c>
      <c r="AF48" s="409">
        <f t="shared" si="4"/>
        <v>15.330870776786469</v>
      </c>
      <c r="AG48" s="409">
        <f t="shared" ref="AG48:AI56" si="8">+H48-U48</f>
        <v>1.5925629351477255</v>
      </c>
      <c r="AH48" s="409">
        <f t="shared" si="8"/>
        <v>36.236504864005838</v>
      </c>
      <c r="AI48" s="409">
        <f t="shared" si="8"/>
        <v>620.16110107493228</v>
      </c>
      <c r="AJ48" s="411">
        <f t="shared" si="5"/>
        <v>428641.073061854</v>
      </c>
      <c r="AL48" s="404" t="s">
        <v>43</v>
      </c>
      <c r="AM48" s="409">
        <f t="shared" si="7"/>
        <v>9524.5674362222981</v>
      </c>
      <c r="AN48" s="409">
        <f t="shared" si="7"/>
        <v>1842.7991055926152</v>
      </c>
      <c r="AO48" s="409">
        <f t="shared" si="7"/>
        <v>43642.617589902286</v>
      </c>
      <c r="AP48" s="409">
        <f t="shared" si="7"/>
        <v>1893.0079423127947</v>
      </c>
      <c r="AQ48" s="409">
        <f t="shared" si="7"/>
        <v>14424.96659633719</v>
      </c>
      <c r="AR48" s="409">
        <f t="shared" si="7"/>
        <v>2.5551451294644116</v>
      </c>
      <c r="AS48" s="409">
        <f t="shared" si="7"/>
        <v>0.26542715585795423</v>
      </c>
      <c r="AT48" s="409">
        <f t="shared" si="7"/>
        <v>6.0394174773343066</v>
      </c>
      <c r="AU48" s="409">
        <f t="shared" si="7"/>
        <v>103.36018351248872</v>
      </c>
      <c r="AV48" s="411">
        <f t="shared" si="6"/>
        <v>71440.178843642323</v>
      </c>
    </row>
    <row r="49" spans="1:48">
      <c r="A49" s="404" t="s">
        <v>44</v>
      </c>
      <c r="B49" s="405">
        <f>ROUND(IF('[6]PART PEF2022'!X$4&lt;1,'[6]CALCULO GARANTIA'!H49*'[6]PART PEF2022'!U$4,'[6]CALCULO GARANTIA'!U49+'[6]CALCULO GARANTIA'!I49),2)</f>
        <v>34780996.409999996</v>
      </c>
      <c r="C49" s="406">
        <f>ROUND(+IF('[6]PART PEF2022'!X$5&lt;1,'[6]CALCULO GARANTIA'!J49*'[6]PART PEF2022'!U$5,'[6]CALCULO GARANTIA'!V49+'[6]CALCULO GARANTIA'!K49),2)</f>
        <v>4897985.7699999996</v>
      </c>
      <c r="D49" s="407">
        <f>ROUND(+'[6]PART PEF2022'!U$11*'[6]Art.14 Frac.III'!R48,2)</f>
        <v>3179082.8</v>
      </c>
      <c r="E49" s="406">
        <f>ROUND(+IF('[6]PART PEF2022'!X$6&lt;1,'[6]CALCULO GARANTIA'!L49*'[6]PART PEF2022'!U$6,'[6]CALCULO GARANTIA'!W49+'[6]CALCULO GARANTIA'!M49),2)</f>
        <v>1035127.29</v>
      </c>
      <c r="F49" s="406">
        <f>ROUND(+IF('[6]PART PEF2022'!X$7&lt;1,'[6]CALCULO GARANTIA'!N49*'[6]PART PEF2022'!U$7,'[6]CALCULO GARANTIA'!X49+'[6]CALCULO GARANTIA'!O49),2)</f>
        <v>1959031.82</v>
      </c>
      <c r="G49" s="406">
        <f>ROUND(+IF('[6]PART PEF2022'!X$8&lt;1,'[6]CALCULO GARANTIA'!P49*'[6]PART PEF2022'!U$8,'[6]CALCULO GARANTIA'!Y49+'[6]CALCULO GARANTIA'!Q49),2)</f>
        <v>1022327.12</v>
      </c>
      <c r="H49" s="406">
        <f>ROUND(+IF('[6]PART PEF2022'!X$9&lt;1,'[6]CALCULO GARANTIA'!R49*'[6]PART PEF2022'!U$9,'[6]CALCULO GARANTIA'!Z49+'[6]CALCULO GARANTIA'!S49),2)</f>
        <v>187569.32</v>
      </c>
      <c r="I49" s="406">
        <f>+ROUND('[6]COEF Art 14 F II'!L50,2)</f>
        <v>448653.33</v>
      </c>
      <c r="J49" s="406">
        <f>+'[6]ISR BI'!D47</f>
        <v>59768.05</v>
      </c>
      <c r="K49" s="408">
        <f t="shared" si="2"/>
        <v>47570541.909999982</v>
      </c>
      <c r="N49" s="404" t="s">
        <v>44</v>
      </c>
      <c r="O49" s="405">
        <v>34618009.118850671</v>
      </c>
      <c r="P49" s="406">
        <v>4865938.7397233276</v>
      </c>
      <c r="Q49" s="407">
        <v>3325410.3099157251</v>
      </c>
      <c r="R49" s="406">
        <v>998437.83058848674</v>
      </c>
      <c r="S49" s="406">
        <v>1688823.9582876803</v>
      </c>
      <c r="T49" s="406">
        <v>1022438.027201162</v>
      </c>
      <c r="U49" s="406">
        <v>187593.79270338226</v>
      </c>
      <c r="V49" s="406">
        <v>449040.09641821531</v>
      </c>
      <c r="W49" s="406">
        <v>68673.626379999434</v>
      </c>
      <c r="X49" s="408">
        <f t="shared" si="3"/>
        <v>47224365.50006865</v>
      </c>
      <c r="Z49" s="404" t="s">
        <v>44</v>
      </c>
      <c r="AA49" s="409">
        <f t="shared" ref="AA49:AF56" si="9">+B49-O49</f>
        <v>162987.29114932567</v>
      </c>
      <c r="AB49" s="409">
        <f t="shared" si="9"/>
        <v>32047.030276671983</v>
      </c>
      <c r="AC49" s="409">
        <f t="shared" si="9"/>
        <v>-146327.50991572533</v>
      </c>
      <c r="AD49" s="409">
        <f t="shared" si="9"/>
        <v>36689.459411513293</v>
      </c>
      <c r="AE49" s="409">
        <f t="shared" si="9"/>
        <v>270207.86171231978</v>
      </c>
      <c r="AF49" s="409">
        <f t="shared" si="9"/>
        <v>-110.90720116195735</v>
      </c>
      <c r="AG49" s="409">
        <f t="shared" si="8"/>
        <v>-24.472703382256441</v>
      </c>
      <c r="AH49" s="409">
        <f t="shared" si="8"/>
        <v>-386.76641821529483</v>
      </c>
      <c r="AI49" s="409">
        <f t="shared" si="8"/>
        <v>-8905.5763799994311</v>
      </c>
      <c r="AJ49" s="411">
        <f t="shared" si="5"/>
        <v>346176.40993134642</v>
      </c>
      <c r="AL49" s="404" t="s">
        <v>44</v>
      </c>
      <c r="AM49" s="409">
        <f t="shared" si="7"/>
        <v>27164.54852488761</v>
      </c>
      <c r="AN49" s="409">
        <f t="shared" si="7"/>
        <v>5341.1717127786642</v>
      </c>
      <c r="AO49" s="409">
        <f t="shared" si="7"/>
        <v>-24387.918319287553</v>
      </c>
      <c r="AP49" s="409">
        <f t="shared" si="7"/>
        <v>6114.9099019188825</v>
      </c>
      <c r="AQ49" s="409">
        <f t="shared" si="7"/>
        <v>45034.643618719965</v>
      </c>
      <c r="AR49" s="409">
        <f t="shared" si="7"/>
        <v>-18.484533526992891</v>
      </c>
      <c r="AS49" s="409">
        <f t="shared" si="7"/>
        <v>-4.0787838970427401</v>
      </c>
      <c r="AT49" s="409">
        <f t="shared" si="7"/>
        <v>-64.461069702549139</v>
      </c>
      <c r="AU49" s="409">
        <f t="shared" si="7"/>
        <v>-1484.2627299999051</v>
      </c>
      <c r="AV49" s="411">
        <f t="shared" si="6"/>
        <v>57696.068321891078</v>
      </c>
    </row>
    <row r="50" spans="1:48">
      <c r="A50" s="404" t="s">
        <v>45</v>
      </c>
      <c r="B50" s="405">
        <f>ROUND(IF('[6]PART PEF2022'!X$4&lt;1,'[6]CALCULO GARANTIA'!H50*'[6]PART PEF2022'!U$4,'[6]CALCULO GARANTIA'!U50+'[6]CALCULO GARANTIA'!I50),2)</f>
        <v>35221743.030000001</v>
      </c>
      <c r="C50" s="406">
        <f>ROUND(+IF('[6]PART PEF2022'!X$5&lt;1,'[6]CALCULO GARANTIA'!J50*'[6]PART PEF2022'!U$5,'[6]CALCULO GARANTIA'!V50+'[6]CALCULO GARANTIA'!K50),2)</f>
        <v>5114026.21</v>
      </c>
      <c r="D50" s="407">
        <f>ROUND(+'[6]PART PEF2022'!U$11*'[6]Art.14 Frac.III'!R49,2)</f>
        <v>3403603.2</v>
      </c>
      <c r="E50" s="406">
        <f>ROUND(+IF('[6]PART PEF2022'!X$6&lt;1,'[6]CALCULO GARANTIA'!L50*'[6]PART PEF2022'!U$6,'[6]CALCULO GARANTIA'!W50+'[6]CALCULO GARANTIA'!M50),2)</f>
        <v>909959.66</v>
      </c>
      <c r="F50" s="406">
        <f>ROUND(+IF('[6]PART PEF2022'!X$7&lt;1,'[6]CALCULO GARANTIA'!N50*'[6]PART PEF2022'!U$7,'[6]CALCULO GARANTIA'!X50+'[6]CALCULO GARANTIA'!O50),2)</f>
        <v>1973623.6</v>
      </c>
      <c r="G50" s="406">
        <f>ROUND(+IF('[6]PART PEF2022'!X$8&lt;1,'[6]CALCULO GARANTIA'!P50*'[6]PART PEF2022'!U$8,'[6]CALCULO GARANTIA'!Y50+'[6]CALCULO GARANTIA'!Q50),2)</f>
        <v>1091511.6200000001</v>
      </c>
      <c r="H50" s="406">
        <f>ROUND(+IF('[6]PART PEF2022'!X$9&lt;1,'[6]CALCULO GARANTIA'!R50*'[6]PART PEF2022'!U$9,'[6]CALCULO GARANTIA'!Z50+'[6]CALCULO GARANTIA'!S50),2)</f>
        <v>169182.02</v>
      </c>
      <c r="I50" s="406">
        <f>+ROUND('[6]COEF Art 14 F II'!L51,2)</f>
        <v>908911.62</v>
      </c>
      <c r="J50" s="406">
        <f>+'[6]ISR BI'!D48</f>
        <v>688472.08</v>
      </c>
      <c r="K50" s="408">
        <f t="shared" si="2"/>
        <v>49481033.039999999</v>
      </c>
      <c r="N50" s="404" t="s">
        <v>45</v>
      </c>
      <c r="O50" s="405">
        <v>35267397.74504073</v>
      </c>
      <c r="P50" s="406">
        <v>5123820.8250474865</v>
      </c>
      <c r="Q50" s="407">
        <v>3158270.2131101708</v>
      </c>
      <c r="R50" s="406">
        <v>927303.05984152085</v>
      </c>
      <c r="S50" s="406">
        <v>2100404.963063621</v>
      </c>
      <c r="T50" s="406">
        <v>1090917.3361915254</v>
      </c>
      <c r="U50" s="406">
        <v>169123.96772080468</v>
      </c>
      <c r="V50" s="406">
        <v>907541.0212329214</v>
      </c>
      <c r="W50" s="406">
        <v>531014.03839655826</v>
      </c>
      <c r="X50" s="408">
        <f t="shared" si="3"/>
        <v>49275793.169645339</v>
      </c>
      <c r="Z50" s="404" t="s">
        <v>45</v>
      </c>
      <c r="AA50" s="409">
        <f t="shared" si="9"/>
        <v>-45654.71504072845</v>
      </c>
      <c r="AB50" s="409">
        <f t="shared" si="9"/>
        <v>-9794.615047486499</v>
      </c>
      <c r="AC50" s="409">
        <f t="shared" si="9"/>
        <v>245332.98688982939</v>
      </c>
      <c r="AD50" s="409">
        <f t="shared" si="9"/>
        <v>-17343.399841520819</v>
      </c>
      <c r="AE50" s="409">
        <f t="shared" si="9"/>
        <v>-126781.36306362087</v>
      </c>
      <c r="AF50" s="409">
        <f t="shared" si="9"/>
        <v>594.28380847466178</v>
      </c>
      <c r="AG50" s="409">
        <f t="shared" si="8"/>
        <v>58.052279195311712</v>
      </c>
      <c r="AH50" s="409">
        <f t="shared" si="8"/>
        <v>1370.598767078598</v>
      </c>
      <c r="AI50" s="409">
        <f t="shared" si="8"/>
        <v>157458.0416034417</v>
      </c>
      <c r="AJ50" s="411">
        <f t="shared" si="5"/>
        <v>205239.87035466303</v>
      </c>
      <c r="AL50" s="404" t="s">
        <v>45</v>
      </c>
      <c r="AM50" s="409">
        <f t="shared" si="7"/>
        <v>-7609.1191734547419</v>
      </c>
      <c r="AN50" s="409">
        <f t="shared" si="7"/>
        <v>-1632.4358412477497</v>
      </c>
      <c r="AO50" s="409">
        <f t="shared" si="7"/>
        <v>40888.831148304896</v>
      </c>
      <c r="AP50" s="409">
        <f t="shared" ref="AP50:AU56" si="10">+AD50/6</f>
        <v>-2890.5666402534698</v>
      </c>
      <c r="AQ50" s="409">
        <f t="shared" si="10"/>
        <v>-21130.227177270146</v>
      </c>
      <c r="AR50" s="409">
        <f t="shared" si="10"/>
        <v>99.04730141244363</v>
      </c>
      <c r="AS50" s="409">
        <f t="shared" si="10"/>
        <v>9.6753798658852848</v>
      </c>
      <c r="AT50" s="409">
        <f t="shared" si="10"/>
        <v>228.433127846433</v>
      </c>
      <c r="AU50" s="409">
        <f t="shared" si="10"/>
        <v>26243.006933906949</v>
      </c>
      <c r="AV50" s="411">
        <f t="shared" si="6"/>
        <v>34206.645059110502</v>
      </c>
    </row>
    <row r="51" spans="1:48">
      <c r="A51" s="404" t="s">
        <v>246</v>
      </c>
      <c r="B51" s="405">
        <f>ROUND(IF('[6]PART PEF2022'!X$4&lt;1,'[6]CALCULO GARANTIA'!H51*'[6]PART PEF2022'!U$4,'[6]CALCULO GARANTIA'!U51+'[6]CALCULO GARANTIA'!I51),2)</f>
        <v>295551448.06999999</v>
      </c>
      <c r="C51" s="406">
        <f>ROUND(+IF('[6]PART PEF2022'!X$5&lt;1,'[6]CALCULO GARANTIA'!J51*'[6]PART PEF2022'!U$5,'[6]CALCULO GARANTIA'!V51+'[6]CALCULO GARANTIA'!K51),2)</f>
        <v>42366003.439999998</v>
      </c>
      <c r="D51" s="407">
        <f>ROUND(+'[6]PART PEF2022'!U$11*'[6]Art.14 Frac.III'!R50,2)</f>
        <v>10227828.130000001</v>
      </c>
      <c r="E51" s="406">
        <f>ROUND(+IF('[6]PART PEF2022'!X$6&lt;1,'[6]CALCULO GARANTIA'!L51*'[6]PART PEF2022'!U$6,'[6]CALCULO GARANTIA'!W51+'[6]CALCULO GARANTIA'!M51),2)</f>
        <v>8126558.6399999997</v>
      </c>
      <c r="F51" s="406">
        <f>ROUND(+IF('[6]PART PEF2022'!X$7&lt;1,'[6]CALCULO GARANTIA'!N51*'[6]PART PEF2022'!U$7,'[6]CALCULO GARANTIA'!X51+'[6]CALCULO GARANTIA'!O51),2)</f>
        <v>16597330.449999999</v>
      </c>
      <c r="G51" s="406">
        <f>ROUND(+IF('[6]PART PEF2022'!X$8&lt;1,'[6]CALCULO GARANTIA'!P51*'[6]PART PEF2022'!U$8,'[6]CALCULO GARANTIA'!Y51+'[6]CALCULO GARANTIA'!Q51),2)</f>
        <v>8959428.3800000008</v>
      </c>
      <c r="H51" s="406">
        <f>ROUND(+IF('[6]PART PEF2022'!X$9&lt;1,'[6]CALCULO GARANTIA'!R51*'[6]PART PEF2022'!U$9,'[6]CALCULO GARANTIA'!Z51+'[6]CALCULO GARANTIA'!S51),2)</f>
        <v>1493350.97</v>
      </c>
      <c r="I51" s="406">
        <f>+ROUND('[6]COEF Art 14 F II'!L52,2)</f>
        <v>5542930.9900000002</v>
      </c>
      <c r="J51" s="406">
        <f>+'[6]ISR BI'!D49</f>
        <v>1739699.83</v>
      </c>
      <c r="K51" s="408">
        <f t="shared" si="2"/>
        <v>390604578.89999998</v>
      </c>
      <c r="N51" s="404" t="s">
        <v>46</v>
      </c>
      <c r="O51" s="405">
        <v>295288521.28525937</v>
      </c>
      <c r="P51" s="406">
        <v>42313492.984097876</v>
      </c>
      <c r="Q51" s="407">
        <v>10735530.508206479</v>
      </c>
      <c r="R51" s="406">
        <v>8063793.8653244423</v>
      </c>
      <c r="S51" s="406">
        <v>16335720.841155579</v>
      </c>
      <c r="T51" s="406">
        <v>8955010.0038513243</v>
      </c>
      <c r="U51" s="406">
        <v>1493361.7452291108</v>
      </c>
      <c r="V51" s="406">
        <v>5536984.7406050237</v>
      </c>
      <c r="W51" s="406">
        <v>1980993.2610756948</v>
      </c>
      <c r="X51" s="408">
        <f t="shared" si="3"/>
        <v>390703409.23480493</v>
      </c>
      <c r="Z51" s="404" t="s">
        <v>46</v>
      </c>
      <c r="AA51" s="409">
        <f t="shared" si="9"/>
        <v>262926.78474062681</v>
      </c>
      <c r="AB51" s="409">
        <f t="shared" si="9"/>
        <v>52510.455902121961</v>
      </c>
      <c r="AC51" s="409">
        <f t="shared" si="9"/>
        <v>-507702.37820647843</v>
      </c>
      <c r="AD51" s="409">
        <f t="shared" si="9"/>
        <v>62764.77467555739</v>
      </c>
      <c r="AE51" s="409">
        <f t="shared" si="9"/>
        <v>261609.60884441994</v>
      </c>
      <c r="AF51" s="409">
        <f t="shared" si="9"/>
        <v>4418.3761486764997</v>
      </c>
      <c r="AG51" s="409">
        <f t="shared" si="8"/>
        <v>-10.775229110848159</v>
      </c>
      <c r="AH51" s="409">
        <f t="shared" si="8"/>
        <v>5946.2493949765339</v>
      </c>
      <c r="AI51" s="409">
        <f t="shared" si="8"/>
        <v>-241293.43107569474</v>
      </c>
      <c r="AJ51" s="411">
        <f t="shared" si="5"/>
        <v>-98830.33480490488</v>
      </c>
      <c r="AL51" s="404" t="s">
        <v>46</v>
      </c>
      <c r="AM51" s="409">
        <f t="shared" ref="AM51:AO56" si="11">+AA51/6</f>
        <v>43821.130790104471</v>
      </c>
      <c r="AN51" s="409">
        <f t="shared" si="11"/>
        <v>8751.7426503536608</v>
      </c>
      <c r="AO51" s="409">
        <f t="shared" si="11"/>
        <v>-84617.063034413077</v>
      </c>
      <c r="AP51" s="409">
        <f t="shared" si="10"/>
        <v>10460.795779259564</v>
      </c>
      <c r="AQ51" s="409">
        <f t="shared" si="10"/>
        <v>43601.60147406999</v>
      </c>
      <c r="AR51" s="409">
        <f t="shared" si="10"/>
        <v>736.39602477941662</v>
      </c>
      <c r="AS51" s="409">
        <f t="shared" si="10"/>
        <v>-1.7958715184746932</v>
      </c>
      <c r="AT51" s="409">
        <f t="shared" si="10"/>
        <v>991.04156582942232</v>
      </c>
      <c r="AU51" s="409">
        <f t="shared" si="10"/>
        <v>-40215.571845949125</v>
      </c>
      <c r="AV51" s="411">
        <f t="shared" si="6"/>
        <v>-16471.722467484153</v>
      </c>
    </row>
    <row r="52" spans="1:48">
      <c r="A52" s="404" t="s">
        <v>247</v>
      </c>
      <c r="B52" s="405">
        <f>ROUND(IF('[6]PART PEF2022'!X$4&lt;1,'[6]CALCULO GARANTIA'!H52*'[6]PART PEF2022'!U$4,'[6]CALCULO GARANTIA'!U52+'[6]CALCULO GARANTIA'!I52),2)</f>
        <v>569634983.03999996</v>
      </c>
      <c r="C52" s="406">
        <f>ROUND(+IF('[6]PART PEF2022'!X$5&lt;1,'[6]CALCULO GARANTIA'!J52*'[6]PART PEF2022'!U$5,'[6]CALCULO GARANTIA'!V52+'[6]CALCULO GARANTIA'!K52),2)</f>
        <v>81614729.569999993</v>
      </c>
      <c r="D52" s="407">
        <f>ROUND(+'[6]PART PEF2022'!U$11*'[6]Art.14 Frac.III'!R51,2)</f>
        <v>18157836.440000001</v>
      </c>
      <c r="E52" s="406">
        <f>ROUND(+IF('[6]PART PEF2022'!X$6&lt;1,'[6]CALCULO GARANTIA'!L52*'[6]PART PEF2022'!U$6,'[6]CALCULO GARANTIA'!W52+'[6]CALCULO GARANTIA'!M52),2)</f>
        <v>15698706.130000001</v>
      </c>
      <c r="F52" s="406">
        <f>ROUND(+IF('[6]PART PEF2022'!X$7&lt;1,'[6]CALCULO GARANTIA'!N52*'[6]PART PEF2022'!U$7,'[6]CALCULO GARANTIA'!X52+'[6]CALCULO GARANTIA'!O52),2)</f>
        <v>31991738.690000001</v>
      </c>
      <c r="G52" s="406">
        <f>ROUND(+IF('[6]PART PEF2022'!X$8&lt;1,'[6]CALCULO GARANTIA'!P52*'[6]PART PEF2022'!U$8,'[6]CALCULO GARANTIA'!Y52+'[6]CALCULO GARANTIA'!Q52),2)</f>
        <v>17253484.510000002</v>
      </c>
      <c r="H52" s="406">
        <f>ROUND(+IF('[6]PART PEF2022'!X$9&lt;1,'[6]CALCULO GARANTIA'!R52*'[6]PART PEF2022'!U$9,'[6]CALCULO GARANTIA'!Z52+'[6]CALCULO GARANTIA'!S52),2)</f>
        <v>2883616.69</v>
      </c>
      <c r="I52" s="406">
        <f>+ROUND('[6]COEF Art 14 F II'!L53,2)</f>
        <v>4090687.02</v>
      </c>
      <c r="J52" s="406">
        <f>+'[6]ISR BI'!D50</f>
        <v>7299550.5999999996</v>
      </c>
      <c r="K52" s="408">
        <f t="shared" si="2"/>
        <v>748625332.69000006</v>
      </c>
      <c r="N52" s="404" t="s">
        <v>47</v>
      </c>
      <c r="O52" s="405">
        <v>568958014.03278482</v>
      </c>
      <c r="P52" s="406">
        <v>81480750.790727004</v>
      </c>
      <c r="Q52" s="407">
        <v>18849812.741345249</v>
      </c>
      <c r="R52" s="406">
        <v>15548124.785940453</v>
      </c>
      <c r="S52" s="406">
        <v>31424702.095751755</v>
      </c>
      <c r="T52" s="406">
        <v>17240574.958991483</v>
      </c>
      <c r="U52" s="406">
        <v>2883557.2507198229</v>
      </c>
      <c r="V52" s="406">
        <v>4072441.1146282717</v>
      </c>
      <c r="W52" s="406">
        <v>7635172.6208117846</v>
      </c>
      <c r="X52" s="408">
        <f t="shared" si="3"/>
        <v>748093150.39170074</v>
      </c>
      <c r="Z52" s="404" t="s">
        <v>47</v>
      </c>
      <c r="AA52" s="409">
        <f t="shared" si="9"/>
        <v>676969.00721514225</v>
      </c>
      <c r="AB52" s="409">
        <f t="shared" si="9"/>
        <v>133978.77927298844</v>
      </c>
      <c r="AC52" s="409">
        <f t="shared" si="9"/>
        <v>-691976.30134524778</v>
      </c>
      <c r="AD52" s="409">
        <f t="shared" si="9"/>
        <v>150581.34405954741</v>
      </c>
      <c r="AE52" s="409">
        <f t="shared" si="9"/>
        <v>567036.5942482464</v>
      </c>
      <c r="AF52" s="409">
        <f t="shared" si="9"/>
        <v>12909.551008518785</v>
      </c>
      <c r="AG52" s="409">
        <f t="shared" si="8"/>
        <v>59.43928017700091</v>
      </c>
      <c r="AH52" s="409">
        <f t="shared" si="8"/>
        <v>18245.905371728353</v>
      </c>
      <c r="AI52" s="409">
        <f t="shared" si="8"/>
        <v>-335622.02081178501</v>
      </c>
      <c r="AJ52" s="411">
        <f t="shared" si="5"/>
        <v>532182.29829931585</v>
      </c>
      <c r="AL52" s="404" t="s">
        <v>47</v>
      </c>
      <c r="AM52" s="409">
        <f t="shared" si="11"/>
        <v>112828.16786919038</v>
      </c>
      <c r="AN52" s="409">
        <f t="shared" si="11"/>
        <v>22329.796545498073</v>
      </c>
      <c r="AO52" s="409">
        <f t="shared" si="11"/>
        <v>-115329.3835575413</v>
      </c>
      <c r="AP52" s="409">
        <f t="shared" si="10"/>
        <v>25096.890676591236</v>
      </c>
      <c r="AQ52" s="409">
        <f t="shared" si="10"/>
        <v>94506.0990413744</v>
      </c>
      <c r="AR52" s="409">
        <f t="shared" si="10"/>
        <v>2151.591834753131</v>
      </c>
      <c r="AS52" s="409">
        <f t="shared" si="10"/>
        <v>9.9065466961668189</v>
      </c>
      <c r="AT52" s="409">
        <f t="shared" si="10"/>
        <v>3040.984228621392</v>
      </c>
      <c r="AU52" s="409">
        <f t="shared" si="10"/>
        <v>-55937.003468630835</v>
      </c>
      <c r="AV52" s="411">
        <f t="shared" si="6"/>
        <v>88697.04971655269</v>
      </c>
    </row>
    <row r="53" spans="1:48">
      <c r="A53" s="404" t="s">
        <v>48</v>
      </c>
      <c r="B53" s="405">
        <f>ROUND(IF('[6]PART PEF2022'!X$4&lt;1,'[6]CALCULO GARANTIA'!H53*'[6]PART PEF2022'!U$4,'[6]CALCULO GARANTIA'!U53+'[6]CALCULO GARANTIA'!I53),2)</f>
        <v>154736301.84</v>
      </c>
      <c r="C53" s="406">
        <f>ROUND(+IF('[6]PART PEF2022'!X$5&lt;1,'[6]CALCULO GARANTIA'!J53*'[6]PART PEF2022'!U$5,'[6]CALCULO GARANTIA'!V53+'[6]CALCULO GARANTIA'!K53),2)</f>
        <v>22204259.579999998</v>
      </c>
      <c r="D53" s="407">
        <f>ROUND(+'[6]PART PEF2022'!U$11*'[6]Art.14 Frac.III'!R52,2)</f>
        <v>6093097.0199999996</v>
      </c>
      <c r="E53" s="406">
        <f>ROUND(+IF('[6]PART PEF2022'!X$6&lt;1,'[6]CALCULO GARANTIA'!L53*'[6]PART PEF2022'!U$6,'[6]CALCULO GARANTIA'!W53+'[6]CALCULO GARANTIA'!M53),2)</f>
        <v>4233572.91</v>
      </c>
      <c r="F53" s="406">
        <f>ROUND(+IF('[6]PART PEF2022'!X$7&lt;1,'[6]CALCULO GARANTIA'!N53*'[6]PART PEF2022'!U$7,'[6]CALCULO GARANTIA'!X53+'[6]CALCULO GARANTIA'!O53),2)</f>
        <v>8687990.3800000008</v>
      </c>
      <c r="G53" s="406">
        <f>ROUND(+IF('[6]PART PEF2022'!X$8&lt;1,'[6]CALCULO GARANTIA'!P53*'[6]PART PEF2022'!U$8,'[6]CALCULO GARANTIA'!Y53+'[6]CALCULO GARANTIA'!Q53),2)</f>
        <v>4699297.25</v>
      </c>
      <c r="H53" s="406">
        <f>ROUND(+IF('[6]PART PEF2022'!X$9&lt;1,'[6]CALCULO GARANTIA'!R53*'[6]PART PEF2022'!U$9,'[6]CALCULO GARANTIA'!Z53+'[6]CALCULO GARANTIA'!S53),2)</f>
        <v>778677.91</v>
      </c>
      <c r="I53" s="406">
        <f>+ROUND('[6]COEF Art 14 F II'!L54,2)</f>
        <v>3677965.59</v>
      </c>
      <c r="J53" s="406">
        <f>+'[6]ISR BI'!D51</f>
        <v>2622316.0499999998</v>
      </c>
      <c r="K53" s="408">
        <f t="shared" si="2"/>
        <v>207733478.53000003</v>
      </c>
      <c r="N53" s="404" t="s">
        <v>48</v>
      </c>
      <c r="O53" s="405">
        <v>154516341.99255913</v>
      </c>
      <c r="P53" s="406">
        <v>22164240.205313195</v>
      </c>
      <c r="Q53" s="407">
        <v>6156623.9596481491</v>
      </c>
      <c r="R53" s="406">
        <v>4212575.9272474581</v>
      </c>
      <c r="S53" s="406">
        <v>8565071.8968812525</v>
      </c>
      <c r="T53" s="406">
        <v>4696306.9167642714</v>
      </c>
      <c r="U53" s="406">
        <v>778494.68237846217</v>
      </c>
      <c r="V53" s="406">
        <v>3672113.1485999441</v>
      </c>
      <c r="W53" s="406">
        <v>2719394.7697794791</v>
      </c>
      <c r="X53" s="408">
        <f t="shared" si="3"/>
        <v>207481163.49917138</v>
      </c>
      <c r="Z53" s="404" t="s">
        <v>48</v>
      </c>
      <c r="AA53" s="409">
        <f t="shared" si="9"/>
        <v>219959.84744086862</v>
      </c>
      <c r="AB53" s="409">
        <f t="shared" si="9"/>
        <v>40019.374686803669</v>
      </c>
      <c r="AC53" s="409">
        <f t="shared" si="9"/>
        <v>-63526.939648149535</v>
      </c>
      <c r="AD53" s="409">
        <f t="shared" si="9"/>
        <v>20996.982752542011</v>
      </c>
      <c r="AE53" s="409">
        <f t="shared" si="9"/>
        <v>122918.48311874829</v>
      </c>
      <c r="AF53" s="409">
        <f t="shared" si="9"/>
        <v>2990.3332357285544</v>
      </c>
      <c r="AG53" s="409">
        <f t="shared" si="8"/>
        <v>183.22762153786607</v>
      </c>
      <c r="AH53" s="409">
        <f t="shared" si="8"/>
        <v>5852.4414000557736</v>
      </c>
      <c r="AI53" s="409">
        <f t="shared" si="8"/>
        <v>-97078.719779479317</v>
      </c>
      <c r="AJ53" s="411">
        <f t="shared" si="5"/>
        <v>252315.03082865593</v>
      </c>
      <c r="AL53" s="404" t="s">
        <v>48</v>
      </c>
      <c r="AM53" s="409">
        <f t="shared" si="11"/>
        <v>36659.974573478103</v>
      </c>
      <c r="AN53" s="409">
        <f t="shared" si="11"/>
        <v>6669.8957811339451</v>
      </c>
      <c r="AO53" s="409">
        <f t="shared" si="11"/>
        <v>-10587.823274691589</v>
      </c>
      <c r="AP53" s="409">
        <f t="shared" si="10"/>
        <v>3499.4971254236684</v>
      </c>
      <c r="AQ53" s="409">
        <f t="shared" si="10"/>
        <v>20486.413853124715</v>
      </c>
      <c r="AR53" s="409">
        <f t="shared" si="10"/>
        <v>498.38887262142572</v>
      </c>
      <c r="AS53" s="409">
        <f t="shared" si="10"/>
        <v>30.537936922977678</v>
      </c>
      <c r="AT53" s="409">
        <f t="shared" si="10"/>
        <v>975.40690000929555</v>
      </c>
      <c r="AU53" s="409">
        <f t="shared" si="10"/>
        <v>-16179.78662991322</v>
      </c>
      <c r="AV53" s="411">
        <f t="shared" si="6"/>
        <v>42052.505138109314</v>
      </c>
    </row>
    <row r="54" spans="1:48">
      <c r="A54" s="404" t="s">
        <v>49</v>
      </c>
      <c r="B54" s="405">
        <f>ROUND(IF('[6]PART PEF2022'!X$4&lt;1,'[6]CALCULO GARANTIA'!H54*'[6]PART PEF2022'!U$4,'[6]CALCULO GARANTIA'!U54+'[6]CALCULO GARANTIA'!I54),2)</f>
        <v>53787302.990000002</v>
      </c>
      <c r="C54" s="406">
        <f>ROUND(+IF('[6]PART PEF2022'!X$5&lt;1,'[6]CALCULO GARANTIA'!J54*'[6]PART PEF2022'!U$5,'[6]CALCULO GARANTIA'!V54+'[6]CALCULO GARANTIA'!K54),2)</f>
        <v>7820910.71</v>
      </c>
      <c r="D54" s="407">
        <f>ROUND(+'[6]PART PEF2022'!U$11*'[6]Art.14 Frac.III'!R53,2)</f>
        <v>5655004.5</v>
      </c>
      <c r="E54" s="406">
        <f>ROUND(+IF('[6]PART PEF2022'!X$6&lt;1,'[6]CALCULO GARANTIA'!L54*'[6]PART PEF2022'!U$6,'[6]CALCULO GARANTIA'!W54+'[6]CALCULO GARANTIA'!M54),2)</f>
        <v>1379495.54</v>
      </c>
      <c r="F54" s="406">
        <f>ROUND(+IF('[6]PART PEF2022'!X$7&lt;1,'[6]CALCULO GARANTIA'!N54*'[6]PART PEF2022'!U$7,'[6]CALCULO GARANTIA'!X54+'[6]CALCULO GARANTIA'!O54),2)</f>
        <v>3013182.61</v>
      </c>
      <c r="G54" s="406">
        <f>ROUND(+IF('[6]PART PEF2022'!X$8&lt;1,'[6]CALCULO GARANTIA'!P54*'[6]PART PEF2022'!U$8,'[6]CALCULO GARANTIA'!Y54+'[6]CALCULO GARANTIA'!Q54),2)</f>
        <v>1670963.26</v>
      </c>
      <c r="H54" s="406">
        <f>ROUND(+IF('[6]PART PEF2022'!X$9&lt;1,'[6]CALCULO GARANTIA'!R54*'[6]PART PEF2022'!U$9,'[6]CALCULO GARANTIA'!Z54+'[6]CALCULO GARANTIA'!S54),2)</f>
        <v>256840.87</v>
      </c>
      <c r="I54" s="406">
        <f>+ROUND('[6]COEF Art 14 F II'!L55,2)</f>
        <v>784534.94</v>
      </c>
      <c r="J54" s="406">
        <f>+'[6]ISR BI'!D52</f>
        <v>2520708.0699999998</v>
      </c>
      <c r="K54" s="408">
        <f t="shared" si="2"/>
        <v>76888943.49000001</v>
      </c>
      <c r="N54" s="404" t="s">
        <v>49</v>
      </c>
      <c r="O54" s="405">
        <v>54008376.994514674</v>
      </c>
      <c r="P54" s="406">
        <v>7861489.7557221912</v>
      </c>
      <c r="Q54" s="407">
        <v>6129275.6927039335</v>
      </c>
      <c r="R54" s="406">
        <v>1405720.2994431481</v>
      </c>
      <c r="S54" s="406">
        <v>3292065.1358203497</v>
      </c>
      <c r="T54" s="406">
        <v>1670674.5381370904</v>
      </c>
      <c r="U54" s="406">
        <v>256955.6235439727</v>
      </c>
      <c r="V54" s="406">
        <v>785240.76769623533</v>
      </c>
      <c r="W54" s="406">
        <v>2483218.7932202285</v>
      </c>
      <c r="X54" s="408">
        <f t="shared" si="3"/>
        <v>77893017.600801826</v>
      </c>
      <c r="Z54" s="404" t="s">
        <v>49</v>
      </c>
      <c r="AA54" s="409">
        <f t="shared" si="9"/>
        <v>-221074.00451467186</v>
      </c>
      <c r="AB54" s="409">
        <f t="shared" si="9"/>
        <v>-40579.045722191222</v>
      </c>
      <c r="AC54" s="409">
        <f t="shared" si="9"/>
        <v>-474271.19270393346</v>
      </c>
      <c r="AD54" s="409">
        <f t="shared" si="9"/>
        <v>-26224.759443148039</v>
      </c>
      <c r="AE54" s="409">
        <f t="shared" si="9"/>
        <v>-278882.52582034981</v>
      </c>
      <c r="AF54" s="409">
        <f t="shared" si="9"/>
        <v>288.7218629096169</v>
      </c>
      <c r="AG54" s="409">
        <f t="shared" si="8"/>
        <v>-114.75354397270712</v>
      </c>
      <c r="AH54" s="409">
        <f t="shared" si="8"/>
        <v>-705.82769623538479</v>
      </c>
      <c r="AI54" s="409">
        <f t="shared" si="8"/>
        <v>37489.276779771317</v>
      </c>
      <c r="AJ54" s="411">
        <f t="shared" si="5"/>
        <v>-1004074.1108018216</v>
      </c>
      <c r="AL54" s="404" t="s">
        <v>49</v>
      </c>
      <c r="AM54" s="409">
        <f t="shared" si="11"/>
        <v>-36845.667419111975</v>
      </c>
      <c r="AN54" s="409">
        <f t="shared" si="11"/>
        <v>-6763.1742870318703</v>
      </c>
      <c r="AO54" s="409">
        <f t="shared" si="11"/>
        <v>-79045.198783988904</v>
      </c>
      <c r="AP54" s="409">
        <f t="shared" si="10"/>
        <v>-4370.7932405246729</v>
      </c>
      <c r="AQ54" s="409">
        <f t="shared" si="10"/>
        <v>-46480.420970058301</v>
      </c>
      <c r="AR54" s="409">
        <f t="shared" si="10"/>
        <v>48.120310484936148</v>
      </c>
      <c r="AS54" s="409">
        <f t="shared" si="10"/>
        <v>-19.125590662117855</v>
      </c>
      <c r="AT54" s="409">
        <f t="shared" si="10"/>
        <v>-117.63794937256414</v>
      </c>
      <c r="AU54" s="409">
        <f t="shared" si="10"/>
        <v>6248.2127966285525</v>
      </c>
      <c r="AV54" s="411">
        <f t="shared" si="6"/>
        <v>-167345.6851336369</v>
      </c>
    </row>
    <row r="55" spans="1:48">
      <c r="A55" s="404" t="s">
        <v>50</v>
      </c>
      <c r="B55" s="405">
        <f>ROUND(IF('[6]PART PEF2022'!X$4&lt;1,'[6]CALCULO GARANTIA'!H55*'[6]PART PEF2022'!U$4,'[6]CALCULO GARANTIA'!U55+'[6]CALCULO GARANTIA'!I55),2)</f>
        <v>10499083.619999999</v>
      </c>
      <c r="C55" s="406">
        <f>ROUND(+IF('[6]PART PEF2022'!X$5&lt;1,'[6]CALCULO GARANTIA'!J55*'[6]PART PEF2022'!U$5,'[6]CALCULO GARANTIA'!V55+'[6]CALCULO GARANTIA'!K55),2)</f>
        <v>1518085.58</v>
      </c>
      <c r="D55" s="407">
        <f>ROUND(+'[6]PART PEF2022'!U$11*'[6]Art.14 Frac.III'!R54,2)</f>
        <v>1859683.89</v>
      </c>
      <c r="E55" s="406">
        <f>ROUND(+IF('[6]PART PEF2022'!X$6&lt;1,'[6]CALCULO GARANTIA'!L55*'[6]PART PEF2022'!U$6,'[6]CALCULO GARANTIA'!W55+'[6]CALCULO GARANTIA'!M55),2)</f>
        <v>276931.02</v>
      </c>
      <c r="F55" s="406">
        <f>ROUND(+IF('[6]PART PEF2022'!X$7&lt;1,'[6]CALCULO GARANTIA'!N55*'[6]PART PEF2022'!U$7,'[6]CALCULO GARANTIA'!X55+'[6]CALCULO GARANTIA'!O55),2)</f>
        <v>588728.9</v>
      </c>
      <c r="G55" s="406">
        <f>ROUND(+IF('[6]PART PEF2022'!X$8&lt;1,'[6]CALCULO GARANTIA'!P55*'[6]PART PEF2022'!U$8,'[6]CALCULO GARANTIA'!Y55+'[6]CALCULO GARANTIA'!Q55),2)</f>
        <v>323051.74</v>
      </c>
      <c r="H55" s="406">
        <f>ROUND(+IF('[6]PART PEF2022'!X$9&lt;1,'[6]CALCULO GARANTIA'!R55*'[6]PART PEF2022'!U$9,'[6]CALCULO GARANTIA'!Z55+'[6]CALCULO GARANTIA'!S55),2)</f>
        <v>51284.37</v>
      </c>
      <c r="I55" s="406">
        <f>+ROUND('[6]COEF Art 14 F II'!L56,2)</f>
        <v>79003.259999999995</v>
      </c>
      <c r="J55" s="406">
        <f>+'[6]ISR BI'!D53</f>
        <v>11108.17</v>
      </c>
      <c r="K55" s="408">
        <f t="shared" si="2"/>
        <v>15206960.549999999</v>
      </c>
      <c r="N55" s="404" t="s">
        <v>50</v>
      </c>
      <c r="O55" s="405">
        <v>10522686.147946458</v>
      </c>
      <c r="P55" s="406">
        <v>1522457.2163124918</v>
      </c>
      <c r="Q55" s="407">
        <v>2440018.5377629832</v>
      </c>
      <c r="R55" s="406">
        <v>279971.72959042422</v>
      </c>
      <c r="S55" s="406">
        <v>614518.65608630434</v>
      </c>
      <c r="T55" s="406">
        <v>323141.40680985118</v>
      </c>
      <c r="U55" s="406">
        <v>51296.425299881535</v>
      </c>
      <c r="V55" s="406">
        <v>79241.834511617752</v>
      </c>
      <c r="W55" s="406">
        <v>12475.162190804876</v>
      </c>
      <c r="X55" s="408">
        <f t="shared" si="3"/>
        <v>15845807.116510816</v>
      </c>
      <c r="Z55" s="404" t="s">
        <v>50</v>
      </c>
      <c r="AA55" s="409">
        <f t="shared" si="9"/>
        <v>-23602.527946459129</v>
      </c>
      <c r="AB55" s="409">
        <f t="shared" si="9"/>
        <v>-4371.6363124917261</v>
      </c>
      <c r="AC55" s="409">
        <f t="shared" si="9"/>
        <v>-580334.64776298334</v>
      </c>
      <c r="AD55" s="409">
        <f t="shared" si="9"/>
        <v>-3040.7095904242015</v>
      </c>
      <c r="AE55" s="409">
        <f t="shared" si="9"/>
        <v>-25789.756086304318</v>
      </c>
      <c r="AF55" s="409">
        <f t="shared" si="9"/>
        <v>-89.666809851187281</v>
      </c>
      <c r="AG55" s="409">
        <f t="shared" si="8"/>
        <v>-12.055299881532846</v>
      </c>
      <c r="AH55" s="409">
        <f t="shared" si="8"/>
        <v>-238.5745116177568</v>
      </c>
      <c r="AI55" s="409">
        <f t="shared" si="8"/>
        <v>-1366.9921908048764</v>
      </c>
      <c r="AJ55" s="411">
        <f t="shared" si="5"/>
        <v>-638846.56651081808</v>
      </c>
      <c r="AL55" s="404" t="s">
        <v>50</v>
      </c>
      <c r="AM55" s="409">
        <f t="shared" si="11"/>
        <v>-3933.7546577431881</v>
      </c>
      <c r="AN55" s="409">
        <f t="shared" si="11"/>
        <v>-728.60605208195432</v>
      </c>
      <c r="AO55" s="409">
        <f t="shared" si="11"/>
        <v>-96722.441293830561</v>
      </c>
      <c r="AP55" s="409">
        <f t="shared" si="10"/>
        <v>-506.78493173736689</v>
      </c>
      <c r="AQ55" s="409">
        <f t="shared" si="10"/>
        <v>-4298.2926810507197</v>
      </c>
      <c r="AR55" s="409">
        <f t="shared" si="10"/>
        <v>-14.944468308531214</v>
      </c>
      <c r="AS55" s="409">
        <f t="shared" si="10"/>
        <v>-2.0092166469221411</v>
      </c>
      <c r="AT55" s="409">
        <f t="shared" si="10"/>
        <v>-39.762418602959464</v>
      </c>
      <c r="AU55" s="409">
        <f t="shared" si="10"/>
        <v>-227.83203180081273</v>
      </c>
      <c r="AV55" s="411">
        <f t="shared" si="6"/>
        <v>-106474.42775180301</v>
      </c>
    </row>
    <row r="56" spans="1:48" ht="13.5" thickBot="1">
      <c r="A56" s="404" t="s">
        <v>51</v>
      </c>
      <c r="B56" s="405">
        <f>ROUND(IF('[6]PART PEF2022'!X$4&lt;1,'[6]CALCULO GARANTIA'!H56*'[6]PART PEF2022'!U$4,'[6]CALCULO GARANTIA'!U56+'[6]CALCULO GARANTIA'!I56),2)</f>
        <v>12995349.84</v>
      </c>
      <c r="C56" s="406">
        <f>ROUND(+IF('[6]PART PEF2022'!X$5&lt;1,'[6]CALCULO GARANTIA'!J56*'[6]PART PEF2022'!U$5,'[6]CALCULO GARANTIA'!V56+'[6]CALCULO GARANTIA'!K56),2)</f>
        <v>1846724.23</v>
      </c>
      <c r="D56" s="407">
        <f>ROUND(+'[6]PART PEF2022'!U$11*'[6]Art.14 Frac.III'!R55,2)</f>
        <v>1534270.04</v>
      </c>
      <c r="E56" s="406">
        <f>ROUND(+IF('[6]PART PEF2022'!X$6&lt;1,'[6]CALCULO GARANTIA'!L56*'[6]PART PEF2022'!U$6,'[6]CALCULO GARANTIA'!W56+'[6]CALCULO GARANTIA'!M56),2)</f>
        <v>371785.01</v>
      </c>
      <c r="F56" s="406">
        <f>ROUND(+IF('[6]PART PEF2022'!X$7&lt;1,'[6]CALCULO GARANTIA'!N56*'[6]PART PEF2022'!U$7,'[6]CALCULO GARANTIA'!X56+'[6]CALCULO GARANTIA'!O56),2)</f>
        <v>730852.12</v>
      </c>
      <c r="G56" s="406">
        <f>ROUND(+IF('[6]PART PEF2022'!X$8&lt;1,'[6]CALCULO GARANTIA'!P56*'[6]PART PEF2022'!U$8,'[6]CALCULO GARANTIA'!Y56+'[6]CALCULO GARANTIA'!Q56),2)</f>
        <v>388064.27</v>
      </c>
      <c r="H56" s="406">
        <f>ROUND(+IF('[6]PART PEF2022'!X$9&lt;1,'[6]CALCULO GARANTIA'!R56*'[6]PART PEF2022'!U$9,'[6]CALCULO GARANTIA'!Z56+'[6]CALCULO GARANTIA'!S56),2)</f>
        <v>67833.88</v>
      </c>
      <c r="I56" s="406">
        <f>+ROUND('[6]COEF Art 14 F II'!L57,2)</f>
        <v>91110.88</v>
      </c>
      <c r="J56" s="406">
        <f>+'[6]ISR BI'!D54</f>
        <v>8823.19</v>
      </c>
      <c r="K56" s="408">
        <f t="shared" si="2"/>
        <v>18034813.459999997</v>
      </c>
      <c r="N56" s="404" t="s">
        <v>51</v>
      </c>
      <c r="O56" s="405">
        <v>12958539.263563316</v>
      </c>
      <c r="P56" s="406">
        <v>1839559.9343349533</v>
      </c>
      <c r="Q56" s="407">
        <v>2028013.5643068019</v>
      </c>
      <c r="R56" s="406">
        <v>364111.60722934647</v>
      </c>
      <c r="S56" s="406">
        <v>672966.2992707222</v>
      </c>
      <c r="T56" s="406">
        <v>388071.95489269879</v>
      </c>
      <c r="U56" s="406">
        <v>67835.329896035735</v>
      </c>
      <c r="V56" s="406">
        <v>91135.246854641198</v>
      </c>
      <c r="W56" s="406">
        <v>9689.595939490724</v>
      </c>
      <c r="X56" s="408">
        <f t="shared" si="3"/>
        <v>18419922.79628801</v>
      </c>
      <c r="Z56" s="404" t="s">
        <v>51</v>
      </c>
      <c r="AA56" s="409">
        <f t="shared" si="9"/>
        <v>36810.576436683536</v>
      </c>
      <c r="AB56" s="409">
        <f t="shared" si="9"/>
        <v>7164.2956650466658</v>
      </c>
      <c r="AC56" s="409">
        <f t="shared" si="9"/>
        <v>-493743.52430680185</v>
      </c>
      <c r="AD56" s="409">
        <f t="shared" si="9"/>
        <v>7673.4027706535417</v>
      </c>
      <c r="AE56" s="409">
        <f t="shared" si="9"/>
        <v>57885.820729277795</v>
      </c>
      <c r="AF56" s="409">
        <f t="shared" si="9"/>
        <v>-7.6848926987731829</v>
      </c>
      <c r="AG56" s="409">
        <f t="shared" si="8"/>
        <v>-1.4498960357304895</v>
      </c>
      <c r="AH56" s="409">
        <f t="shared" si="8"/>
        <v>-24.36685464119364</v>
      </c>
      <c r="AI56" s="409">
        <f t="shared" si="8"/>
        <v>-866.40593949072354</v>
      </c>
      <c r="AJ56" s="412">
        <f t="shared" si="5"/>
        <v>-385109.33628800669</v>
      </c>
      <c r="AL56" s="404" t="s">
        <v>51</v>
      </c>
      <c r="AM56" s="409">
        <f t="shared" si="11"/>
        <v>6135.0960727805896</v>
      </c>
      <c r="AN56" s="409">
        <f t="shared" si="11"/>
        <v>1194.0492775077776</v>
      </c>
      <c r="AO56" s="409">
        <f t="shared" si="11"/>
        <v>-82290.58738446697</v>
      </c>
      <c r="AP56" s="409">
        <f t="shared" si="10"/>
        <v>1278.9004617755902</v>
      </c>
      <c r="AQ56" s="409">
        <f t="shared" si="10"/>
        <v>9647.6367882129653</v>
      </c>
      <c r="AR56" s="409">
        <f t="shared" si="10"/>
        <v>-1.2808154497955304</v>
      </c>
      <c r="AS56" s="409">
        <f t="shared" si="10"/>
        <v>-0.24164933928841492</v>
      </c>
      <c r="AT56" s="409">
        <f t="shared" si="10"/>
        <v>-4.0611424401989398</v>
      </c>
      <c r="AU56" s="409">
        <f t="shared" si="10"/>
        <v>-144.40098991512059</v>
      </c>
      <c r="AV56" s="412">
        <f t="shared" si="6"/>
        <v>-64184.889381334462</v>
      </c>
    </row>
    <row r="57" spans="1:48" ht="14.25" thickTop="1" thickBot="1">
      <c r="A57" s="413" t="s">
        <v>52</v>
      </c>
      <c r="B57" s="414">
        <f t="shared" ref="B57:J57" si="12">SUM(B6:B56)</f>
        <v>4156923030.0500007</v>
      </c>
      <c r="C57" s="414">
        <f t="shared" si="12"/>
        <v>597627894.5200001</v>
      </c>
      <c r="D57" s="414">
        <f t="shared" si="12"/>
        <v>222483263.33999994</v>
      </c>
      <c r="E57" s="414">
        <f t="shared" si="12"/>
        <v>112727038.51000002</v>
      </c>
      <c r="F57" s="414">
        <f t="shared" si="12"/>
        <v>233324611.31</v>
      </c>
      <c r="G57" s="414">
        <f t="shared" si="12"/>
        <v>126653642.97</v>
      </c>
      <c r="H57" s="414">
        <f t="shared" si="12"/>
        <v>20767778.420000002</v>
      </c>
      <c r="I57" s="414">
        <f t="shared" si="12"/>
        <v>74576476.479999974</v>
      </c>
      <c r="J57" s="414">
        <f t="shared" si="12"/>
        <v>49892743.409999996</v>
      </c>
      <c r="K57" s="415">
        <f t="shared" si="2"/>
        <v>5594976479.0100012</v>
      </c>
      <c r="N57" s="413" t="s">
        <v>53</v>
      </c>
      <c r="O57" s="414">
        <f>SUM(O6:O56)</f>
        <v>4156923030.0640001</v>
      </c>
      <c r="P57" s="414">
        <f t="shared" ref="P57:X57" si="13">SUM(P6:P56)</f>
        <v>597627894.51799142</v>
      </c>
      <c r="Q57" s="414">
        <f t="shared" si="13"/>
        <v>222483262.91277573</v>
      </c>
      <c r="R57" s="414">
        <f t="shared" si="13"/>
        <v>112727038.47030164</v>
      </c>
      <c r="S57" s="414">
        <f t="shared" si="13"/>
        <v>233324611.32067168</v>
      </c>
      <c r="T57" s="414">
        <f t="shared" si="13"/>
        <v>126653642.94750001</v>
      </c>
      <c r="U57" s="414">
        <f t="shared" si="13"/>
        <v>20767778.375000007</v>
      </c>
      <c r="V57" s="414">
        <f t="shared" si="13"/>
        <v>74576476.390000015</v>
      </c>
      <c r="W57" s="414">
        <f t="shared" si="13"/>
        <v>49892743.390000015</v>
      </c>
      <c r="X57" s="416">
        <f t="shared" si="13"/>
        <v>5594976478.3882389</v>
      </c>
      <c r="Z57" s="413" t="s">
        <v>53</v>
      </c>
      <c r="AA57" s="417">
        <f>SUM(AA6:AA56)</f>
        <v>-1.3999847695231438E-2</v>
      </c>
      <c r="AB57" s="417">
        <f t="shared" ref="AB57:AJ57" si="14">SUM(AB6:AB56)</f>
        <v>2.0086246076971292E-3</v>
      </c>
      <c r="AC57" s="417">
        <f t="shared" si="14"/>
        <v>0.42722426215186715</v>
      </c>
      <c r="AD57" s="417">
        <f t="shared" si="14"/>
        <v>3.9698383829090744E-2</v>
      </c>
      <c r="AE57" s="417">
        <f t="shared" si="14"/>
        <v>-1.0671673924662173E-2</v>
      </c>
      <c r="AF57" s="417">
        <f t="shared" si="14"/>
        <v>2.2500000399304554E-2</v>
      </c>
      <c r="AG57" s="417">
        <f t="shared" si="14"/>
        <v>4.4999999132414814E-2</v>
      </c>
      <c r="AH57" s="417">
        <f t="shared" si="14"/>
        <v>8.9999993193487171E-2</v>
      </c>
      <c r="AI57" s="417">
        <f t="shared" si="14"/>
        <v>1.9999991369331838E-2</v>
      </c>
      <c r="AJ57" s="418">
        <f t="shared" si="14"/>
        <v>0.62175973452394828</v>
      </c>
      <c r="AL57" s="413" t="s">
        <v>53</v>
      </c>
      <c r="AM57" s="417">
        <f>SUM(AM6:AM56)</f>
        <v>-2.3333079216172337E-3</v>
      </c>
      <c r="AN57" s="417">
        <f t="shared" ref="AN57:AV57" si="15">SUM(AN6:AN56)</f>
        <v>3.3477076590315846E-4</v>
      </c>
      <c r="AO57" s="417">
        <f t="shared" si="15"/>
        <v>7.120404380839318E-2</v>
      </c>
      <c r="AP57" s="417">
        <f t="shared" si="15"/>
        <v>6.6163973183392955E-3</v>
      </c>
      <c r="AQ57" s="417">
        <f t="shared" si="15"/>
        <v>-1.7786123844416579E-3</v>
      </c>
      <c r="AR57" s="417">
        <f t="shared" si="15"/>
        <v>3.7500000677421763E-3</v>
      </c>
      <c r="AS57" s="417">
        <f t="shared" si="15"/>
        <v>7.4999998553586522E-3</v>
      </c>
      <c r="AT57" s="417">
        <f t="shared" si="15"/>
        <v>1.4999998861145336E-2</v>
      </c>
      <c r="AU57" s="417">
        <f t="shared" si="15"/>
        <v>3.3333319133816985E-3</v>
      </c>
      <c r="AV57" s="418">
        <f t="shared" si="15"/>
        <v>0.10362662227998953</v>
      </c>
    </row>
    <row r="58" spans="1:48" ht="16.5" customHeight="1">
      <c r="A58" s="15" t="s">
        <v>358</v>
      </c>
      <c r="B58" s="419"/>
      <c r="C58" s="420"/>
      <c r="D58" s="420"/>
      <c r="E58" s="51"/>
      <c r="J58" s="406"/>
    </row>
    <row r="59" spans="1:48">
      <c r="A59" s="17"/>
      <c r="B59" s="421"/>
    </row>
    <row r="60" spans="1:48">
      <c r="A60" s="17"/>
      <c r="B60" s="421"/>
    </row>
    <row r="61" spans="1:48" ht="16.5" customHeight="1"/>
  </sheetData>
  <mergeCells count="10">
    <mergeCell ref="A3:K3"/>
    <mergeCell ref="N3:X3"/>
    <mergeCell ref="Z3:AJ3"/>
    <mergeCell ref="A4:K4"/>
    <mergeCell ref="A1:K1"/>
    <mergeCell ref="N1:X1"/>
    <mergeCell ref="Z1:AJ1"/>
    <mergeCell ref="A2:K2"/>
    <mergeCell ref="N2:X2"/>
    <mergeCell ref="Z2:AJ2"/>
  </mergeCells>
  <printOptions horizontalCentered="1"/>
  <pageMargins left="0.19685039370078741" right="0.19685039370078741" top="0.35433070866141736" bottom="0.15748031496062992" header="0.35433070866141736" footer="0.15748031496062992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87"/>
  <sheetViews>
    <sheetView showGridLines="0" tabSelected="1" zoomScaleNormal="100" zoomScaleSheetLayoutView="100" workbookViewId="0">
      <selection activeCell="M7" sqref="M7"/>
    </sheetView>
  </sheetViews>
  <sheetFormatPr baseColWidth="10" defaultColWidth="11.42578125" defaultRowHeight="12.75"/>
  <cols>
    <col min="1" max="1" width="31" style="16" customWidth="1"/>
    <col min="2" max="2" width="17.85546875" style="52" customWidth="1"/>
    <col min="3" max="4" width="14.140625" style="52" bestFit="1" customWidth="1"/>
    <col min="5" max="5" width="15.42578125" style="52" customWidth="1"/>
    <col min="6" max="6" width="14.7109375" style="52" bestFit="1" customWidth="1"/>
    <col min="7" max="7" width="14.140625" style="52" bestFit="1" customWidth="1"/>
    <col min="8" max="8" width="13.140625" style="52" bestFit="1" customWidth="1"/>
    <col min="9" max="10" width="14.140625" style="52" bestFit="1" customWidth="1"/>
    <col min="11" max="12" width="14.140625" style="52" customWidth="1"/>
    <col min="13" max="13" width="15" style="52" bestFit="1" customWidth="1"/>
    <col min="14" max="14" width="12.5703125" style="16" bestFit="1" customWidth="1"/>
    <col min="15" max="15" width="24.85546875" style="16" customWidth="1"/>
    <col min="16" max="16" width="14.5703125" style="16" customWidth="1"/>
    <col min="17" max="16384" width="11.42578125" style="16"/>
  </cols>
  <sheetData>
    <row r="1" spans="1:21">
      <c r="A1" s="432" t="s">
        <v>109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239"/>
      <c r="O1" s="239"/>
      <c r="P1" s="239"/>
      <c r="Q1" s="239"/>
      <c r="R1" s="239"/>
      <c r="S1" s="239"/>
      <c r="T1" s="239"/>
      <c r="U1" s="239"/>
    </row>
    <row r="2" spans="1:21">
      <c r="A2" s="432" t="s">
        <v>254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239"/>
      <c r="O2" s="239"/>
      <c r="P2" s="239"/>
      <c r="Q2" s="239"/>
      <c r="R2" s="239"/>
      <c r="S2" s="239"/>
      <c r="T2" s="239"/>
      <c r="U2" s="239"/>
    </row>
    <row r="3" spans="1:21">
      <c r="A3" s="432" t="s">
        <v>359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239"/>
      <c r="O3" s="239"/>
      <c r="P3" s="239"/>
      <c r="Q3" s="239"/>
      <c r="R3" s="239"/>
      <c r="S3" s="239"/>
      <c r="T3" s="239"/>
      <c r="U3" s="239"/>
    </row>
    <row r="4" spans="1:21" ht="13.5" thickBot="1">
      <c r="A4" s="239" t="s">
        <v>154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384"/>
      <c r="M4" s="239"/>
      <c r="N4" s="239"/>
      <c r="O4" s="239"/>
      <c r="P4" s="239"/>
      <c r="Q4" s="239"/>
      <c r="R4" s="239"/>
      <c r="S4" s="239"/>
      <c r="T4" s="239"/>
      <c r="U4" s="239"/>
    </row>
    <row r="5" spans="1:21" ht="12.75" customHeight="1">
      <c r="A5" s="437" t="s">
        <v>0</v>
      </c>
      <c r="B5" s="433" t="s">
        <v>96</v>
      </c>
      <c r="C5" s="433" t="s">
        <v>125</v>
      </c>
      <c r="D5" s="433" t="s">
        <v>124</v>
      </c>
      <c r="E5" s="433" t="s">
        <v>97</v>
      </c>
      <c r="F5" s="433" t="s">
        <v>110</v>
      </c>
      <c r="G5" s="433" t="s">
        <v>122</v>
      </c>
      <c r="H5" s="433" t="s">
        <v>123</v>
      </c>
      <c r="I5" s="433" t="s">
        <v>150</v>
      </c>
      <c r="J5" s="433" t="s">
        <v>214</v>
      </c>
      <c r="K5" s="433" t="s">
        <v>215</v>
      </c>
      <c r="L5" s="433" t="s">
        <v>336</v>
      </c>
      <c r="M5" s="435" t="s">
        <v>53</v>
      </c>
      <c r="N5" s="239"/>
      <c r="O5" s="239"/>
      <c r="P5" s="239"/>
      <c r="Q5" s="239"/>
      <c r="R5" s="239"/>
      <c r="S5" s="239"/>
      <c r="T5" s="239"/>
      <c r="U5" s="239"/>
    </row>
    <row r="6" spans="1:21" ht="13.5" thickBot="1">
      <c r="A6" s="438"/>
      <c r="B6" s="434"/>
      <c r="C6" s="434"/>
      <c r="D6" s="434"/>
      <c r="E6" s="434"/>
      <c r="F6" s="434"/>
      <c r="G6" s="434"/>
      <c r="H6" s="434"/>
      <c r="I6" s="434"/>
      <c r="J6" s="434"/>
      <c r="K6" s="434"/>
      <c r="L6" s="434"/>
      <c r="M6" s="436"/>
    </row>
    <row r="7" spans="1:21">
      <c r="A7" s="148" t="s">
        <v>1</v>
      </c>
      <c r="B7" s="55">
        <f>ROUND(+'CALCULO GARANTIA'!C6+'CALCULO GARANTIA'!M6+AJUSTE!AM6,2)</f>
        <v>732638.52</v>
      </c>
      <c r="C7" s="55">
        <f>ROUND(+'CALCULO GARANTIA'!E6+'CALCULO GARANTIA'!N6+AJUSTE!AN6,2)</f>
        <v>99815.34</v>
      </c>
      <c r="D7" s="55">
        <f>ROUND(+'Art.14 Frac.III '!P5+AJUSTE!AO6,2)</f>
        <v>356407.8</v>
      </c>
      <c r="E7" s="55">
        <f>ROUND(+'CALCULO GARANTIA'!G6+'CALCULO GARANTIA'!O6+AJUSTE!AP6,2)</f>
        <v>25299.3</v>
      </c>
      <c r="F7" s="55">
        <f>ROUND('PART MES'!$E$7*'CALCULO GARANTIA'!H6+AJUSTE!AQ6,2)</f>
        <v>25497.74</v>
      </c>
      <c r="G7" s="55">
        <f>ROUND(+'CALCULO GARANTIA'!J6+'CALCULO GARANTIA'!Q6+AJUSTE!AR6,2)</f>
        <v>26986.46</v>
      </c>
      <c r="H7" s="55">
        <f>ROUND(+'CALCULO GARANTIA'!K6+'CALCULO GARANTIA'!R6+AJUSTE!AS6,2)</f>
        <v>4341.8</v>
      </c>
      <c r="I7" s="55">
        <f>ROUND(+'PART MES'!E$12*'COEF Art 14 F II ieps'!L8+AJUSTE!AT6,2)</f>
        <v>12471.1</v>
      </c>
      <c r="J7" s="55">
        <f>+'ISR agosto '!E6</f>
        <v>34549</v>
      </c>
      <c r="K7" s="55">
        <f>+ISAI!D4+AJUSTE!AU6</f>
        <v>1743.2637151087288</v>
      </c>
      <c r="L7" s="55">
        <f>ROUND('PART MES'!$O$4*'COEF Art 14 F I '!AF7,2)</f>
        <v>-2023.88</v>
      </c>
      <c r="M7" s="186">
        <f t="shared" ref="M7:M38" si="0">SUM(B7:L7)</f>
        <v>1317726.4437151088</v>
      </c>
    </row>
    <row r="8" spans="1:21">
      <c r="A8" s="149" t="s">
        <v>2</v>
      </c>
      <c r="B8" s="55">
        <f>ROUND(+'CALCULO GARANTIA'!C7+'CALCULO GARANTIA'!M7+AJUSTE!AM7,2)</f>
        <v>1408071.33</v>
      </c>
      <c r="C8" s="55">
        <f>ROUND(+'CALCULO GARANTIA'!E7+'CALCULO GARANTIA'!N7+AJUSTE!AN7,2)</f>
        <v>191935.48</v>
      </c>
      <c r="D8" s="55">
        <f>ROUND(+'Art.14 Frac.III '!P6+AJUSTE!AO7,2)</f>
        <v>548987.06000000006</v>
      </c>
      <c r="E8" s="55">
        <f>ROUND(+'CALCULO GARANTIA'!G7+'CALCULO GARANTIA'!O7+AJUSTE!AP7,2)</f>
        <v>48697.13</v>
      </c>
      <c r="F8" s="55">
        <f>ROUND('PART MES'!$E$7*'CALCULO GARANTIA'!H7+AJUSTE!AQ7,2)</f>
        <v>49983.93</v>
      </c>
      <c r="G8" s="55">
        <f>ROUND(+'CALCULO GARANTIA'!J7+'CALCULO GARANTIA'!Q7+AJUSTE!AR7,2)</f>
        <v>51141.919999999998</v>
      </c>
      <c r="H8" s="55">
        <f>ROUND(+'CALCULO GARANTIA'!K7+'CALCULO GARANTIA'!R7+AJUSTE!AS7,2)</f>
        <v>8339.51</v>
      </c>
      <c r="I8" s="55">
        <f>ROUND(+'PART MES'!E$12*'COEF Art 14 F II ieps'!L9+AJUSTE!AT7,2)</f>
        <v>16382.23</v>
      </c>
      <c r="J8" s="55">
        <f>+'ISR agosto '!E7</f>
        <v>491129</v>
      </c>
      <c r="K8" s="55">
        <f>+ISAI!D5+AJUSTE!AU7</f>
        <v>1922.5376831717542</v>
      </c>
      <c r="L8" s="55">
        <f>ROUND('PART MES'!$O$4*'COEF Art 14 F I '!AF8,2)</f>
        <v>-3677.91</v>
      </c>
      <c r="M8" s="186">
        <f t="shared" si="0"/>
        <v>2812912.2176831714</v>
      </c>
    </row>
    <row r="9" spans="1:21">
      <c r="A9" s="149" t="s">
        <v>3</v>
      </c>
      <c r="B9" s="55">
        <f>ROUND(+'CALCULO GARANTIA'!C8+'CALCULO GARANTIA'!M8+AJUSTE!AM8,2)</f>
        <v>1483080.8</v>
      </c>
      <c r="C9" s="55">
        <f>ROUND(+'CALCULO GARANTIA'!E8+'CALCULO GARANTIA'!N8+AJUSTE!AN8,2)</f>
        <v>201879.22</v>
      </c>
      <c r="D9" s="55">
        <f>ROUND(+'Art.14 Frac.III '!P7+AJUSTE!AO8,2)</f>
        <v>229129.26</v>
      </c>
      <c r="E9" s="55">
        <f>ROUND(+'CALCULO GARANTIA'!G8+'CALCULO GARANTIA'!O8+AJUSTE!AP8,2)</f>
        <v>51039.61</v>
      </c>
      <c r="F9" s="55">
        <f>ROUND('PART MES'!$E$7*'CALCULO GARANTIA'!H8+AJUSTE!AQ8,2)</f>
        <v>49715.85</v>
      </c>
      <c r="G9" s="55">
        <f>ROUND(+'CALCULO GARANTIA'!J8+'CALCULO GARANTIA'!Q8+AJUSTE!AR8,2)</f>
        <v>56122.99</v>
      </c>
      <c r="H9" s="55">
        <f>ROUND(+'CALCULO GARANTIA'!K8+'CALCULO GARANTIA'!R8+AJUSTE!AS8,2)</f>
        <v>8795.9699999999993</v>
      </c>
      <c r="I9" s="55">
        <f>ROUND(+'PART MES'!E$12*'COEF Art 14 F II ieps'!L10+AJUSTE!AT8,2)</f>
        <v>14317.55</v>
      </c>
      <c r="J9" s="55">
        <f>+'ISR agosto '!E8</f>
        <v>0</v>
      </c>
      <c r="K9" s="55">
        <f>+ISAI!D6+AJUSTE!AU8</f>
        <v>57.14699549766835</v>
      </c>
      <c r="L9" s="55">
        <f>ROUND('PART MES'!$O$4*'COEF Art 14 F I '!AF9,2)</f>
        <v>-4537.47</v>
      </c>
      <c r="M9" s="186">
        <f t="shared" si="0"/>
        <v>2089600.9269954979</v>
      </c>
    </row>
    <row r="10" spans="1:21">
      <c r="A10" s="149" t="s">
        <v>4</v>
      </c>
      <c r="B10" s="55">
        <f>ROUND(+'CALCULO GARANTIA'!C9+'CALCULO GARANTIA'!M9+AJUSTE!AM9,2)</f>
        <v>4113150.74</v>
      </c>
      <c r="C10" s="55">
        <f>ROUND(+'CALCULO GARANTIA'!E9+'CALCULO GARANTIA'!N9+AJUSTE!AN9,2)</f>
        <v>557158.22</v>
      </c>
      <c r="D10" s="55">
        <f>ROUND(+'Art.14 Frac.III '!P8+AJUSTE!AO9,2)</f>
        <v>314311.24</v>
      </c>
      <c r="E10" s="55">
        <f>ROUND(+'CALCULO GARANTIA'!G9+'CALCULO GARANTIA'!O9+AJUSTE!AP9,2)</f>
        <v>140605.95000000001</v>
      </c>
      <c r="F10" s="55">
        <f>ROUND('PART MES'!$E$7*'CALCULO GARANTIA'!H9+AJUSTE!AQ9,2)</f>
        <v>110118.62</v>
      </c>
      <c r="G10" s="55">
        <f>ROUND(+'CALCULO GARANTIA'!J9+'CALCULO GARANTIA'!Q9+AJUSTE!AR9,2)</f>
        <v>173132.96</v>
      </c>
      <c r="H10" s="55">
        <f>ROUND(+'CALCULO GARANTIA'!K9+'CALCULO GARANTIA'!R9+AJUSTE!AS9,2)</f>
        <v>24573.06</v>
      </c>
      <c r="I10" s="55">
        <f>ROUND(+'PART MES'!E$12*'COEF Art 14 F II ieps'!L11+AJUSTE!AT9,2)</f>
        <v>137994.22</v>
      </c>
      <c r="J10" s="55">
        <f>+'ISR agosto '!E9</f>
        <v>693791</v>
      </c>
      <c r="K10" s="55">
        <f>+ISAI!D7+AJUSTE!AU9</f>
        <v>110015.45982246081</v>
      </c>
      <c r="L10" s="55">
        <f>ROUND('PART MES'!$O$4*'COEF Art 14 F I '!AF10,2)</f>
        <v>-17617.189999999999</v>
      </c>
      <c r="M10" s="186">
        <f t="shared" si="0"/>
        <v>6357234.2798224604</v>
      </c>
    </row>
    <row r="11" spans="1:21">
      <c r="A11" s="149" t="s">
        <v>5</v>
      </c>
      <c r="B11" s="55">
        <f>ROUND(+'CALCULO GARANTIA'!C10+'CALCULO GARANTIA'!M10+AJUSTE!AM10,2)</f>
        <v>5121954.09</v>
      </c>
      <c r="C11" s="55">
        <f>ROUND(+'CALCULO GARANTIA'!E10+'CALCULO GARANTIA'!N10+AJUSTE!AN10,2)</f>
        <v>697606.69</v>
      </c>
      <c r="D11" s="55">
        <f>ROUND(+'Art.14 Frac.III '!P9+AJUSTE!AO10,2)</f>
        <v>-169943.14</v>
      </c>
      <c r="E11" s="55">
        <f>ROUND(+'CALCULO GARANTIA'!G10+'CALCULO GARANTIA'!O10+AJUSTE!AP10,2)</f>
        <v>176861.94</v>
      </c>
      <c r="F11" s="55">
        <f>ROUND('PART MES'!$E$7*'CALCULO GARANTIA'!H10+AJUSTE!AQ10,2)</f>
        <v>176369.72</v>
      </c>
      <c r="G11" s="55">
        <f>ROUND(+'CALCULO GARANTIA'!J10+'CALCULO GARANTIA'!Q10+AJUSTE!AR10,2)</f>
        <v>189685.83</v>
      </c>
      <c r="H11" s="55">
        <f>ROUND(+'CALCULO GARANTIA'!K10+'CALCULO GARANTIA'!R10+AJUSTE!AS10,2)</f>
        <v>30371.74</v>
      </c>
      <c r="I11" s="55">
        <f>ROUND(+'PART MES'!E$12*'COEF Art 14 F II ieps'!L12+AJUSTE!AT10,2)</f>
        <v>83692.42</v>
      </c>
      <c r="J11" s="55">
        <f>+'ISR agosto '!E10</f>
        <v>261997</v>
      </c>
      <c r="K11" s="55">
        <f>+ISAI!D8+AJUSTE!AU10</f>
        <v>21044.888014083666</v>
      </c>
      <c r="L11" s="55">
        <f>ROUND('PART MES'!$O$4*'COEF Art 14 F I '!AF11,2)</f>
        <v>-14436.07</v>
      </c>
      <c r="M11" s="186">
        <f t="shared" si="0"/>
        <v>6575205.1080140835</v>
      </c>
    </row>
    <row r="12" spans="1:21">
      <c r="A12" s="149" t="s">
        <v>6</v>
      </c>
      <c r="B12" s="55">
        <f>ROUND(+'CALCULO GARANTIA'!C11+'CALCULO GARANTIA'!M11+AJUSTE!AM11,2)</f>
        <v>36615934.469999999</v>
      </c>
      <c r="C12" s="55">
        <f>ROUND(+'CALCULO GARANTIA'!E11+'CALCULO GARANTIA'!N11+AJUSTE!AN11,2)</f>
        <v>4939083.55</v>
      </c>
      <c r="D12" s="55">
        <f>ROUND(+'Art.14 Frac.III '!P10+AJUSTE!AO11,2)</f>
        <v>1107580.3799999999</v>
      </c>
      <c r="E12" s="55">
        <f>ROUND(+'CALCULO GARANTIA'!G11+'CALCULO GARANTIA'!O11+AJUSTE!AP11,2)</f>
        <v>1205811.3400000001</v>
      </c>
      <c r="F12" s="55">
        <f>ROUND('PART MES'!$E$7*'CALCULO GARANTIA'!H11+AJUSTE!AQ11,2)</f>
        <v>697711.5</v>
      </c>
      <c r="G12" s="55">
        <f>ROUND(+'CALCULO GARANTIA'!J11+'CALCULO GARANTIA'!Q11+AJUSTE!AR11,2)</f>
        <v>1820782.5</v>
      </c>
      <c r="H12" s="55">
        <f>ROUND(+'CALCULO GARANTIA'!K11+'CALCULO GARANTIA'!R11+AJUSTE!AS11,2)</f>
        <v>218310.92</v>
      </c>
      <c r="I12" s="55">
        <f>ROUND(+'PART MES'!E$12*'COEF Art 14 F II ieps'!L13+AJUSTE!AT11,2)</f>
        <v>2323847.39</v>
      </c>
      <c r="J12" s="55">
        <f>+'ISR agosto '!E11</f>
        <v>2257832</v>
      </c>
      <c r="K12" s="55">
        <f>+ISAI!D9+AJUSTE!AU11</f>
        <v>1446755.7729722941</v>
      </c>
      <c r="L12" s="55">
        <f>ROUND('PART MES'!$O$4*'COEF Art 14 F I '!AF12,2)</f>
        <v>-241003.48</v>
      </c>
      <c r="M12" s="186">
        <f t="shared" si="0"/>
        <v>52392646.342972301</v>
      </c>
    </row>
    <row r="13" spans="1:21">
      <c r="A13" s="149" t="s">
        <v>7</v>
      </c>
      <c r="B13" s="55">
        <f>ROUND(+'CALCULO GARANTIA'!C12+'CALCULO GARANTIA'!M12+AJUSTE!AM12,2)</f>
        <v>5818790.71</v>
      </c>
      <c r="C13" s="55">
        <f>ROUND(+'CALCULO GARANTIA'!E12+'CALCULO GARANTIA'!N12+AJUSTE!AN12,2)</f>
        <v>793790.12</v>
      </c>
      <c r="D13" s="55">
        <f>ROUND(+'Art.14 Frac.III '!P11+AJUSTE!AO12,2)</f>
        <v>811367.45</v>
      </c>
      <c r="E13" s="55">
        <f>ROUND(+'CALCULO GARANTIA'!G12+'CALCULO GARANTIA'!O12+AJUSTE!AP12,2)</f>
        <v>202153.01</v>
      </c>
      <c r="F13" s="55">
        <f>ROUND('PART MES'!$E$7*'CALCULO GARANTIA'!H12+AJUSTE!AQ12,2)</f>
        <v>214063.17</v>
      </c>
      <c r="G13" s="55">
        <f>ROUND(+'CALCULO GARANTIA'!J12+'CALCULO GARANTIA'!Q12+AJUSTE!AR12,2)</f>
        <v>204778.39</v>
      </c>
      <c r="H13" s="55">
        <f>ROUND(+'CALCULO GARANTIA'!K12+'CALCULO GARANTIA'!R12+AJUSTE!AS12,2)</f>
        <v>34453.64</v>
      </c>
      <c r="I13" s="55">
        <f>ROUND(+'PART MES'!E$12*'COEF Art 14 F II ieps'!L14+AJUSTE!AT12,2)</f>
        <v>74206.3</v>
      </c>
      <c r="J13" s="55">
        <f>+'ISR agosto '!E12</f>
        <v>-74482</v>
      </c>
      <c r="K13" s="55">
        <f>+ISAI!D10+AJUSTE!AU12</f>
        <v>6764.2616637938818</v>
      </c>
      <c r="L13" s="55">
        <f>ROUND('PART MES'!$O$4*'COEF Art 14 F I '!AF13,2)</f>
        <v>-13243.04</v>
      </c>
      <c r="M13" s="186">
        <f t="shared" si="0"/>
        <v>8072642.0116637927</v>
      </c>
    </row>
    <row r="14" spans="1:21">
      <c r="A14" s="149" t="s">
        <v>8</v>
      </c>
      <c r="B14" s="55">
        <f>ROUND(+'CALCULO GARANTIA'!C13+'CALCULO GARANTIA'!M13+AJUSTE!AM13,2)</f>
        <v>942252.02</v>
      </c>
      <c r="C14" s="55">
        <f>ROUND(+'CALCULO GARANTIA'!E13+'CALCULO GARANTIA'!N13+AJUSTE!AN13,2)</f>
        <v>127924.17</v>
      </c>
      <c r="D14" s="55">
        <f>ROUND(+'Art.14 Frac.III '!P12+AJUSTE!AO13,2)</f>
        <v>489338.13</v>
      </c>
      <c r="E14" s="55">
        <f>ROUND(+'CALCULO GARANTIA'!G13+'CALCULO GARANTIA'!O13+AJUSTE!AP13,2)</f>
        <v>32008.16</v>
      </c>
      <c r="F14" s="55">
        <f>ROUND('PART MES'!$E$7*'CALCULO GARANTIA'!H13+AJUSTE!AQ13,2)</f>
        <v>27731.58</v>
      </c>
      <c r="G14" s="55">
        <f>ROUND(+'CALCULO GARANTIA'!J13+'CALCULO GARANTIA'!Q13+AJUSTE!AR13,2)</f>
        <v>38881.89</v>
      </c>
      <c r="H14" s="55">
        <f>ROUND(+'CALCULO GARANTIA'!K13+'CALCULO GARANTIA'!R13+AJUSTE!AS13,2)</f>
        <v>5596.89</v>
      </c>
      <c r="I14" s="55">
        <f>ROUND(+'PART MES'!E$12*'COEF Art 14 F II ieps'!L15+AJUSTE!AT13,2)</f>
        <v>19589.099999999999</v>
      </c>
      <c r="J14" s="55">
        <f>+'ISR agosto '!E13</f>
        <v>113411</v>
      </c>
      <c r="K14" s="55">
        <f>+ISAI!D11+AJUSTE!AU13</f>
        <v>-347.4002398709797</v>
      </c>
      <c r="L14" s="55">
        <f>ROUND('PART MES'!$O$4*'COEF Art 14 F I '!AF14,2)</f>
        <v>-3839.72</v>
      </c>
      <c r="M14" s="186">
        <f t="shared" si="0"/>
        <v>1792545.8197601289</v>
      </c>
    </row>
    <row r="15" spans="1:21">
      <c r="A15" s="149" t="s">
        <v>9</v>
      </c>
      <c r="B15" s="55">
        <f>ROUND(+'CALCULO GARANTIA'!C14+'CALCULO GARANTIA'!M14+AJUSTE!AM14,2)</f>
        <v>9381795.6400000006</v>
      </c>
      <c r="C15" s="55">
        <f>ROUND(+'CALCULO GARANTIA'!E14+'CALCULO GARANTIA'!N14+AJUSTE!AN14,2)</f>
        <v>1273953.82</v>
      </c>
      <c r="D15" s="55">
        <f>ROUND(+'Art.14 Frac.III '!P13+AJUSTE!AO14,2)</f>
        <v>594933.18000000005</v>
      </c>
      <c r="E15" s="55">
        <f>ROUND(+'CALCULO GARANTIA'!G14+'CALCULO GARANTIA'!O14+AJUSTE!AP14,2)</f>
        <v>318273.68</v>
      </c>
      <c r="F15" s="55">
        <f>ROUND('PART MES'!$E$7*'CALCULO GARANTIA'!H14+AJUSTE!AQ14,2)</f>
        <v>276292.57</v>
      </c>
      <c r="G15" s="55">
        <f>ROUND(+'CALCULO GARANTIA'!J14+'CALCULO GARANTIA'!Q14+AJUSTE!AR14,2)</f>
        <v>388325.38</v>
      </c>
      <c r="H15" s="55">
        <f>ROUND(+'CALCULO GARANTIA'!K14+'CALCULO GARANTIA'!R14+AJUSTE!AS14,2)</f>
        <v>55680.76</v>
      </c>
      <c r="I15" s="55">
        <f>ROUND(+'PART MES'!E$12*'COEF Art 14 F II ieps'!L16+AJUSTE!AT14,2)</f>
        <v>392506.73</v>
      </c>
      <c r="J15" s="55">
        <f>+'ISR agosto '!E14</f>
        <v>-1384406</v>
      </c>
      <c r="K15" s="55">
        <f>+ISAI!D12+AJUSTE!AU14</f>
        <v>83292.518545333325</v>
      </c>
      <c r="L15" s="55">
        <f>ROUND('PART MES'!$O$4*'COEF Art 14 F I '!AF15,2)</f>
        <v>-38626.86</v>
      </c>
      <c r="M15" s="186">
        <f t="shared" si="0"/>
        <v>11342021.418545336</v>
      </c>
    </row>
    <row r="16" spans="1:21">
      <c r="A16" s="149" t="s">
        <v>10</v>
      </c>
      <c r="B16" s="55">
        <f>ROUND(+'CALCULO GARANTIA'!C15+'CALCULO GARANTIA'!M15+AJUSTE!AM15,2)</f>
        <v>1808626.08</v>
      </c>
      <c r="C16" s="55">
        <f>ROUND(+'CALCULO GARANTIA'!E15+'CALCULO GARANTIA'!N15+AJUSTE!AN15,2)</f>
        <v>237917.63</v>
      </c>
      <c r="D16" s="55">
        <f>ROUND(+'Art.14 Frac.III '!P14+AJUSTE!AO15,2)</f>
        <v>198682.97</v>
      </c>
      <c r="E16" s="55">
        <f>ROUND(+'CALCULO GARANTIA'!G15+'CALCULO GARANTIA'!O15+AJUSTE!AP15,2)</f>
        <v>53320.76</v>
      </c>
      <c r="F16" s="55">
        <f>ROUND('PART MES'!$E$7*'CALCULO GARANTIA'!H15+AJUSTE!AQ15,2)</f>
        <v>-29459.5</v>
      </c>
      <c r="G16" s="55">
        <f>ROUND(+'CALCULO GARANTIA'!J15+'CALCULO GARANTIA'!Q15+AJUSTE!AR15,2)</f>
        <v>141218.44</v>
      </c>
      <c r="H16" s="55">
        <f>ROUND(+'CALCULO GARANTIA'!K15+'CALCULO GARANTIA'!R15+AJUSTE!AS15,2)</f>
        <v>11011.13</v>
      </c>
      <c r="I16" s="55">
        <f>ROUND(+'PART MES'!E$12*'COEF Art 14 F II ieps'!L17+AJUSTE!AT15,2)</f>
        <v>264411</v>
      </c>
      <c r="J16" s="55">
        <f>+'ISR agosto '!E15</f>
        <v>-52132</v>
      </c>
      <c r="K16" s="55">
        <f>+ISAI!D13+AJUSTE!AU15</f>
        <v>30938.285514430692</v>
      </c>
      <c r="L16" s="55">
        <f>ROUND('PART MES'!$O$4*'COEF Art 14 F I '!AF16,2)</f>
        <v>-27044.21</v>
      </c>
      <c r="M16" s="186">
        <f t="shared" si="0"/>
        <v>2637490.5855144304</v>
      </c>
    </row>
    <row r="17" spans="1:13">
      <c r="A17" s="149" t="s">
        <v>11</v>
      </c>
      <c r="B17" s="55">
        <f>ROUND(+'CALCULO GARANTIA'!C16+'CALCULO GARANTIA'!M16+AJUSTE!AM16,2)</f>
        <v>2264256.85</v>
      </c>
      <c r="C17" s="55">
        <f>ROUND(+'CALCULO GARANTIA'!E16+'CALCULO GARANTIA'!N16+AJUSTE!AN16,2)</f>
        <v>306936.84999999998</v>
      </c>
      <c r="D17" s="55">
        <f>ROUND(+'Art.14 Frac.III '!P15+AJUSTE!AO16,2)</f>
        <v>-102234.52</v>
      </c>
      <c r="E17" s="55">
        <f>ROUND(+'CALCULO GARANTIA'!G16+'CALCULO GARANTIA'!O16+AJUSTE!AP16,2)</f>
        <v>76721.36</v>
      </c>
      <c r="F17" s="55">
        <f>ROUND('PART MES'!$E$7*'CALCULO GARANTIA'!H16+AJUSTE!AQ16,2)</f>
        <v>62202.46</v>
      </c>
      <c r="G17" s="55">
        <f>ROUND(+'CALCULO GARANTIA'!J16+'CALCULO GARANTIA'!Q16+AJUSTE!AR16,2)</f>
        <v>96325.1</v>
      </c>
      <c r="H17" s="55">
        <f>ROUND(+'CALCULO GARANTIA'!K16+'CALCULO GARANTIA'!R16+AJUSTE!AS16,2)</f>
        <v>13480.51</v>
      </c>
      <c r="I17" s="55">
        <f>ROUND(+'PART MES'!E$12*'COEF Art 14 F II ieps'!L18+AJUSTE!AT16,2)</f>
        <v>43833.59</v>
      </c>
      <c r="J17" s="55">
        <f>+'ISR agosto '!E16</f>
        <v>0</v>
      </c>
      <c r="K17" s="55">
        <f>+ISAI!D14+AJUSTE!AU16</f>
        <v>3372.3872335711471</v>
      </c>
      <c r="L17" s="55">
        <f>ROUND('PART MES'!$O$4*'COEF Art 14 F I '!AF17,2)</f>
        <v>-10060.84</v>
      </c>
      <c r="M17" s="186">
        <f t="shared" si="0"/>
        <v>2754833.747233571</v>
      </c>
    </row>
    <row r="18" spans="1:13">
      <c r="A18" s="149" t="s">
        <v>12</v>
      </c>
      <c r="B18" s="55">
        <f>ROUND(+'CALCULO GARANTIA'!C17+'CALCULO GARANTIA'!M17+AJUSTE!AM17,2)</f>
        <v>4693971.57</v>
      </c>
      <c r="C18" s="55">
        <f>ROUND(+'CALCULO GARANTIA'!E17+'CALCULO GARANTIA'!N17+AJUSTE!AN17,2)</f>
        <v>639477.79</v>
      </c>
      <c r="D18" s="55">
        <f>ROUND(+'Art.14 Frac.III '!P16+AJUSTE!AO17,2)</f>
        <v>559672.81000000006</v>
      </c>
      <c r="E18" s="55">
        <f>ROUND(+'CALCULO GARANTIA'!G17+'CALCULO GARANTIA'!O17+AJUSTE!AP17,2)</f>
        <v>162013.81</v>
      </c>
      <c r="F18" s="55">
        <f>ROUND('PART MES'!$E$7*'CALCULO GARANTIA'!H17+AJUSTE!AQ17,2)</f>
        <v>162870.25</v>
      </c>
      <c r="G18" s="55">
        <f>ROUND(+'CALCULO GARANTIA'!J17+'CALCULO GARANTIA'!Q17+AJUSTE!AR17,2)</f>
        <v>173382.59</v>
      </c>
      <c r="H18" s="55">
        <f>ROUND(+'CALCULO GARANTIA'!K17+'CALCULO GARANTIA'!R17+AJUSTE!AS17,2)</f>
        <v>27816.55</v>
      </c>
      <c r="I18" s="55">
        <f>ROUND(+'PART MES'!E$12*'COEF Art 14 F II ieps'!L19+AJUSTE!AT17,2)</f>
        <v>59357.599999999999</v>
      </c>
      <c r="J18" s="55">
        <f>+'ISR agosto '!E17</f>
        <v>323056</v>
      </c>
      <c r="K18" s="55">
        <f>+ISAI!D15+AJUSTE!AU17</f>
        <v>3312.3808452331014</v>
      </c>
      <c r="L18" s="55">
        <f>ROUND('PART MES'!$O$4*'COEF Art 14 F I '!AF18,2)</f>
        <v>-13112.04</v>
      </c>
      <c r="M18" s="186">
        <f t="shared" si="0"/>
        <v>6791819.3108452316</v>
      </c>
    </row>
    <row r="19" spans="1:13">
      <c r="A19" s="149" t="s">
        <v>13</v>
      </c>
      <c r="B19" s="55">
        <f>ROUND(+'CALCULO GARANTIA'!C18+'CALCULO GARANTIA'!M18+AJUSTE!AM18,2)</f>
        <v>2529936.9700000002</v>
      </c>
      <c r="C19" s="55">
        <f>ROUND(+'CALCULO GARANTIA'!E18+'CALCULO GARANTIA'!N18+AJUSTE!AN18,2)</f>
        <v>339652.52</v>
      </c>
      <c r="D19" s="55">
        <f>ROUND(+'Art.14 Frac.III '!P17+AJUSTE!AO18,2)</f>
        <v>302382.7</v>
      </c>
      <c r="E19" s="55">
        <f>ROUND(+'CALCULO GARANTIA'!G18+'CALCULO GARANTIA'!O18+AJUSTE!AP18,2)</f>
        <v>82024.070000000007</v>
      </c>
      <c r="F19" s="55">
        <f>ROUND('PART MES'!$E$7*'CALCULO GARANTIA'!H18+AJUSTE!AQ18,2)</f>
        <v>32528.799999999999</v>
      </c>
      <c r="G19" s="55">
        <f>ROUND(+'CALCULO GARANTIA'!J18+'CALCULO GARANTIA'!Q18+AJUSTE!AR18,2)</f>
        <v>137658.76</v>
      </c>
      <c r="H19" s="55">
        <f>ROUND(+'CALCULO GARANTIA'!K18+'CALCULO GARANTIA'!R18+AJUSTE!AS18,2)</f>
        <v>15165.01</v>
      </c>
      <c r="I19" s="55">
        <f>ROUND(+'PART MES'!E$12*'COEF Art 14 F II ieps'!L20+AJUSTE!AT18,2)</f>
        <v>205898.11</v>
      </c>
      <c r="J19" s="55">
        <f>+'ISR agosto '!E18</f>
        <v>0</v>
      </c>
      <c r="K19" s="55">
        <f>+ISAI!D16+AJUSTE!AU18</f>
        <v>249691.14323517776</v>
      </c>
      <c r="L19" s="55">
        <f>ROUND('PART MES'!$O$4*'COEF Art 14 F I '!AF19,2)</f>
        <v>-20126.71</v>
      </c>
      <c r="M19" s="186">
        <f t="shared" si="0"/>
        <v>3874811.3732351777</v>
      </c>
    </row>
    <row r="20" spans="1:13">
      <c r="A20" s="149" t="s">
        <v>14</v>
      </c>
      <c r="B20" s="55">
        <f>ROUND(+'CALCULO GARANTIA'!C19+'CALCULO GARANTIA'!M19+AJUSTE!AM19,2)</f>
        <v>13092988.310000001</v>
      </c>
      <c r="C20" s="55">
        <f>ROUND(+'CALCULO GARANTIA'!E19+'CALCULO GARANTIA'!N19+AJUSTE!AN19,2)</f>
        <v>1786329.79</v>
      </c>
      <c r="D20" s="55">
        <f>ROUND(+'Art.14 Frac.III '!P18+AJUSTE!AO19,2)</f>
        <v>286575.84999999998</v>
      </c>
      <c r="E20" s="55">
        <f>ROUND(+'CALCULO GARANTIA'!G19+'CALCULO GARANTIA'!O19+AJUSTE!AP19,2)</f>
        <v>455030.98</v>
      </c>
      <c r="F20" s="55">
        <f>ROUND('PART MES'!$E$7*'CALCULO GARANTIA'!H19+AJUSTE!AQ19,2)</f>
        <v>483882.18</v>
      </c>
      <c r="G20" s="55">
        <f>ROUND(+'CALCULO GARANTIA'!J19+'CALCULO GARANTIA'!Q19+AJUSTE!AR19,2)</f>
        <v>459142.26</v>
      </c>
      <c r="H20" s="55">
        <f>ROUND(+'CALCULO GARANTIA'!K19+'CALCULO GARANTIA'!R19+AJUSTE!AS19,2)</f>
        <v>77515.509999999995</v>
      </c>
      <c r="I20" s="55">
        <f>ROUND(+'PART MES'!E$12*'COEF Art 14 F II ieps'!L21+AJUSTE!AT19,2)</f>
        <v>165903.89000000001</v>
      </c>
      <c r="J20" s="55">
        <f>+'ISR agosto '!E19</f>
        <v>0</v>
      </c>
      <c r="K20" s="55">
        <f>+ISAI!D17+AJUSTE!AU19</f>
        <v>744.27630484360179</v>
      </c>
      <c r="L20" s="55">
        <f>ROUND('PART MES'!$O$4*'COEF Art 14 F I '!AF20,2)</f>
        <v>-29319.47</v>
      </c>
      <c r="M20" s="186">
        <f t="shared" si="0"/>
        <v>16778793.576304846</v>
      </c>
    </row>
    <row r="21" spans="1:13">
      <c r="A21" s="149" t="s">
        <v>15</v>
      </c>
      <c r="B21" s="55">
        <f>ROUND(+'CALCULO GARANTIA'!C20+'CALCULO GARANTIA'!M20+AJUSTE!AM20,2)</f>
        <v>1665605.11</v>
      </c>
      <c r="C21" s="55">
        <f>ROUND(+'CALCULO GARANTIA'!E20+'CALCULO GARANTIA'!N20+AJUSTE!AN20,2)</f>
        <v>227048.97</v>
      </c>
      <c r="D21" s="55">
        <f>ROUND(+'Art.14 Frac.III '!P19+AJUSTE!AO20,2)</f>
        <v>254277.48</v>
      </c>
      <c r="E21" s="55">
        <f>ROUND(+'CALCULO GARANTIA'!G20+'CALCULO GARANTIA'!O20+AJUSTE!AP20,2)</f>
        <v>57672.79</v>
      </c>
      <c r="F21" s="55">
        <f>ROUND('PART MES'!$E$7*'CALCULO GARANTIA'!H20+AJUSTE!AQ20,2)</f>
        <v>59392.77</v>
      </c>
      <c r="G21" s="55">
        <f>ROUND(+'CALCULO GARANTIA'!J20+'CALCULO GARANTIA'!Q20+AJUSTE!AR20,2)</f>
        <v>60155.86</v>
      </c>
      <c r="H21" s="55">
        <f>ROUND(+'CALCULO GARANTIA'!K20+'CALCULO GARANTIA'!R20+AJUSTE!AS20,2)</f>
        <v>9867.57</v>
      </c>
      <c r="I21" s="55">
        <f>ROUND(+'PART MES'!E$12*'COEF Art 14 F II ieps'!L22+AJUSTE!AT20,2)</f>
        <v>14041.42</v>
      </c>
      <c r="J21" s="55">
        <f>+'ISR agosto '!E20</f>
        <v>27763</v>
      </c>
      <c r="K21" s="55">
        <f>+ISAI!D18+AJUSTE!AU20</f>
        <v>86.302497289241145</v>
      </c>
      <c r="L21" s="55">
        <f>ROUND('PART MES'!$O$4*'COEF Art 14 F I '!AF21,2)</f>
        <v>-4246.22</v>
      </c>
      <c r="M21" s="186">
        <f t="shared" si="0"/>
        <v>2371665.0524972887</v>
      </c>
    </row>
    <row r="22" spans="1:13">
      <c r="A22" s="149" t="s">
        <v>16</v>
      </c>
      <c r="B22" s="55">
        <f>ROUND(+'CALCULO GARANTIA'!C21+'CALCULO GARANTIA'!M21+AJUSTE!AM21,2)</f>
        <v>1170186.71</v>
      </c>
      <c r="C22" s="55">
        <f>ROUND(+'CALCULO GARANTIA'!E21+'CALCULO GARANTIA'!N21+AJUSTE!AN21,2)</f>
        <v>159546.9</v>
      </c>
      <c r="D22" s="55">
        <f>ROUND(+'Art.14 Frac.III '!P20+AJUSTE!AO21,2)</f>
        <v>949244.85</v>
      </c>
      <c r="E22" s="55">
        <f>ROUND(+'CALCULO GARANTIA'!G21+'CALCULO GARANTIA'!O21+AJUSTE!AP21,2)</f>
        <v>40425.31</v>
      </c>
      <c r="F22" s="55">
        <f>ROUND('PART MES'!$E$7*'CALCULO GARANTIA'!H21+AJUSTE!AQ21,2)</f>
        <v>41759.93</v>
      </c>
      <c r="G22" s="55">
        <f>ROUND(+'CALCULO GARANTIA'!J21+'CALCULO GARANTIA'!Q21+AJUSTE!AR21,2)</f>
        <v>42513.31</v>
      </c>
      <c r="H22" s="55">
        <f>ROUND(+'CALCULO GARANTIA'!K21+'CALCULO GARANTIA'!R21+AJUSTE!AS21,2)</f>
        <v>6925.15</v>
      </c>
      <c r="I22" s="55">
        <f>ROUND(+'PART MES'!E$12*'COEF Art 14 F II ieps'!L23+AJUSTE!AT21,2)</f>
        <v>15805.39</v>
      </c>
      <c r="J22" s="55">
        <f>+'ISR agosto '!E21</f>
        <v>100400</v>
      </c>
      <c r="K22" s="55">
        <f>+ISAI!D19+AJUSTE!AU21</f>
        <v>135.27113195504671</v>
      </c>
      <c r="L22" s="55">
        <f>ROUND('PART MES'!$O$4*'COEF Art 14 F I '!AF22,2)</f>
        <v>-3065.61</v>
      </c>
      <c r="M22" s="186">
        <f t="shared" si="0"/>
        <v>2523877.2111319555</v>
      </c>
    </row>
    <row r="23" spans="1:13">
      <c r="A23" s="149" t="s">
        <v>17</v>
      </c>
      <c r="B23" s="55">
        <f>ROUND(+'CALCULO GARANTIA'!C22+'CALCULO GARANTIA'!M22+AJUSTE!AM22,2)</f>
        <v>10185631.199999999</v>
      </c>
      <c r="C23" s="55">
        <f>ROUND(+'CALCULO GARANTIA'!E22+'CALCULO GARANTIA'!N22+AJUSTE!AN22,2)</f>
        <v>1387927.51</v>
      </c>
      <c r="D23" s="55">
        <f>ROUND(+'Art.14 Frac.III '!P21+AJUSTE!AO22,2)</f>
        <v>157476.29</v>
      </c>
      <c r="E23" s="55">
        <f>ROUND(+'CALCULO GARANTIA'!G22+'CALCULO GARANTIA'!O22+AJUSTE!AP22,2)</f>
        <v>352099.77</v>
      </c>
      <c r="F23" s="55">
        <f>ROUND('PART MES'!$E$7*'CALCULO GARANTIA'!H22+AJUSTE!AQ22,2)</f>
        <v>357337.9</v>
      </c>
      <c r="G23" s="55">
        <f>ROUND(+'CALCULO GARANTIA'!J22+'CALCULO GARANTIA'!Q22+AJUSTE!AR22,2)</f>
        <v>372618.69</v>
      </c>
      <c r="H23" s="55">
        <f>ROUND(+'CALCULO GARANTIA'!K22+'CALCULO GARANTIA'!R22+AJUSTE!AS22,2)</f>
        <v>60361.32</v>
      </c>
      <c r="I23" s="55">
        <f>ROUND(+'PART MES'!E$12*'COEF Art 14 F II ieps'!L24+AJUSTE!AT22,2)</f>
        <v>177403.37</v>
      </c>
      <c r="J23" s="55">
        <f>+'ISR agosto '!E22</f>
        <v>1011765</v>
      </c>
      <c r="K23" s="55">
        <f>+ISAI!D20+AJUSTE!AU22</f>
        <v>4551.2126975468755</v>
      </c>
      <c r="L23" s="55">
        <f>ROUND('PART MES'!$O$4*'COEF Art 14 F I '!AF23,2)</f>
        <v>-27370.799999999999</v>
      </c>
      <c r="M23" s="186">
        <f t="shared" si="0"/>
        <v>14039801.462697543</v>
      </c>
    </row>
    <row r="24" spans="1:13">
      <c r="A24" s="149" t="s">
        <v>18</v>
      </c>
      <c r="B24" s="55">
        <f>ROUND(+'CALCULO GARANTIA'!C23+'CALCULO GARANTIA'!M23+AJUSTE!AM23,2)</f>
        <v>13324882.99</v>
      </c>
      <c r="C24" s="55">
        <f>ROUND(+'CALCULO GARANTIA'!E23+'CALCULO GARANTIA'!N23+AJUSTE!AN23,2)</f>
        <v>1787764.67</v>
      </c>
      <c r="D24" s="55">
        <f>ROUND(+'Art.14 Frac.III '!P22+AJUSTE!AO23,2)</f>
        <v>521302.32</v>
      </c>
      <c r="E24" s="55">
        <f>ROUND(+'CALCULO GARANTIA'!G23+'CALCULO GARANTIA'!O23+AJUSTE!AP23,2)</f>
        <v>430111.83</v>
      </c>
      <c r="F24" s="55">
        <f>ROUND('PART MES'!$E$7*'CALCULO GARANTIA'!H23+AJUSTE!AQ23,2)</f>
        <v>157142.53</v>
      </c>
      <c r="G24" s="55">
        <f>ROUND(+'CALCULO GARANTIA'!J23+'CALCULO GARANTIA'!Q23+AJUSTE!AR23,2)</f>
        <v>737916.5</v>
      </c>
      <c r="H24" s="55">
        <f>ROUND(+'CALCULO GARANTIA'!K23+'CALCULO GARANTIA'!R23+AJUSTE!AS23,2)</f>
        <v>79878.179999999993</v>
      </c>
      <c r="I24" s="55">
        <f>ROUND(+'PART MES'!E$12*'COEF Art 14 F II ieps'!L25+AJUSTE!AT23,2)</f>
        <v>1188252.8500000001</v>
      </c>
      <c r="J24" s="55">
        <f>+'ISR agosto '!E23</f>
        <v>15412092</v>
      </c>
      <c r="K24" s="55">
        <f>+ISAI!D21+AJUSTE!AU23</f>
        <v>952260.21659959329</v>
      </c>
      <c r="L24" s="55">
        <f>ROUND('PART MES'!$O$4*'COEF Art 14 F I '!AF24,2)</f>
        <v>-109857.1</v>
      </c>
      <c r="M24" s="186">
        <f t="shared" si="0"/>
        <v>34481746.986599594</v>
      </c>
    </row>
    <row r="25" spans="1:13">
      <c r="A25" s="149" t="s">
        <v>19</v>
      </c>
      <c r="B25" s="55">
        <f>ROUND(+'CALCULO GARANTIA'!C24+'CALCULO GARANTIA'!M24+AJUSTE!AM24,2)</f>
        <v>2009662.19</v>
      </c>
      <c r="C25" s="55">
        <f>ROUND(+'CALCULO GARANTIA'!E24+'CALCULO GARANTIA'!N24+AJUSTE!AN24,2)</f>
        <v>272767.09999999998</v>
      </c>
      <c r="D25" s="55">
        <f>ROUND(+'Art.14 Frac.III '!P23+AJUSTE!AO24,2)</f>
        <v>3440826.39</v>
      </c>
      <c r="E25" s="55">
        <f>ROUND(+'CALCULO GARANTIA'!G24+'CALCULO GARANTIA'!O24+AJUSTE!AP24,2)</f>
        <v>67376.95</v>
      </c>
      <c r="F25" s="55">
        <f>ROUND('PART MES'!$E$7*'CALCULO GARANTIA'!H24+AJUSTE!AQ24,2)</f>
        <v>56550.44</v>
      </c>
      <c r="G25" s="55">
        <f>ROUND(+'CALCULO GARANTIA'!J24+'CALCULO GARANTIA'!Q24+AJUSTE!AR24,2)</f>
        <v>86829.89</v>
      </c>
      <c r="H25" s="55">
        <f>ROUND(+'CALCULO GARANTIA'!K24+'CALCULO GARANTIA'!R24+AJUSTE!AS24,2)</f>
        <v>11900.27</v>
      </c>
      <c r="I25" s="55">
        <f>ROUND(+'PART MES'!E$12*'COEF Art 14 F II ieps'!L26+AJUSTE!AT24,2)</f>
        <v>37503.870000000003</v>
      </c>
      <c r="J25" s="55">
        <f>+'ISR agosto '!E24</f>
        <v>0</v>
      </c>
      <c r="K25" s="55">
        <f>+ISAI!D22+AJUSTE!AU24</f>
        <v>852.75289594183857</v>
      </c>
      <c r="L25" s="55">
        <f>ROUND('PART MES'!$O$4*'COEF Art 14 F I '!AF25,2)</f>
        <v>-9396.5400000000009</v>
      </c>
      <c r="M25" s="186">
        <f t="shared" si="0"/>
        <v>5974873.3128959415</v>
      </c>
    </row>
    <row r="26" spans="1:13">
      <c r="A26" s="149" t="s">
        <v>20</v>
      </c>
      <c r="B26" s="55">
        <f>ROUND(+'CALCULO GARANTIA'!C25+'CALCULO GARANTIA'!M25+AJUSTE!AM25,2)</f>
        <v>27003317.190000001</v>
      </c>
      <c r="C26" s="55">
        <f>ROUND(+'CALCULO GARANTIA'!E25+'CALCULO GARANTIA'!N25+AJUSTE!AN25,2)</f>
        <v>3624176.67</v>
      </c>
      <c r="D26" s="55">
        <f>ROUND(+'Art.14 Frac.III '!P24+AJUSTE!AO25,2)</f>
        <v>460182.99</v>
      </c>
      <c r="E26" s="55">
        <f>ROUND(+'CALCULO GARANTIA'!G25+'CALCULO GARANTIA'!O25+AJUSTE!AP25,2)</f>
        <v>883745.92</v>
      </c>
      <c r="F26" s="55">
        <f>ROUND('PART MES'!$E$7*'CALCULO GARANTIA'!H25+AJUSTE!AQ25,2)</f>
        <v>628644.21</v>
      </c>
      <c r="G26" s="55">
        <f>ROUND(+'CALCULO GARANTIA'!J25+'CALCULO GARANTIA'!Q25+AJUSTE!AR25,2)</f>
        <v>1277022.33</v>
      </c>
      <c r="H26" s="55">
        <f>ROUND(+'CALCULO GARANTIA'!K25+'CALCULO GARANTIA'!R25+AJUSTE!AS25,2)</f>
        <v>163733.44</v>
      </c>
      <c r="I26" s="55">
        <f>ROUND(+'PART MES'!E$12*'COEF Art 14 F II ieps'!L27+AJUSTE!AT25,2)</f>
        <v>1601519.7</v>
      </c>
      <c r="J26" s="55">
        <f>+'ISR agosto '!E25</f>
        <v>2885969</v>
      </c>
      <c r="K26" s="55">
        <f>+ISAI!D23+AJUSTE!AU25</f>
        <v>526279.09451076842</v>
      </c>
      <c r="L26" s="55">
        <f>ROUND('PART MES'!$O$4*'COEF Art 14 F I '!AF26,2)</f>
        <v>-157554.6</v>
      </c>
      <c r="M26" s="186">
        <f t="shared" si="0"/>
        <v>38897035.944510773</v>
      </c>
    </row>
    <row r="27" spans="1:13">
      <c r="A27" s="149" t="s">
        <v>21</v>
      </c>
      <c r="B27" s="55">
        <f>ROUND(+'CALCULO GARANTIA'!C26+'CALCULO GARANTIA'!M26+AJUSTE!AM26,2)</f>
        <v>3972508.03</v>
      </c>
      <c r="C27" s="55">
        <f>ROUND(+'CALCULO GARANTIA'!E26+'CALCULO GARANTIA'!N26+AJUSTE!AN26,2)</f>
        <v>540626.17000000004</v>
      </c>
      <c r="D27" s="55">
        <f>ROUND(+'Art.14 Frac.III '!P25+AJUSTE!AO26,2)</f>
        <v>513534.48</v>
      </c>
      <c r="E27" s="55">
        <f>ROUND(+'CALCULO GARANTIA'!G26+'CALCULO GARANTIA'!O26+AJUSTE!AP26,2)</f>
        <v>136443.71</v>
      </c>
      <c r="F27" s="55">
        <f>ROUND('PART MES'!$E$7*'CALCULO GARANTIA'!H26+AJUSTE!AQ26,2)</f>
        <v>131379.98000000001</v>
      </c>
      <c r="G27" s="55">
        <f>ROUND(+'CALCULO GARANTIA'!J26+'CALCULO GARANTIA'!Q26+AJUSTE!AR26,2)</f>
        <v>152046.71</v>
      </c>
      <c r="H27" s="55">
        <f>ROUND(+'CALCULO GARANTIA'!K26+'CALCULO GARANTIA'!R26+AJUSTE!AS26,2)</f>
        <v>23556.65</v>
      </c>
      <c r="I27" s="55">
        <f>ROUND(+'PART MES'!E$12*'COEF Art 14 F II ieps'!L28+AJUSTE!AT26,2)</f>
        <v>69737.759999999995</v>
      </c>
      <c r="J27" s="55">
        <f>+'ISR agosto '!E26</f>
        <v>1636481</v>
      </c>
      <c r="K27" s="55">
        <f>+ISAI!D24+AJUSTE!AU26</f>
        <v>17765.422297482881</v>
      </c>
      <c r="L27" s="55">
        <f>ROUND('PART MES'!$O$4*'COEF Art 14 F I '!AF27,2)</f>
        <v>-12671.01</v>
      </c>
      <c r="M27" s="186">
        <f t="shared" si="0"/>
        <v>7181408.9022974838</v>
      </c>
    </row>
    <row r="28" spans="1:13">
      <c r="A28" s="149" t="s">
        <v>22</v>
      </c>
      <c r="B28" s="55">
        <f>ROUND(+'CALCULO GARANTIA'!C27+'CALCULO GARANTIA'!M27+AJUSTE!AM27,2)</f>
        <v>650469.52</v>
      </c>
      <c r="C28" s="55">
        <f>ROUND(+'CALCULO GARANTIA'!E27+'CALCULO GARANTIA'!N27+AJUSTE!AN27,2)</f>
        <v>88358.39</v>
      </c>
      <c r="D28" s="55">
        <f>ROUND(+'Art.14 Frac.III '!P26+AJUSTE!AO27,2)</f>
        <v>333133.28000000003</v>
      </c>
      <c r="E28" s="55">
        <f>ROUND(+'CALCULO GARANTIA'!G27+'CALCULO GARANTIA'!O27+AJUSTE!AP27,2)</f>
        <v>22179.39</v>
      </c>
      <c r="F28" s="55">
        <f>ROUND('PART MES'!$E$7*'CALCULO GARANTIA'!H27+AJUSTE!AQ27,2)</f>
        <v>19752.7</v>
      </c>
      <c r="G28" s="55">
        <f>ROUND(+'CALCULO GARANTIA'!J27+'CALCULO GARANTIA'!Q27+AJUSTE!AR27,2)</f>
        <v>26283.71</v>
      </c>
      <c r="H28" s="55">
        <f>ROUND(+'CALCULO GARANTIA'!K27+'CALCULO GARANTIA'!R27+AJUSTE!AS27,2)</f>
        <v>3863.7</v>
      </c>
      <c r="I28" s="55">
        <f>ROUND(+'PART MES'!E$12*'COEF Art 14 F II ieps'!L29+AJUSTE!AT27,2)</f>
        <v>9684.08</v>
      </c>
      <c r="J28" s="55">
        <f>+'ISR agosto '!E27</f>
        <v>0</v>
      </c>
      <c r="K28" s="55">
        <f>+ISAI!D25+AJUSTE!AU27</f>
        <v>57.089194637172099</v>
      </c>
      <c r="L28" s="55">
        <f>ROUND('PART MES'!$O$4*'COEF Art 14 F I '!AF28,2)</f>
        <v>-2483.75</v>
      </c>
      <c r="M28" s="186">
        <f t="shared" si="0"/>
        <v>1151298.109194637</v>
      </c>
    </row>
    <row r="29" spans="1:13">
      <c r="A29" s="149" t="s">
        <v>23</v>
      </c>
      <c r="B29" s="55">
        <f>ROUND(+'CALCULO GARANTIA'!C28+'CALCULO GARANTIA'!M28+AJUSTE!AM28,2)</f>
        <v>2931466.07</v>
      </c>
      <c r="C29" s="55">
        <f>ROUND(+'CALCULO GARANTIA'!E28+'CALCULO GARANTIA'!N28+AJUSTE!AN28,2)</f>
        <v>399745.18</v>
      </c>
      <c r="D29" s="55">
        <f>ROUND(+'Art.14 Frac.III '!P27+AJUSTE!AO28,2)</f>
        <v>237581.8</v>
      </c>
      <c r="E29" s="55">
        <f>ROUND(+'CALCULO GARANTIA'!G28+'CALCULO GARANTIA'!O28+AJUSTE!AP28,2)</f>
        <v>101655.91</v>
      </c>
      <c r="F29" s="55">
        <f>ROUND('PART MES'!$E$7*'CALCULO GARANTIA'!H28+AJUSTE!AQ28,2)</f>
        <v>106076.87</v>
      </c>
      <c r="G29" s="55">
        <f>ROUND(+'CALCULO GARANTIA'!J28+'CALCULO GARANTIA'!Q28+AJUSTE!AR28,2)</f>
        <v>104627.27</v>
      </c>
      <c r="H29" s="55">
        <f>ROUND(+'CALCULO GARANTIA'!K28+'CALCULO GARANTIA'!R28+AJUSTE!AS28,2)</f>
        <v>17362.419999999998</v>
      </c>
      <c r="I29" s="55">
        <f>ROUND(+'PART MES'!E$12*'COEF Art 14 F II ieps'!L30+AJUSTE!AT28,2)</f>
        <v>33486.32</v>
      </c>
      <c r="J29" s="55">
        <f>+'ISR agosto '!E28</f>
        <v>0</v>
      </c>
      <c r="K29" s="55">
        <f>+ISAI!D26+AJUSTE!AU28</f>
        <v>-6.0407276106403049</v>
      </c>
      <c r="L29" s="55">
        <f>ROUND('PART MES'!$O$4*'COEF Art 14 F I '!AF29,2)</f>
        <v>-7104.63</v>
      </c>
      <c r="M29" s="186">
        <f t="shared" si="0"/>
        <v>3924891.1692723893</v>
      </c>
    </row>
    <row r="30" spans="1:13">
      <c r="A30" s="149" t="s">
        <v>24</v>
      </c>
      <c r="B30" s="55">
        <f>ROUND(+'CALCULO GARANTIA'!C29+'CALCULO GARANTIA'!M29+AJUSTE!AM29,2)</f>
        <v>3100577.47</v>
      </c>
      <c r="C30" s="55">
        <f>ROUND(+'CALCULO GARANTIA'!E29+'CALCULO GARANTIA'!N29+AJUSTE!AN29,2)</f>
        <v>415846.18</v>
      </c>
      <c r="D30" s="55">
        <f>ROUND(+'Art.14 Frac.III '!P28+AJUSTE!AO29,2)</f>
        <v>298451.46999999997</v>
      </c>
      <c r="E30" s="55">
        <f>ROUND(+'CALCULO GARANTIA'!G29+'CALCULO GARANTIA'!O29+AJUSTE!AP29,2)</f>
        <v>99568.19</v>
      </c>
      <c r="F30" s="55">
        <f>ROUND('PART MES'!$E$7*'CALCULO GARANTIA'!H29+AJUSTE!AQ29,2)</f>
        <v>34669.68</v>
      </c>
      <c r="G30" s="55">
        <f>ROUND(+'CALCULO GARANTIA'!J29+'CALCULO GARANTIA'!Q29+AJUSTE!AR29,2)</f>
        <v>174129.37</v>
      </c>
      <c r="H30" s="55">
        <f>ROUND(+'CALCULO GARANTIA'!K29+'CALCULO GARANTIA'!R29+AJUSTE!AS29,2)</f>
        <v>18577.55</v>
      </c>
      <c r="I30" s="55">
        <f>ROUND(+'PART MES'!E$12*'COEF Art 14 F II ieps'!L31+AJUSTE!AT29,2)</f>
        <v>321179.53000000003</v>
      </c>
      <c r="J30" s="55">
        <f>+'ISR agosto '!E29</f>
        <v>2216808</v>
      </c>
      <c r="K30" s="55">
        <f>+ISAI!D27+AJUSTE!AU29</f>
        <v>21621.133222606637</v>
      </c>
      <c r="L30" s="55">
        <f>ROUND('PART MES'!$O$4*'COEF Art 14 F I '!AF30,2)</f>
        <v>-26302.7</v>
      </c>
      <c r="M30" s="186">
        <f t="shared" si="0"/>
        <v>6675125.8732226072</v>
      </c>
    </row>
    <row r="31" spans="1:13">
      <c r="A31" s="149" t="s">
        <v>25</v>
      </c>
      <c r="B31" s="55">
        <f>ROUND(+'CALCULO GARANTIA'!C30+'CALCULO GARANTIA'!M30+AJUSTE!AM30,2)</f>
        <v>46289815.549999997</v>
      </c>
      <c r="C31" s="55">
        <f>ROUND(+'CALCULO GARANTIA'!E30+'CALCULO GARANTIA'!N30+AJUSTE!AN30,2)</f>
        <v>6282323.4000000004</v>
      </c>
      <c r="D31" s="55">
        <f>ROUND(+'Art.14 Frac.III '!P29+AJUSTE!AO30,2)</f>
        <v>672233.34</v>
      </c>
      <c r="E31" s="55">
        <f>ROUND(+'CALCULO GARANTIA'!G30+'CALCULO GARANTIA'!O30+AJUSTE!AP30,2)</f>
        <v>1578585.13</v>
      </c>
      <c r="F31" s="55">
        <f>ROUND('PART MES'!$E$7*'CALCULO GARANTIA'!H30+AJUSTE!AQ30,2)</f>
        <v>1345529.89</v>
      </c>
      <c r="G31" s="55">
        <f>ROUND(+'CALCULO GARANTIA'!J30+'CALCULO GARANTIA'!Q30+AJUSTE!AR30,2)</f>
        <v>1902458.95</v>
      </c>
      <c r="H31" s="55">
        <f>ROUND(+'CALCULO GARANTIA'!K30+'CALCULO GARANTIA'!R30+AJUSTE!AS30,2)</f>
        <v>275384.36</v>
      </c>
      <c r="I31" s="55">
        <f>ROUND(+'PART MES'!E$12*'COEF Art 14 F II ieps'!L32+AJUSTE!AT30,2)</f>
        <v>2226843.09</v>
      </c>
      <c r="J31" s="55">
        <f>+'ISR agosto '!E30</f>
        <v>9628050</v>
      </c>
      <c r="K31" s="55">
        <f>+ISAI!D28+AJUSTE!AU30</f>
        <v>534976.91792342591</v>
      </c>
      <c r="L31" s="55">
        <f>ROUND('PART MES'!$O$4*'COEF Art 14 F I '!AF31,2)</f>
        <v>-185791.07</v>
      </c>
      <c r="M31" s="186">
        <f t="shared" si="0"/>
        <v>70550409.557923436</v>
      </c>
    </row>
    <row r="32" spans="1:13">
      <c r="A32" s="149" t="s">
        <v>26</v>
      </c>
      <c r="B32" s="55">
        <f>ROUND(+'CALCULO GARANTIA'!C31+'CALCULO GARANTIA'!M31+AJUSTE!AM31,2)</f>
        <v>1173103</v>
      </c>
      <c r="C32" s="55">
        <f>ROUND(+'CALCULO GARANTIA'!E31+'CALCULO GARANTIA'!N31+AJUSTE!AN31,2)</f>
        <v>160064.75</v>
      </c>
      <c r="D32" s="55">
        <f>ROUND(+'Art.14 Frac.III '!P30+AJUSTE!AO31,2)</f>
        <v>228675.09</v>
      </c>
      <c r="E32" s="55">
        <f>ROUND(+'CALCULO GARANTIA'!G31+'CALCULO GARANTIA'!O31+AJUSTE!AP31,2)</f>
        <v>40788.199999999997</v>
      </c>
      <c r="F32" s="55">
        <f>ROUND('PART MES'!$E$7*'CALCULO GARANTIA'!H31+AJUSTE!AQ31,2)</f>
        <v>43500.49</v>
      </c>
      <c r="G32" s="55">
        <f>ROUND(+'CALCULO GARANTIA'!J31+'CALCULO GARANTIA'!Q31+AJUSTE!AR31,2)</f>
        <v>41009.83</v>
      </c>
      <c r="H32" s="55">
        <f>ROUND(+'CALCULO GARANTIA'!K31+'CALCULO GARANTIA'!R31+AJUSTE!AS31,2)</f>
        <v>6944.89</v>
      </c>
      <c r="I32" s="55">
        <f>ROUND(+'PART MES'!E$12*'COEF Art 14 F II ieps'!L33+AJUSTE!AT31,2)</f>
        <v>11216.63</v>
      </c>
      <c r="J32" s="55">
        <f>+'ISR agosto '!E31</f>
        <v>-8911</v>
      </c>
      <c r="K32" s="55">
        <f>+ISAI!D29+AJUSTE!AU31</f>
        <v>136.27507668787922</v>
      </c>
      <c r="L32" s="55">
        <f>ROUND('PART MES'!$O$4*'COEF Art 14 F I '!AF32,2)</f>
        <v>-2588.7800000000002</v>
      </c>
      <c r="M32" s="186">
        <f t="shared" si="0"/>
        <v>1693939.3750766877</v>
      </c>
    </row>
    <row r="33" spans="1:15">
      <c r="A33" s="149" t="s">
        <v>27</v>
      </c>
      <c r="B33" s="55">
        <f>ROUND(+'CALCULO GARANTIA'!C32+'CALCULO GARANTIA'!M32+AJUSTE!AM32,2)</f>
        <v>2023636.51</v>
      </c>
      <c r="C33" s="55">
        <f>ROUND(+'CALCULO GARANTIA'!E32+'CALCULO GARANTIA'!N32+AJUSTE!AN32,2)</f>
        <v>275946.08</v>
      </c>
      <c r="D33" s="55">
        <f>ROUND(+'Art.14 Frac.III '!P31+AJUSTE!AO32,2)</f>
        <v>178610.22</v>
      </c>
      <c r="E33" s="55">
        <f>ROUND(+'CALCULO GARANTIA'!G32+'CALCULO GARANTIA'!O32+AJUSTE!AP32,2)</f>
        <v>70172.39</v>
      </c>
      <c r="F33" s="55">
        <f>ROUND('PART MES'!$E$7*'CALCULO GARANTIA'!H32+AJUSTE!AQ32,2)</f>
        <v>73168.22</v>
      </c>
      <c r="G33" s="55">
        <f>ROUND(+'CALCULO GARANTIA'!J32+'CALCULO GARANTIA'!Q32+AJUSTE!AR32,2)</f>
        <v>72264.240000000005</v>
      </c>
      <c r="H33" s="55">
        <f>ROUND(+'CALCULO GARANTIA'!K32+'CALCULO GARANTIA'!R32+AJUSTE!AS32,2)</f>
        <v>11985.71</v>
      </c>
      <c r="I33" s="55">
        <f>ROUND(+'PART MES'!E$12*'COEF Art 14 F II ieps'!L34+AJUSTE!AT32,2)</f>
        <v>53765.58</v>
      </c>
      <c r="J33" s="55">
        <f>+'ISR agosto '!E32</f>
        <v>-6522</v>
      </c>
      <c r="K33" s="55">
        <f>+ISAI!D30+AJUSTE!AU32</f>
        <v>849.15583546274434</v>
      </c>
      <c r="L33" s="55">
        <f>ROUND('PART MES'!$O$4*'COEF Art 14 F I '!AF33,2)</f>
        <v>-4915.62</v>
      </c>
      <c r="M33" s="186">
        <f t="shared" si="0"/>
        <v>2748960.4858354633</v>
      </c>
    </row>
    <row r="34" spans="1:15">
      <c r="A34" s="149" t="s">
        <v>28</v>
      </c>
      <c r="B34" s="55">
        <f>ROUND(+'CALCULO GARANTIA'!C33+'CALCULO GARANTIA'!M33+AJUSTE!AM33,2)</f>
        <v>1170208.1399999999</v>
      </c>
      <c r="C34" s="55">
        <f>ROUND(+'CALCULO GARANTIA'!E33+'CALCULO GARANTIA'!N33+AJUSTE!AN33,2)</f>
        <v>159255.81</v>
      </c>
      <c r="D34" s="55">
        <f>ROUND(+'Art.14 Frac.III '!P32+AJUSTE!AO33,2)</f>
        <v>627198.59</v>
      </c>
      <c r="E34" s="55">
        <f>ROUND(+'CALCULO GARANTIA'!G33+'CALCULO GARANTIA'!O33+AJUSTE!AP33,2)</f>
        <v>40203.86</v>
      </c>
      <c r="F34" s="55">
        <f>ROUND('PART MES'!$E$7*'CALCULO GARANTIA'!H33+AJUSTE!AQ33,2)</f>
        <v>38758.6</v>
      </c>
      <c r="G34" s="55">
        <f>ROUND(+'CALCULO GARANTIA'!J33+'CALCULO GARANTIA'!Q33+AJUSTE!AR33,2)</f>
        <v>44726.26</v>
      </c>
      <c r="H34" s="55">
        <f>ROUND(+'CALCULO GARANTIA'!K33+'CALCULO GARANTIA'!R33+AJUSTE!AS33,2)</f>
        <v>6939.94</v>
      </c>
      <c r="I34" s="55">
        <f>ROUND(+'PART MES'!E$12*'COEF Art 14 F II ieps'!L35+AJUSTE!AT33,2)</f>
        <v>12675.91</v>
      </c>
      <c r="J34" s="55">
        <f>+'ISR agosto '!E33</f>
        <v>78314</v>
      </c>
      <c r="K34" s="55">
        <f>+ISAI!D31+AJUSTE!AU33</f>
        <v>702.35927316256982</v>
      </c>
      <c r="L34" s="55">
        <f>ROUND('PART MES'!$O$4*'COEF Art 14 F I '!AF34,2)</f>
        <v>-3713.23</v>
      </c>
      <c r="M34" s="186">
        <f t="shared" si="0"/>
        <v>2175270.239273163</v>
      </c>
    </row>
    <row r="35" spans="1:15">
      <c r="A35" s="149" t="s">
        <v>29</v>
      </c>
      <c r="B35" s="55">
        <f>ROUND(+'CALCULO GARANTIA'!C34+'CALCULO GARANTIA'!M34+AJUSTE!AM34,2)</f>
        <v>1623714.49</v>
      </c>
      <c r="C35" s="55">
        <f>ROUND(+'CALCULO GARANTIA'!E34+'CALCULO GARANTIA'!N34+AJUSTE!AN34,2)</f>
        <v>221258.17</v>
      </c>
      <c r="D35" s="55">
        <f>ROUND(+'Art.14 Frac.III '!P33+AJUSTE!AO34,2)</f>
        <v>219107.91</v>
      </c>
      <c r="E35" s="55">
        <f>ROUND(+'CALCULO GARANTIA'!G34+'CALCULO GARANTIA'!O34+AJUSTE!AP34,2)</f>
        <v>56146.27</v>
      </c>
      <c r="F35" s="55">
        <f>ROUND('PART MES'!$E$7*'CALCULO GARANTIA'!H34+AJUSTE!AQ34,2)</f>
        <v>57018.55</v>
      </c>
      <c r="G35" s="55">
        <f>ROUND(+'CALCULO GARANTIA'!J34+'CALCULO GARANTIA'!Q34+AJUSTE!AR34,2)</f>
        <v>59324.53</v>
      </c>
      <c r="H35" s="55">
        <f>ROUND(+'CALCULO GARANTIA'!K34+'CALCULO GARANTIA'!R34+AJUSTE!AS34,2)</f>
        <v>9622.5400000000009</v>
      </c>
      <c r="I35" s="55">
        <f>ROUND(+'PART MES'!E$12*'COEF Art 14 F II ieps'!L36+AJUSTE!AT34,2)</f>
        <v>29668.06</v>
      </c>
      <c r="J35" s="55">
        <f>+'ISR agosto '!E34</f>
        <v>-2755</v>
      </c>
      <c r="K35" s="55">
        <f>+ISAI!D32+AJUSTE!AU34</f>
        <v>4363.2909738280359</v>
      </c>
      <c r="L35" s="55">
        <f>ROUND('PART MES'!$O$4*'COEF Art 14 F I '!AF35,2)</f>
        <v>-4340.17</v>
      </c>
      <c r="M35" s="186">
        <f t="shared" si="0"/>
        <v>2273128.6409738278</v>
      </c>
    </row>
    <row r="36" spans="1:15">
      <c r="A36" s="149" t="s">
        <v>30</v>
      </c>
      <c r="B36" s="55">
        <f>ROUND(+'CALCULO GARANTIA'!C35+'CALCULO GARANTIA'!M35+AJUSTE!AM35,2)</f>
        <v>1551210.77</v>
      </c>
      <c r="C36" s="55">
        <f>ROUND(+'CALCULO GARANTIA'!E35+'CALCULO GARANTIA'!N35+AJUSTE!AN35,2)</f>
        <v>211237.03</v>
      </c>
      <c r="D36" s="55">
        <f>ROUND(+'Art.14 Frac.III '!P34+AJUSTE!AO35,2)</f>
        <v>248921.21</v>
      </c>
      <c r="E36" s="55">
        <f>ROUND(+'CALCULO GARANTIA'!G35+'CALCULO GARANTIA'!O35+AJUSTE!AP35,2)</f>
        <v>53472.68</v>
      </c>
      <c r="F36" s="55">
        <f>ROUND('PART MES'!$E$7*'CALCULO GARANTIA'!H35+AJUSTE!AQ35,2)</f>
        <v>52922.080000000002</v>
      </c>
      <c r="G36" s="55">
        <f>ROUND(+'CALCULO GARANTIA'!J35+'CALCULO GARANTIA'!Q35+AJUSTE!AR35,2)</f>
        <v>57963.360000000001</v>
      </c>
      <c r="H36" s="55">
        <f>ROUND(+'CALCULO GARANTIA'!K35+'CALCULO GARANTIA'!R35+AJUSTE!AS35,2)</f>
        <v>9197.1299999999992</v>
      </c>
      <c r="I36" s="55">
        <f>ROUND(+'PART MES'!E$12*'COEF Art 14 F II ieps'!L37+AJUSTE!AT35,2)</f>
        <v>20111.099999999999</v>
      </c>
      <c r="J36" s="55">
        <f>+'ISR agosto '!E35</f>
        <v>37382.254371641415</v>
      </c>
      <c r="K36" s="55">
        <f>+ISAI!D33+AJUSTE!AU35</f>
        <v>36.826597440365056</v>
      </c>
      <c r="L36" s="55">
        <f>ROUND('PART MES'!$O$4*'COEF Art 14 F I '!AF36,2)</f>
        <v>-4527.97</v>
      </c>
      <c r="M36" s="186">
        <f t="shared" si="0"/>
        <v>2237926.4709690814</v>
      </c>
      <c r="O36" s="16" t="s">
        <v>154</v>
      </c>
    </row>
    <row r="37" spans="1:15">
      <c r="A37" s="149" t="s">
        <v>31</v>
      </c>
      <c r="B37" s="55">
        <f>ROUND(+'CALCULO GARANTIA'!C36+'CALCULO GARANTIA'!M36+AJUSTE!AM36,2)</f>
        <v>15235550.210000001</v>
      </c>
      <c r="C37" s="55">
        <f>ROUND(+'CALCULO GARANTIA'!E36+'CALCULO GARANTIA'!N36+AJUSTE!AN36,2)</f>
        <v>2039536.15</v>
      </c>
      <c r="D37" s="55">
        <f>ROUND(+'Art.14 Frac.III '!P35+AJUSTE!AO36,2)</f>
        <v>1239882.6000000001</v>
      </c>
      <c r="E37" s="55">
        <f>ROUND(+'CALCULO GARANTIA'!G36+'CALCULO GARANTIA'!O36+AJUSTE!AP36,2)</f>
        <v>488751.35</v>
      </c>
      <c r="F37" s="55">
        <f>ROUND('PART MES'!$E$7*'CALCULO GARANTIA'!H36+AJUSTE!AQ36,2)</f>
        <v>133266.23999999999</v>
      </c>
      <c r="G37" s="55">
        <f>ROUND(+'CALCULO GARANTIA'!J36+'CALCULO GARANTIA'!Q36+AJUSTE!AR36,2)</f>
        <v>876832.14</v>
      </c>
      <c r="H37" s="55">
        <f>ROUND(+'CALCULO GARANTIA'!K36+'CALCULO GARANTIA'!R36+AJUSTE!AS36,2)</f>
        <v>91577.74</v>
      </c>
      <c r="I37" s="55">
        <f>ROUND(+'PART MES'!E$12*'COEF Art 14 F II ieps'!L38+AJUSTE!AT36,2)</f>
        <v>1473360.9</v>
      </c>
      <c r="J37" s="55">
        <f>+'ISR agosto '!E36</f>
        <v>-560136</v>
      </c>
      <c r="K37" s="55">
        <f>+ISAI!D34+AJUSTE!AU36</f>
        <v>311066.23212808912</v>
      </c>
      <c r="L37" s="55">
        <f>ROUND('PART MES'!$O$4*'COEF Art 14 F I '!AF37,2)</f>
        <v>-135267.9</v>
      </c>
      <c r="M37" s="186">
        <f t="shared" si="0"/>
        <v>21194419.662128087</v>
      </c>
    </row>
    <row r="38" spans="1:15">
      <c r="A38" s="149" t="s">
        <v>32</v>
      </c>
      <c r="B38" s="55">
        <f>ROUND(+'CALCULO GARANTIA'!C37+'CALCULO GARANTIA'!M37+AJUSTE!AM37,2)</f>
        <v>2797998.89</v>
      </c>
      <c r="C38" s="55">
        <f>ROUND(+'CALCULO GARANTIA'!E37+'CALCULO GARANTIA'!N37+AJUSTE!AN37,2)</f>
        <v>380017.66</v>
      </c>
      <c r="D38" s="55">
        <f>ROUND(+'Art.14 Frac.III '!P36+AJUSTE!AO37,2)</f>
        <v>215649.13</v>
      </c>
      <c r="E38" s="55">
        <f>ROUND(+'CALCULO GARANTIA'!G37+'CALCULO GARANTIA'!O37+AJUSTE!AP37,2)</f>
        <v>95392.17</v>
      </c>
      <c r="F38" s="55">
        <f>ROUND('PART MES'!$E$7*'CALCULO GARANTIA'!H37+AJUSTE!AQ37,2)</f>
        <v>84474.64</v>
      </c>
      <c r="G38" s="55">
        <f>ROUND(+'CALCULO GARANTIA'!J37+'CALCULO GARANTIA'!Q37+AJUSTE!AR37,2)</f>
        <v>113352.8</v>
      </c>
      <c r="H38" s="55">
        <f>ROUND(+'CALCULO GARANTIA'!K37+'CALCULO GARANTIA'!R37+AJUSTE!AS37,2)</f>
        <v>16624.12</v>
      </c>
      <c r="I38" s="55">
        <f>ROUND(+'PART MES'!E$12*'COEF Art 14 F II ieps'!L39+AJUSTE!AT37,2)</f>
        <v>39569.07</v>
      </c>
      <c r="J38" s="55">
        <f>+'ISR agosto '!E37</f>
        <v>265618</v>
      </c>
      <c r="K38" s="55">
        <f>+ISAI!D35+AJUSTE!AU37</f>
        <v>10579.065393199324</v>
      </c>
      <c r="L38" s="55">
        <f>ROUND('PART MES'!$O$4*'COEF Art 14 F I '!AF38,2)</f>
        <v>-10767.32</v>
      </c>
      <c r="M38" s="186">
        <f t="shared" si="0"/>
        <v>4008508.2253931994</v>
      </c>
    </row>
    <row r="39" spans="1:15">
      <c r="A39" s="149" t="s">
        <v>33</v>
      </c>
      <c r="B39" s="55">
        <f>ROUND(+'CALCULO GARANTIA'!C38+'CALCULO GARANTIA'!M38+AJUSTE!AM38,2)</f>
        <v>10177644.300000001</v>
      </c>
      <c r="C39" s="55">
        <f>ROUND(+'CALCULO GARANTIA'!E38+'CALCULO GARANTIA'!N38+AJUSTE!AN38,2)</f>
        <v>1385956.52</v>
      </c>
      <c r="D39" s="55">
        <f>ROUND(+'Art.14 Frac.III '!P37+AJUSTE!AO38,2)</f>
        <v>402198.82</v>
      </c>
      <c r="E39" s="55">
        <f>ROUND(+'CALCULO GARANTIA'!G38+'CALCULO GARANTIA'!O38+AJUSTE!AP38,2)</f>
        <v>350602.29</v>
      </c>
      <c r="F39" s="55">
        <f>ROUND('PART MES'!$E$7*'CALCULO GARANTIA'!H38+AJUSTE!AQ38,2)</f>
        <v>345974.02</v>
      </c>
      <c r="G39" s="55">
        <f>ROUND(+'CALCULO GARANTIA'!J38+'CALCULO GARANTIA'!Q38+AJUSTE!AR38,2)</f>
        <v>381699</v>
      </c>
      <c r="H39" s="55">
        <f>ROUND(+'CALCULO GARANTIA'!K38+'CALCULO GARANTIA'!R38+AJUSTE!AS38,2)</f>
        <v>60326.8</v>
      </c>
      <c r="I39" s="55">
        <f>ROUND(+'PART MES'!E$12*'COEF Art 14 F II ieps'!L40+AJUSTE!AT38,2)</f>
        <v>300616.17</v>
      </c>
      <c r="J39" s="55">
        <f>+'ISR agosto '!E38</f>
        <v>895965</v>
      </c>
      <c r="K39" s="55">
        <f>+ISAI!D36+AJUSTE!AU38</f>
        <v>31539.531493773848</v>
      </c>
      <c r="L39" s="55">
        <f>ROUND('PART MES'!$O$4*'COEF Art 14 F I '!AF39,2)</f>
        <v>-30136.880000000001</v>
      </c>
      <c r="M39" s="186">
        <f t="shared" ref="M39:M57" si="1">SUM(B39:L39)</f>
        <v>14302385.571493773</v>
      </c>
    </row>
    <row r="40" spans="1:15">
      <c r="A40" s="149" t="s">
        <v>34</v>
      </c>
      <c r="B40" s="55">
        <f>ROUND(+'CALCULO GARANTIA'!C39+'CALCULO GARANTIA'!M39+AJUSTE!AM39,2)</f>
        <v>2161312.11</v>
      </c>
      <c r="C40" s="55">
        <f>ROUND(+'CALCULO GARANTIA'!E39+'CALCULO GARANTIA'!N39+AJUSTE!AN39,2)</f>
        <v>294620.42</v>
      </c>
      <c r="D40" s="55">
        <f>ROUND(+'Art.14 Frac.III '!P38+AJUSTE!AO39,2)</f>
        <v>321383.93</v>
      </c>
      <c r="E40" s="55">
        <f>ROUND(+'CALCULO GARANTIA'!G39+'CALCULO GARANTIA'!O39+AJUSTE!AP39,2)</f>
        <v>74867.350000000006</v>
      </c>
      <c r="F40" s="55">
        <f>ROUND('PART MES'!$E$7*'CALCULO GARANTIA'!H39+AJUSTE!AQ39,2)</f>
        <v>77071.75</v>
      </c>
      <c r="G40" s="55">
        <f>ROUND(+'CALCULO GARANTIA'!J39+'CALCULO GARANTIA'!Q39+AJUSTE!AR39,2)</f>
        <v>77975.13</v>
      </c>
      <c r="H40" s="55">
        <f>ROUND(+'CALCULO GARANTIA'!K39+'CALCULO GARANTIA'!R39+AJUSTE!AS39,2)</f>
        <v>12805.64</v>
      </c>
      <c r="I40" s="55">
        <f>ROUND(+'PART MES'!E$12*'COEF Art 14 F II ieps'!L41+AJUSTE!AT39,2)</f>
        <v>27659.73</v>
      </c>
      <c r="J40" s="55">
        <f>+'ISR agosto '!E39</f>
        <v>780970</v>
      </c>
      <c r="K40" s="55">
        <f>+ISAI!D37+AJUSTE!AU39</f>
        <v>11771.265488747644</v>
      </c>
      <c r="L40" s="55">
        <f>ROUND('PART MES'!$O$4*'COEF Art 14 F I '!AF40,2)</f>
        <v>-5482.99</v>
      </c>
      <c r="M40" s="186">
        <f t="shared" si="1"/>
        <v>3834954.3354887473</v>
      </c>
    </row>
    <row r="41" spans="1:15">
      <c r="A41" s="149" t="s">
        <v>35</v>
      </c>
      <c r="B41" s="55">
        <f>ROUND(+'CALCULO GARANTIA'!C40+'CALCULO GARANTIA'!M40+AJUSTE!AM40,2)</f>
        <v>2037863.13</v>
      </c>
      <c r="C41" s="55">
        <f>ROUND(+'CALCULO GARANTIA'!E40+'CALCULO GARANTIA'!N40+AJUSTE!AN40,2)</f>
        <v>279383.78999999998</v>
      </c>
      <c r="D41" s="55">
        <f>ROUND(+'Art.14 Frac.III '!P39+AJUSTE!AO40,2)</f>
        <v>272769.82</v>
      </c>
      <c r="E41" s="55">
        <f>ROUND(+'CALCULO GARANTIA'!G40+'CALCULO GARANTIA'!O40+AJUSTE!AP40,2)</f>
        <v>72307.16</v>
      </c>
      <c r="F41" s="55">
        <f>ROUND('PART MES'!$E$7*'CALCULO GARANTIA'!H40+AJUSTE!AQ40,2)</f>
        <v>90153.89</v>
      </c>
      <c r="G41" s="55">
        <f>ROUND(+'CALCULO GARANTIA'!J40+'CALCULO GARANTIA'!Q40+AJUSTE!AR40,2)</f>
        <v>59429.279999999999</v>
      </c>
      <c r="H41" s="55">
        <f>ROUND(+'CALCULO GARANTIA'!K40+'CALCULO GARANTIA'!R40+AJUSTE!AS40,2)</f>
        <v>12020.33</v>
      </c>
      <c r="I41" s="55">
        <f>ROUND(+'PART MES'!E$12*'COEF Art 14 F II ieps'!L42+AJUSTE!AT40,2)</f>
        <v>5706.23</v>
      </c>
      <c r="J41" s="55">
        <f>+'ISR agosto '!E40</f>
        <v>121145</v>
      </c>
      <c r="K41" s="55">
        <f>+ISAI!D38+AJUSTE!AU40</f>
        <v>355.12686986171337</v>
      </c>
      <c r="L41" s="55">
        <f>ROUND('PART MES'!$O$4*'COEF Art 14 F I '!AF41,2)</f>
        <v>-1004.65</v>
      </c>
      <c r="M41" s="186">
        <f t="shared" si="1"/>
        <v>2950129.1068698615</v>
      </c>
    </row>
    <row r="42" spans="1:15">
      <c r="A42" s="149" t="s">
        <v>36</v>
      </c>
      <c r="B42" s="55">
        <f>ROUND(+'CALCULO GARANTIA'!C41+'CALCULO GARANTIA'!M41+AJUSTE!AM41,2)</f>
        <v>2256069.5099999998</v>
      </c>
      <c r="C42" s="55">
        <f>ROUND(+'CALCULO GARANTIA'!E41+'CALCULO GARANTIA'!N41+AJUSTE!AN41,2)</f>
        <v>306750.38</v>
      </c>
      <c r="D42" s="55">
        <f>ROUND(+'Art.14 Frac.III '!P40+AJUSTE!AO41,2)</f>
        <v>595019.17000000004</v>
      </c>
      <c r="E42" s="55">
        <f>ROUND(+'CALCULO GARANTIA'!G41+'CALCULO GARANTIA'!O41+AJUSTE!AP41,2)</f>
        <v>77255.41</v>
      </c>
      <c r="F42" s="55">
        <f>ROUND('PART MES'!$E$7*'CALCULO GARANTIA'!H41+AJUSTE!AQ41,2)</f>
        <v>71795.149999999994</v>
      </c>
      <c r="G42" s="55">
        <f>ROUND(+'CALCULO GARANTIA'!J41+'CALCULO GARANTIA'!Q41+AJUSTE!AR41,2)</f>
        <v>88490.559999999998</v>
      </c>
      <c r="H42" s="55">
        <f>ROUND(+'CALCULO GARANTIA'!K41+'CALCULO GARANTIA'!R41+AJUSTE!AS41,2)</f>
        <v>13391.95</v>
      </c>
      <c r="I42" s="55">
        <f>ROUND(+'PART MES'!E$12*'COEF Art 14 F II ieps'!L43+AJUSTE!AT41,2)</f>
        <v>38262.97</v>
      </c>
      <c r="J42" s="55">
        <f>+'ISR agosto '!E41</f>
        <v>271859.31172517349</v>
      </c>
      <c r="K42" s="55">
        <f>+ISAI!D39+AJUSTE!AU41</f>
        <v>0.14147597760658392</v>
      </c>
      <c r="L42" s="55">
        <f>ROUND('PART MES'!$O$4*'COEF Art 14 F I '!AF42,2)</f>
        <v>-7824.06</v>
      </c>
      <c r="M42" s="186">
        <f t="shared" si="1"/>
        <v>3711070.493201151</v>
      </c>
    </row>
    <row r="43" spans="1:15">
      <c r="A43" s="149" t="s">
        <v>37</v>
      </c>
      <c r="B43" s="55">
        <f>ROUND(+'CALCULO GARANTIA'!C42+'CALCULO GARANTIA'!M42+AJUSTE!AM42,2)</f>
        <v>3095062.79</v>
      </c>
      <c r="C43" s="55">
        <f>ROUND(+'CALCULO GARANTIA'!E42+'CALCULO GARANTIA'!N42+AJUSTE!AN42,2)</f>
        <v>421005.91</v>
      </c>
      <c r="D43" s="55">
        <f>ROUND(+'Art.14 Frac.III '!P41+AJUSTE!AO42,2)</f>
        <v>-33697.019999999997</v>
      </c>
      <c r="E43" s="55">
        <f>ROUND(+'CALCULO GARANTIA'!G42+'CALCULO GARANTIA'!O42+AJUSTE!AP42,2)</f>
        <v>106236.4</v>
      </c>
      <c r="F43" s="55">
        <f>ROUND('PART MES'!$E$7*'CALCULO GARANTIA'!H42+AJUSTE!AQ42,2)</f>
        <v>100458.36</v>
      </c>
      <c r="G43" s="55">
        <f>ROUND(+'CALCULO GARANTIA'!J42+'CALCULO GARANTIA'!Q42+AJUSTE!AR42,2)</f>
        <v>119660.79</v>
      </c>
      <c r="H43" s="55">
        <f>ROUND(+'CALCULO GARANTIA'!K42+'CALCULO GARANTIA'!R42+AJUSTE!AS42,2)</f>
        <v>18368.11</v>
      </c>
      <c r="I43" s="55">
        <f>ROUND(+'PART MES'!E$12*'COEF Art 14 F II ieps'!L44+AJUSTE!AT42,2)</f>
        <v>39308.51</v>
      </c>
      <c r="J43" s="55">
        <f>+'ISR agosto '!E42</f>
        <v>0</v>
      </c>
      <c r="K43" s="55">
        <f>+ISAI!D40+AJUSTE!AU42</f>
        <v>-882.46759368103085</v>
      </c>
      <c r="L43" s="55">
        <f>ROUND('PART MES'!$O$4*'COEF Art 14 F I '!AF43,2)</f>
        <v>-10216.18</v>
      </c>
      <c r="M43" s="186">
        <f t="shared" si="1"/>
        <v>3855305.2024063184</v>
      </c>
    </row>
    <row r="44" spans="1:15">
      <c r="A44" s="149" t="s">
        <v>38</v>
      </c>
      <c r="B44" s="55">
        <f>ROUND(+'CALCULO GARANTIA'!C43+'CALCULO GARANTIA'!M43+AJUSTE!AM43,2)</f>
        <v>7267624.5199999996</v>
      </c>
      <c r="C44" s="55">
        <f>ROUND(+'CALCULO GARANTIA'!E43+'CALCULO GARANTIA'!N43+AJUSTE!AN43,2)</f>
        <v>989200.62</v>
      </c>
      <c r="D44" s="55">
        <f>ROUND(+'Art.14 Frac.III '!P42+AJUSTE!AO43,2)</f>
        <v>424650.08</v>
      </c>
      <c r="E44" s="55">
        <f>ROUND(+'CALCULO GARANTIA'!G43+'CALCULO GARANTIA'!O43+AJUSTE!AP43,2)</f>
        <v>249386.3</v>
      </c>
      <c r="F44" s="55">
        <f>ROUND('PART MES'!$E$7*'CALCULO GARANTIA'!H43+AJUSTE!AQ43,2)</f>
        <v>240480.01</v>
      </c>
      <c r="G44" s="55">
        <f>ROUND(+'CALCULO GARANTIA'!J43+'CALCULO GARANTIA'!Q43+AJUSTE!AR43,2)</f>
        <v>278808.84000000003</v>
      </c>
      <c r="H44" s="55">
        <f>ROUND(+'CALCULO GARANTIA'!K43+'CALCULO GARANTIA'!R43+AJUSTE!AS43,2)</f>
        <v>43070.67</v>
      </c>
      <c r="I44" s="55">
        <f>ROUND(+'PART MES'!E$12*'COEF Art 14 F II ieps'!L45+AJUSTE!AT43,2)</f>
        <v>234279.57</v>
      </c>
      <c r="J44" s="55">
        <f>+'ISR agosto '!E43</f>
        <v>-116670</v>
      </c>
      <c r="K44" s="55">
        <f>+ISAI!D41+AJUSTE!AU43</f>
        <v>126806.28621859061</v>
      </c>
      <c r="L44" s="55">
        <f>ROUND('PART MES'!$O$4*'COEF Art 14 F I '!AF44,2)</f>
        <v>-23396.17</v>
      </c>
      <c r="M44" s="186">
        <f t="shared" si="1"/>
        <v>9714240.7262185905</v>
      </c>
    </row>
    <row r="45" spans="1:15">
      <c r="A45" s="149" t="s">
        <v>39</v>
      </c>
      <c r="B45" s="55">
        <f>ROUND(+'CALCULO GARANTIA'!C44+'CALCULO GARANTIA'!M44+AJUSTE!AM44,2)</f>
        <v>153577772.75</v>
      </c>
      <c r="C45" s="55">
        <f>ROUND(+'CALCULO GARANTIA'!E44+'CALCULO GARANTIA'!N44+AJUSTE!AN44,2)</f>
        <v>20796532.82</v>
      </c>
      <c r="D45" s="55">
        <f>ROUND(+'Art.14 Frac.III '!P43+AJUSTE!AO44,2)</f>
        <v>0</v>
      </c>
      <c r="E45" s="55">
        <f>ROUND(+'CALCULO GARANTIA'!G44+'CALCULO GARANTIA'!O44+AJUSTE!AP44,2)</f>
        <v>5146332.74</v>
      </c>
      <c r="F45" s="55">
        <f>ROUND('PART MES'!$E$7*'CALCULO GARANTIA'!H44+AJUSTE!AQ44,2)</f>
        <v>3806248.5</v>
      </c>
      <c r="G45" s="55">
        <f>ROUND(+'CALCULO GARANTIA'!J44+'CALCULO GARANTIA'!Q44+AJUSTE!AR44,2)</f>
        <v>6921493.7400000002</v>
      </c>
      <c r="H45" s="55">
        <f>ROUND(+'CALCULO GARANTIA'!K44+'CALCULO GARANTIA'!R44+AJUSTE!AS44,2)</f>
        <v>912973.33</v>
      </c>
      <c r="I45" s="55">
        <f>ROUND(+'PART MES'!E$12*'COEF Art 14 F II ieps'!L46+AJUSTE!AT44,2)</f>
        <v>4872808.5999999996</v>
      </c>
      <c r="J45" s="55">
        <f>+'ISR agosto '!E44</f>
        <v>15370024</v>
      </c>
      <c r="K45" s="55">
        <f>+ISAI!D42+AJUSTE!AU44</f>
        <v>2574274.4853642257</v>
      </c>
      <c r="L45" s="55">
        <f>ROUND('PART MES'!$O$4*'COEF Art 14 F I '!AF45,2)</f>
        <v>-799257.96</v>
      </c>
      <c r="M45" s="186">
        <f t="shared" si="1"/>
        <v>213179203.00536424</v>
      </c>
    </row>
    <row r="46" spans="1:15">
      <c r="A46" s="149" t="s">
        <v>40</v>
      </c>
      <c r="B46" s="55">
        <f>ROUND(+'CALCULO GARANTIA'!C45+'CALCULO GARANTIA'!M45+AJUSTE!AM45,2)</f>
        <v>821323.98</v>
      </c>
      <c r="C46" s="55">
        <f>ROUND(+'CALCULO GARANTIA'!E45+'CALCULO GARANTIA'!N45+AJUSTE!AN45,2)</f>
        <v>110788.88</v>
      </c>
      <c r="D46" s="55">
        <f>ROUND(+'Art.14 Frac.III '!P44+AJUSTE!AO45,2)</f>
        <v>180560.93</v>
      </c>
      <c r="E46" s="55">
        <f>ROUND(+'CALCULO GARANTIA'!G45+'CALCULO GARANTIA'!O45+AJUSTE!AP45,2)</f>
        <v>27191.37</v>
      </c>
      <c r="F46" s="55">
        <f>ROUND('PART MES'!$E$7*'CALCULO GARANTIA'!H45+AJUSTE!AQ45,2)</f>
        <v>16471.45</v>
      </c>
      <c r="G46" s="55">
        <f>ROUND(+'CALCULO GARANTIA'!J45+'CALCULO GARANTIA'!Q45+AJUSTE!AR45,2)</f>
        <v>39962.25</v>
      </c>
      <c r="H46" s="55">
        <f>ROUND(+'CALCULO GARANTIA'!K45+'CALCULO GARANTIA'!R45+AJUSTE!AS45,2)</f>
        <v>4906.2299999999996</v>
      </c>
      <c r="I46" s="55">
        <f>ROUND(+'PART MES'!E$12*'COEF Art 14 F II ieps'!L47+AJUSTE!AT45,2)</f>
        <v>14432.79</v>
      </c>
      <c r="J46" s="55">
        <f>+'ISR agosto '!E45</f>
        <v>-9071</v>
      </c>
      <c r="K46" s="55">
        <f>+ISAI!D43+AJUSTE!AU45</f>
        <v>415.33762241198673</v>
      </c>
      <c r="L46" s="55">
        <f>ROUND('PART MES'!$O$4*'COEF Art 14 F I '!AF46,2)</f>
        <v>-5136.87</v>
      </c>
      <c r="M46" s="186">
        <f t="shared" si="1"/>
        <v>1201845.347622412</v>
      </c>
    </row>
    <row r="47" spans="1:15">
      <c r="A47" s="149" t="s">
        <v>41</v>
      </c>
      <c r="B47" s="55">
        <f>ROUND(+'CALCULO GARANTIA'!C46+'CALCULO GARANTIA'!M46+AJUSTE!AM46,2)</f>
        <v>3583561.36</v>
      </c>
      <c r="C47" s="55">
        <f>ROUND(+'CALCULO GARANTIA'!E46+'CALCULO GARANTIA'!N46+AJUSTE!AN46,2)</f>
        <v>477789.85</v>
      </c>
      <c r="D47" s="55">
        <f>ROUND(+'Art.14 Frac.III '!P45+AJUSTE!AO46,2)</f>
        <v>361293.96</v>
      </c>
      <c r="E47" s="55">
        <f>ROUND(+'CALCULO GARANTIA'!G46+'CALCULO GARANTIA'!O46+AJUSTE!AP46,2)</f>
        <v>112297.16</v>
      </c>
      <c r="F47" s="55">
        <f>ROUND('PART MES'!$E$7*'CALCULO GARANTIA'!H46+AJUSTE!AQ46,2)</f>
        <v>8582.69</v>
      </c>
      <c r="G47" s="55">
        <f>ROUND(+'CALCULO GARANTIA'!J46+'CALCULO GARANTIA'!Q46+AJUSTE!AR46,2)</f>
        <v>225824.66</v>
      </c>
      <c r="H47" s="55">
        <f>ROUND(+'CALCULO GARANTIA'!K46+'CALCULO GARANTIA'!R46+AJUSTE!AS46,2)</f>
        <v>21575.85</v>
      </c>
      <c r="I47" s="55">
        <f>ROUND(+'PART MES'!E$12*'COEF Art 14 F II ieps'!L48+AJUSTE!AT46,2)</f>
        <v>435622.77</v>
      </c>
      <c r="J47" s="55">
        <f>+'ISR agosto '!E46</f>
        <v>1500397</v>
      </c>
      <c r="K47" s="55">
        <f>+ISAI!D44+AJUSTE!AU46</f>
        <v>102885.60971904856</v>
      </c>
      <c r="L47" s="55">
        <f>ROUND('PART MES'!$O$4*'COEF Art 14 F I '!AF47,2)</f>
        <v>-37643.339999999997</v>
      </c>
      <c r="M47" s="186">
        <f t="shared" si="1"/>
        <v>6792187.5697190491</v>
      </c>
    </row>
    <row r="48" spans="1:15">
      <c r="A48" s="149" t="s">
        <v>42</v>
      </c>
      <c r="B48" s="55">
        <f>ROUND(+'CALCULO GARANTIA'!C47+'CALCULO GARANTIA'!M47+AJUSTE!AM47,2)</f>
        <v>1649471.3</v>
      </c>
      <c r="C48" s="55">
        <f>ROUND(+'CALCULO GARANTIA'!E47+'CALCULO GARANTIA'!N47+AJUSTE!AN47,2)</f>
        <v>224262.95</v>
      </c>
      <c r="D48" s="55">
        <f>ROUND(+'Art.14 Frac.III '!P46+AJUSTE!AO47,2)</f>
        <v>256956.43</v>
      </c>
      <c r="E48" s="55">
        <f>ROUND(+'CALCULO GARANTIA'!G47+'CALCULO GARANTIA'!O47+AJUSTE!AP47,2)</f>
        <v>56470.25</v>
      </c>
      <c r="F48" s="55">
        <f>ROUND('PART MES'!$E$7*'CALCULO GARANTIA'!H47+AJUSTE!AQ47,2)</f>
        <v>52346.96</v>
      </c>
      <c r="G48" s="55">
        <f>ROUND(+'CALCULO GARANTIA'!J47+'CALCULO GARANTIA'!Q47+AJUSTE!AR47,2)</f>
        <v>64813.35</v>
      </c>
      <c r="H48" s="55">
        <f>ROUND(+'CALCULO GARANTIA'!K47+'CALCULO GARANTIA'!R47+AJUSTE!AS47,2)</f>
        <v>9791.31</v>
      </c>
      <c r="I48" s="55">
        <f>ROUND(+'PART MES'!E$12*'COEF Art 14 F II ieps'!L49+AJUSTE!AT47,2)</f>
        <v>27277.24</v>
      </c>
      <c r="J48" s="55">
        <f>+'ISR agosto '!E47</f>
        <v>-19912</v>
      </c>
      <c r="K48" s="55">
        <f>+ISAI!D45+AJUSTE!AU47</f>
        <v>8923.6560111970211</v>
      </c>
      <c r="L48" s="55">
        <f>ROUND('PART MES'!$O$4*'COEF Art 14 F I '!AF48,2)</f>
        <v>-5754.66</v>
      </c>
      <c r="M48" s="186">
        <f t="shared" si="1"/>
        <v>2324646.7860111976</v>
      </c>
    </row>
    <row r="49" spans="1:14">
      <c r="A49" s="149" t="s">
        <v>43</v>
      </c>
      <c r="B49" s="55">
        <f>ROUND(+'CALCULO GARANTIA'!C48+'CALCULO GARANTIA'!M48+AJUSTE!AM48,2)</f>
        <v>1837812.05</v>
      </c>
      <c r="C49" s="55">
        <f>ROUND(+'CALCULO GARANTIA'!E48+'CALCULO GARANTIA'!N48+AJUSTE!AN48,2)</f>
        <v>250291.19</v>
      </c>
      <c r="D49" s="55">
        <f>ROUND(+'Art.14 Frac.III '!P47+AJUSTE!AO48,2)</f>
        <v>465745.42</v>
      </c>
      <c r="E49" s="55">
        <f>ROUND(+'CALCULO GARANTIA'!G48+'CALCULO GARANTIA'!O48+AJUSTE!AP48,2)</f>
        <v>63369.88</v>
      </c>
      <c r="F49" s="55">
        <f>ROUND('PART MES'!$E$7*'CALCULO GARANTIA'!H48+AJUSTE!AQ48,2)</f>
        <v>62956.94</v>
      </c>
      <c r="G49" s="55">
        <f>ROUND(+'CALCULO GARANTIA'!J48+'CALCULO GARANTIA'!Q48+AJUSTE!AR48,2)</f>
        <v>68487.66</v>
      </c>
      <c r="H49" s="55">
        <f>ROUND(+'CALCULO GARANTIA'!K48+'CALCULO GARANTIA'!R48+AJUSTE!AS48,2)</f>
        <v>10894.97</v>
      </c>
      <c r="I49" s="55">
        <f>ROUND(+'PART MES'!E$12*'COEF Art 14 F II ieps'!L50+AJUSTE!AT48,2)</f>
        <v>19370.62</v>
      </c>
      <c r="J49" s="55">
        <f>+'ISR agosto '!E48</f>
        <v>96839</v>
      </c>
      <c r="K49" s="55">
        <f>+ISAI!D46+AJUSTE!AU48</f>
        <v>499.53445562494085</v>
      </c>
      <c r="L49" s="55">
        <f>ROUND('PART MES'!$O$4*'COEF Art 14 F I '!AF49,2)</f>
        <v>-5310.57</v>
      </c>
      <c r="M49" s="186">
        <f t="shared" si="1"/>
        <v>2870956.6944556255</v>
      </c>
    </row>
    <row r="50" spans="1:14">
      <c r="A50" s="149" t="s">
        <v>44</v>
      </c>
      <c r="B50" s="55">
        <f>ROUND(+'CALCULO GARANTIA'!C49+'CALCULO GARANTIA'!M49+AJUSTE!AM49,2)</f>
        <v>5272795.9800000004</v>
      </c>
      <c r="C50" s="55">
        <f>ROUND(+'CALCULO GARANTIA'!E49+'CALCULO GARANTIA'!N49+AJUSTE!AN49,2)</f>
        <v>718458.3</v>
      </c>
      <c r="D50" s="55">
        <f>ROUND(+'Art.14 Frac.III '!P48+AJUSTE!AO49,2)</f>
        <v>328211.46999999997</v>
      </c>
      <c r="E50" s="55">
        <f>ROUND(+'CALCULO GARANTIA'!G49+'CALCULO GARANTIA'!O49+AJUSTE!AP49,2)</f>
        <v>182482.5</v>
      </c>
      <c r="F50" s="55">
        <f>ROUND('PART MES'!$E$7*'CALCULO GARANTIA'!H49+AJUSTE!AQ49,2)</f>
        <v>184668.75</v>
      </c>
      <c r="G50" s="55">
        <f>ROUND(+'CALCULO GARANTIA'!J49+'CALCULO GARANTIA'!Q49+AJUSTE!AR49,2)</f>
        <v>192498.26</v>
      </c>
      <c r="H50" s="55">
        <f>ROUND(+'CALCULO GARANTIA'!K49+'CALCULO GARANTIA'!R49+AJUSTE!AS49,2)</f>
        <v>31257.47</v>
      </c>
      <c r="I50" s="55">
        <f>ROUND(+'PART MES'!E$12*'COEF Art 14 F II ieps'!L51+AJUSTE!AT49,2)</f>
        <v>130610.56</v>
      </c>
      <c r="J50" s="55">
        <f>+'ISR agosto '!E49</f>
        <v>952743</v>
      </c>
      <c r="K50" s="55">
        <f>+ISAI!D47+AJUSTE!AU49</f>
        <v>10695.217104436664</v>
      </c>
      <c r="L50" s="55">
        <f>ROUND('PART MES'!$O$4*'COEF Art 14 F I '!AF50,2)</f>
        <v>-14035.67</v>
      </c>
      <c r="M50" s="186">
        <f t="shared" si="1"/>
        <v>7990385.837104436</v>
      </c>
    </row>
    <row r="51" spans="1:14">
      <c r="A51" s="149" t="s">
        <v>45</v>
      </c>
      <c r="B51" s="55">
        <f>ROUND(+'CALCULO GARANTIA'!C50+'CALCULO GARANTIA'!M50+AJUSTE!AM50,2)</f>
        <v>4730598.33</v>
      </c>
      <c r="C51" s="55">
        <f>ROUND(+'CALCULO GARANTIA'!E50+'CALCULO GARANTIA'!N50+AJUSTE!AN50,2)</f>
        <v>638719.86</v>
      </c>
      <c r="D51" s="55">
        <f>ROUND(+'Art.14 Frac.III '!P49+AJUSTE!AO50,2)</f>
        <v>418390.3</v>
      </c>
      <c r="E51" s="55">
        <f>ROUND(+'CALCULO GARANTIA'!G50+'CALCULO GARANTIA'!O50+AJUSTE!AP50,2)</f>
        <v>156669.24</v>
      </c>
      <c r="F51" s="55">
        <f>ROUND('PART MES'!$E$7*'CALCULO GARANTIA'!H50+AJUSTE!AQ50,2)</f>
        <v>99772.42</v>
      </c>
      <c r="G51" s="55">
        <f>ROUND(+'CALCULO GARANTIA'!J50+'CALCULO GARANTIA'!Q50+AJUSTE!AR50,2)</f>
        <v>227467</v>
      </c>
      <c r="H51" s="55">
        <f>ROUND(+'CALCULO GARANTIA'!K50+'CALCULO GARANTIA'!R50+AJUSTE!AS50,2)</f>
        <v>28206.68</v>
      </c>
      <c r="I51" s="55">
        <f>ROUND(+'PART MES'!E$12*'COEF Art 14 F II ieps'!L52+AJUSTE!AT50,2)</f>
        <v>264958.55</v>
      </c>
      <c r="J51" s="55">
        <f>+'ISR agosto '!E50</f>
        <v>1102815</v>
      </c>
      <c r="K51" s="55">
        <f>+ISAI!D48+AJUSTE!AU50</f>
        <v>166539.2358441164</v>
      </c>
      <c r="L51" s="55">
        <f>ROUND('PART MES'!$O$4*'COEF Art 14 F I '!AF51,2)</f>
        <v>-28827.119999999999</v>
      </c>
      <c r="M51" s="186">
        <f t="shared" si="1"/>
        <v>7805309.4958441164</v>
      </c>
    </row>
    <row r="52" spans="1:14">
      <c r="A52" s="149" t="s">
        <v>46</v>
      </c>
      <c r="B52" s="55">
        <f>ROUND(+'CALCULO GARANTIA'!C51+'CALCULO GARANTIA'!M51+AJUSTE!AM51,2)</f>
        <v>41840342.880000003</v>
      </c>
      <c r="C52" s="55">
        <f>ROUND(+'CALCULO GARANTIA'!E51+'CALCULO GARANTIA'!N51+AJUSTE!AN51,2)</f>
        <v>5672464.1200000001</v>
      </c>
      <c r="D52" s="55">
        <f>ROUND(+'Art.14 Frac.III '!P50+AJUSTE!AO51,2)</f>
        <v>1049774.8999999999</v>
      </c>
      <c r="E52" s="55">
        <f>ROUND(+'CALCULO GARANTIA'!G51+'CALCULO GARANTIA'!O51+AJUSTE!AP51,2)</f>
        <v>1416958.69</v>
      </c>
      <c r="F52" s="55">
        <f>ROUND('PART MES'!$E$7*'CALCULO GARANTIA'!H51+AJUSTE!AQ51,2)</f>
        <v>1130897.7</v>
      </c>
      <c r="G52" s="55">
        <f>ROUND(+'CALCULO GARANTIA'!J51+'CALCULO GARANTIA'!Q51+AJUSTE!AR51,2)</f>
        <v>1793550.93</v>
      </c>
      <c r="H52" s="55">
        <f>ROUND(+'CALCULO GARANTIA'!K51+'CALCULO GARANTIA'!R51+AJUSTE!AS51,2)</f>
        <v>248890.03</v>
      </c>
      <c r="I52" s="55">
        <f>ROUND(+'PART MES'!E$12*'COEF Art 14 F II ieps'!L53+AJUSTE!AT51,2)</f>
        <v>1615428.29</v>
      </c>
      <c r="J52" s="55">
        <f>+'ISR agosto '!E51</f>
        <v>4613244</v>
      </c>
      <c r="K52" s="55">
        <f>+ISAI!D49+AJUSTE!AU51</f>
        <v>314298.91723949736</v>
      </c>
      <c r="L52" s="55">
        <f>ROUND('PART MES'!$O$4*'COEF Art 14 F I '!AF52,2)</f>
        <v>-190012.14</v>
      </c>
      <c r="M52" s="186">
        <f t="shared" si="1"/>
        <v>59505838.317239493</v>
      </c>
    </row>
    <row r="53" spans="1:14">
      <c r="A53" s="149" t="s">
        <v>47</v>
      </c>
      <c r="B53" s="55">
        <f>ROUND(+'CALCULO GARANTIA'!C52+'CALCULO GARANTIA'!M52+AJUSTE!AM52,2)</f>
        <v>80818795.540000007</v>
      </c>
      <c r="C53" s="55">
        <f>ROUND(+'CALCULO GARANTIA'!E52+'CALCULO GARANTIA'!N52+AJUSTE!AN52,2)</f>
        <v>10959582.85</v>
      </c>
      <c r="D53" s="55">
        <f>ROUND(+'Art.14 Frac.III '!P51+AJUSTE!AO52,2)</f>
        <v>1898598.06</v>
      </c>
      <c r="E53" s="55">
        <f>ROUND(+'CALCULO GARANTIA'!G52+'CALCULO GARANTIA'!O52+AJUSTE!AP52,2)</f>
        <v>2740869.53</v>
      </c>
      <c r="F53" s="55">
        <f>ROUND('PART MES'!$E$7*'CALCULO GARANTIA'!H52+AJUSTE!AQ52,2)</f>
        <v>2195439.2599999998</v>
      </c>
      <c r="G53" s="55">
        <f>ROUND(+'CALCULO GARANTIA'!J52+'CALCULO GARANTIA'!Q52+AJUSTE!AR52,2)</f>
        <v>3449147.59</v>
      </c>
      <c r="H53" s="55">
        <f>ROUND(+'CALCULO GARANTIA'!K52+'CALCULO GARANTIA'!R52+AJUSTE!AS52,2)</f>
        <v>480612.69</v>
      </c>
      <c r="I53" s="55">
        <f>ROUND(+'PART MES'!E$12*'COEF Art 14 F II ieps'!L54+AJUSTE!AT52,2)</f>
        <v>1194496.83</v>
      </c>
      <c r="J53" s="55">
        <f>+'ISR agosto '!E52</f>
        <v>15635816</v>
      </c>
      <c r="K53" s="55">
        <f>+ISAI!D50+AJUSTE!AU52</f>
        <v>1431558.944921982</v>
      </c>
      <c r="L53" s="55">
        <f>ROUND('PART MES'!$O$4*'COEF Art 14 F I '!AF53,2)</f>
        <v>-362431.12</v>
      </c>
      <c r="M53" s="186">
        <f t="shared" si="1"/>
        <v>120442486.17492199</v>
      </c>
    </row>
    <row r="54" spans="1:14">
      <c r="A54" s="149" t="s">
        <v>48</v>
      </c>
      <c r="B54" s="55">
        <f>ROUND(+'CALCULO GARANTIA'!C53+'CALCULO GARANTIA'!M53+AJUSTE!AM53,2)</f>
        <v>21831725.469999999</v>
      </c>
      <c r="C54" s="55">
        <f>ROUND(+'CALCULO GARANTIA'!E53+'CALCULO GARANTIA'!N53+AJUSTE!AN53,2)</f>
        <v>2959433.7</v>
      </c>
      <c r="D54" s="55">
        <f>ROUND(+'Art.14 Frac.III '!P52+AJUSTE!AO53,2)</f>
        <v>665211.6</v>
      </c>
      <c r="E54" s="55">
        <f>ROUND(+'CALCULO GARANTIA'!G53+'CALCULO GARANTIA'!O53+AJUSTE!AP53,2)</f>
        <v>736968</v>
      </c>
      <c r="F54" s="55">
        <f>ROUND('PART MES'!$E$7*'CALCULO GARANTIA'!H53+AJUSTE!AQ53,2)</f>
        <v>586613.99</v>
      </c>
      <c r="G54" s="55">
        <f>ROUND(+'CALCULO GARANTIA'!J53+'CALCULO GARANTIA'!Q53+AJUSTE!AR53,2)</f>
        <v>944073.12</v>
      </c>
      <c r="H54" s="55">
        <f>ROUND(+'CALCULO GARANTIA'!K53+'CALCULO GARANTIA'!R53+AJUSTE!AS53,2)</f>
        <v>129810.19</v>
      </c>
      <c r="I54" s="55">
        <f>ROUND(+'PART MES'!E$12*'COEF Art 14 F II ieps'!L55+AJUSTE!AT53,2)</f>
        <v>1072221.77</v>
      </c>
      <c r="J54" s="55">
        <f>+'ISR agosto '!E53</f>
        <v>3245118</v>
      </c>
      <c r="K54" s="55">
        <f>+ISAI!D51+AJUSTE!AU53</f>
        <v>518193.45155042404</v>
      </c>
      <c r="L54" s="55">
        <f>ROUND('PART MES'!$O$4*'COEF Art 14 F I '!AF54,2)</f>
        <v>-101710.48</v>
      </c>
      <c r="M54" s="186">
        <f t="shared" si="1"/>
        <v>32587658.811550424</v>
      </c>
    </row>
    <row r="55" spans="1:14">
      <c r="A55" s="149" t="s">
        <v>49</v>
      </c>
      <c r="B55" s="55">
        <f>ROUND(+'CALCULO GARANTIA'!C54+'CALCULO GARANTIA'!M54+AJUSTE!AM54,2)</f>
        <v>7156943.75</v>
      </c>
      <c r="C55" s="55">
        <f>ROUND(+'CALCULO GARANTIA'!E54+'CALCULO GARANTIA'!N54+AJUSTE!AN54,2)</f>
        <v>965142.47</v>
      </c>
      <c r="D55" s="55">
        <f>ROUND(+'Art.14 Frac.III '!P53+AJUSTE!AO54,2)</f>
        <v>548164.37</v>
      </c>
      <c r="E55" s="55">
        <f>ROUND(+'CALCULO GARANTIA'!G54+'CALCULO GARANTIA'!O54+AJUSTE!AP54,2)</f>
        <v>237901.8</v>
      </c>
      <c r="F55" s="55">
        <f>ROUND('PART MES'!$E$7*'CALCULO GARANTIA'!H54+AJUSTE!AQ54,2)</f>
        <v>136652.01999999999</v>
      </c>
      <c r="G55" s="55">
        <f>ROUND(+'CALCULO GARANTIA'!J54+'CALCULO GARANTIA'!Q54+AJUSTE!AR54,2)</f>
        <v>349632.13</v>
      </c>
      <c r="H55" s="55">
        <f>ROUND(+'CALCULO GARANTIA'!K54+'CALCULO GARANTIA'!R54+AJUSTE!AS54,2)</f>
        <v>42787.69</v>
      </c>
      <c r="I55" s="55">
        <f>ROUND(+'PART MES'!E$12*'COEF Art 14 F II ieps'!L56+AJUSTE!AT54,2)</f>
        <v>228386.46</v>
      </c>
      <c r="J55" s="55">
        <f>+'ISR agosto '!E54</f>
        <v>855385.66007818282</v>
      </c>
      <c r="K55" s="55">
        <f>+ISAI!D52+AJUSTE!AU54</f>
        <v>519915.86720611609</v>
      </c>
      <c r="L55" s="55">
        <f>ROUND('PART MES'!$O$4*'COEF Art 14 F I '!AF55,2)</f>
        <v>-45090.29</v>
      </c>
      <c r="M55" s="186">
        <f t="shared" si="1"/>
        <v>10995821.9272843</v>
      </c>
    </row>
    <row r="56" spans="1:14">
      <c r="A56" s="149" t="s">
        <v>50</v>
      </c>
      <c r="B56" s="55">
        <f>ROUND(+'CALCULO GARANTIA'!C55+'CALCULO GARANTIA'!M55+AJUSTE!AM55,2)</f>
        <v>1432051.35</v>
      </c>
      <c r="C56" s="55">
        <f>ROUND(+'CALCULO GARANTIA'!E55+'CALCULO GARANTIA'!N55+AJUSTE!AN55,2)</f>
        <v>193514.18</v>
      </c>
      <c r="D56" s="55">
        <f>ROUND(+'Art.14 Frac.III '!P54+AJUSTE!AO55,2)</f>
        <v>109539.38</v>
      </c>
      <c r="E56" s="55">
        <f>ROUND(+'CALCULO GARANTIA'!G55+'CALCULO GARANTIA'!O55+AJUSTE!AP55,2)</f>
        <v>47838.57</v>
      </c>
      <c r="F56" s="55">
        <f>ROUND('PART MES'!$E$7*'CALCULO GARANTIA'!H55+AJUSTE!AQ55,2)</f>
        <v>32583.88</v>
      </c>
      <c r="G56" s="55">
        <f>ROUND(+'CALCULO GARANTIA'!J55+'CALCULO GARANTIA'!Q55+AJUSTE!AR55,2)</f>
        <v>66427.53</v>
      </c>
      <c r="H56" s="55">
        <f>ROUND(+'CALCULO GARANTIA'!K55+'CALCULO GARANTIA'!R55+AJUSTE!AS55,2)</f>
        <v>8545.39</v>
      </c>
      <c r="I56" s="55">
        <f>ROUND(+'PART MES'!E$12*'COEF Art 14 F II ieps'!L57+AJUSTE!AT55,2)</f>
        <v>22970.77</v>
      </c>
      <c r="J56" s="55">
        <f>+'ISR agosto '!E55</f>
        <v>-1985</v>
      </c>
      <c r="K56" s="55">
        <f>+ISAI!D53+AJUSTE!AU55</f>
        <v>2035.780741866045</v>
      </c>
      <c r="L56" s="55">
        <f>ROUND('PART MES'!$O$4*'COEF Art 14 F I '!AF56,2)</f>
        <v>-7992.12</v>
      </c>
      <c r="M56" s="186">
        <f t="shared" si="1"/>
        <v>1905529.7107418659</v>
      </c>
    </row>
    <row r="57" spans="1:14" ht="13.5" thickBot="1">
      <c r="A57" s="150" t="s">
        <v>51</v>
      </c>
      <c r="B57" s="55">
        <f>ROUND(+'CALCULO GARANTIA'!C56+'CALCULO GARANTIA'!M56+AJUSTE!AM56,2)</f>
        <v>1903938.36</v>
      </c>
      <c r="C57" s="55">
        <f>ROUND(+'CALCULO GARANTIA'!E56+'CALCULO GARANTIA'!N56+AJUSTE!AN56,2)</f>
        <v>258781.2</v>
      </c>
      <c r="D57" s="55">
        <f>ROUND(+'Art.14 Frac.III '!P55+AJUSTE!AO56,2)</f>
        <v>87878.84</v>
      </c>
      <c r="E57" s="55">
        <f>ROUND(+'CALCULO GARANTIA'!G56+'CALCULO GARANTIA'!O56+AJUSTE!AP56,2)</f>
        <v>65113.83</v>
      </c>
      <c r="F57" s="55">
        <f>ROUND('PART MES'!$E$7*'CALCULO GARANTIA'!H56+AJUSTE!AQ56,2)</f>
        <v>59599.81</v>
      </c>
      <c r="G57" s="55">
        <f>ROUND(+'CALCULO GARANTIA'!J56+'CALCULO GARANTIA'!Q56+AJUSTE!AR56,2)</f>
        <v>75438.95</v>
      </c>
      <c r="H57" s="55">
        <f>ROUND(+'CALCULO GARANTIA'!K56+'CALCULO GARANTIA'!R56+AJUSTE!AS56,2)</f>
        <v>11305.4</v>
      </c>
      <c r="I57" s="55">
        <f>ROUND(+'PART MES'!E$12*'COEF Art 14 F II ieps'!L58+AJUSTE!AT56,2)</f>
        <v>26532.95</v>
      </c>
      <c r="J57" s="55">
        <f>+'ISR agosto '!E56</f>
        <v>431510</v>
      </c>
      <c r="K57" s="55">
        <f>+ISAI!D54+AJUSTE!AU56</f>
        <v>1653.5817724782448</v>
      </c>
      <c r="L57" s="55">
        <f>ROUND('PART MES'!$O$4*'COEF Art 14 F I '!AF57,2)</f>
        <v>-6826.55</v>
      </c>
      <c r="M57" s="186">
        <f t="shared" si="1"/>
        <v>2914926.3717724788</v>
      </c>
    </row>
    <row r="58" spans="1:14" ht="13.5" thickBot="1">
      <c r="A58" s="144" t="s">
        <v>52</v>
      </c>
      <c r="B58" s="145">
        <f t="shared" ref="B58:F58" si="2">SUM(B7:B57)</f>
        <v>581339701.60000014</v>
      </c>
      <c r="C58" s="145">
        <f t="shared" si="2"/>
        <v>78729587.99000001</v>
      </c>
      <c r="D58" s="146">
        <f t="shared" si="2"/>
        <v>24676131.070000004</v>
      </c>
      <c r="E58" s="145">
        <f t="shared" si="2"/>
        <v>19565771.390000001</v>
      </c>
      <c r="F58" s="145">
        <f t="shared" si="2"/>
        <v>15059622.139999999</v>
      </c>
      <c r="G58" s="145">
        <f t="shared" ref="G58:M58" si="3">SUM(G7:G57)</f>
        <v>25584521.990000002</v>
      </c>
      <c r="H58" s="145">
        <f t="shared" si="3"/>
        <v>3461296.41</v>
      </c>
      <c r="I58" s="145">
        <f t="shared" si="3"/>
        <v>21721187.239999998</v>
      </c>
      <c r="J58" s="145">
        <f t="shared" si="3"/>
        <v>81113256.226174995</v>
      </c>
      <c r="K58" s="145">
        <f t="shared" si="3"/>
        <v>10167099.003333332</v>
      </c>
      <c r="L58" s="146">
        <f t="shared" si="3"/>
        <v>-2838723.73</v>
      </c>
      <c r="M58" s="147">
        <f t="shared" si="3"/>
        <v>858579451.32950866</v>
      </c>
      <c r="N58" s="16" t="s">
        <v>154</v>
      </c>
    </row>
    <row r="59" spans="1:14">
      <c r="A59" s="338" t="s">
        <v>327</v>
      </c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 t="s">
        <v>154</v>
      </c>
    </row>
    <row r="60" spans="1:14" ht="16.5" customHeight="1">
      <c r="A60" s="15" t="s">
        <v>108</v>
      </c>
      <c r="B60" s="51"/>
      <c r="C60" s="51"/>
      <c r="D60" s="51"/>
      <c r="E60" s="51"/>
    </row>
    <row r="61" spans="1:14">
      <c r="A61" s="17"/>
    </row>
    <row r="62" spans="1:14">
      <c r="A62" s="17"/>
    </row>
    <row r="63" spans="1:14" ht="16.5" customHeight="1">
      <c r="A63" s="439"/>
      <c r="B63" s="439"/>
      <c r="C63" s="439"/>
      <c r="D63" s="439"/>
      <c r="E63" s="439"/>
      <c r="F63" s="439"/>
    </row>
    <row r="64" spans="1:14">
      <c r="A64" s="439"/>
      <c r="B64" s="439"/>
      <c r="C64" s="439"/>
      <c r="D64" s="439"/>
      <c r="E64" s="439"/>
      <c r="F64" s="439"/>
    </row>
    <row r="65" spans="1:6">
      <c r="A65" s="439"/>
      <c r="B65" s="439"/>
      <c r="C65" s="439"/>
      <c r="D65" s="439"/>
      <c r="E65" s="439"/>
      <c r="F65" s="439"/>
    </row>
    <row r="66" spans="1:6">
      <c r="A66" s="440"/>
      <c r="B66" s="441"/>
      <c r="C66" s="441"/>
      <c r="D66" s="441"/>
      <c r="E66" s="441"/>
      <c r="F66" s="442"/>
    </row>
    <row r="67" spans="1:6">
      <c r="A67" s="440"/>
      <c r="B67" s="441"/>
      <c r="C67" s="441"/>
      <c r="D67" s="441"/>
      <c r="E67" s="441"/>
      <c r="F67" s="442"/>
    </row>
    <row r="68" spans="1:6">
      <c r="A68" s="370"/>
      <c r="B68" s="55"/>
      <c r="C68" s="55"/>
      <c r="D68" s="55"/>
      <c r="E68" s="55"/>
      <c r="F68" s="371"/>
    </row>
    <row r="69" spans="1:6">
      <c r="A69" s="370"/>
      <c r="B69" s="55"/>
      <c r="C69" s="55"/>
      <c r="D69" s="55"/>
      <c r="E69" s="55"/>
      <c r="F69" s="371"/>
    </row>
    <row r="70" spans="1:6">
      <c r="A70" s="370"/>
      <c r="B70" s="55"/>
      <c r="C70" s="55"/>
      <c r="D70" s="55"/>
      <c r="E70" s="55"/>
      <c r="F70" s="371"/>
    </row>
    <row r="71" spans="1:6">
      <c r="A71" s="370"/>
      <c r="B71" s="55"/>
      <c r="C71" s="55"/>
      <c r="D71" s="55"/>
      <c r="E71" s="55"/>
      <c r="F71" s="371"/>
    </row>
    <row r="72" spans="1:6">
      <c r="A72" s="370"/>
      <c r="B72" s="55"/>
      <c r="C72" s="55"/>
      <c r="D72" s="55"/>
      <c r="E72" s="55"/>
      <c r="F72" s="371"/>
    </row>
    <row r="73" spans="1:6">
      <c r="A73" s="370"/>
      <c r="B73" s="55"/>
      <c r="C73" s="55"/>
      <c r="D73" s="55"/>
      <c r="E73" s="55"/>
      <c r="F73" s="371"/>
    </row>
    <row r="74" spans="1:6">
      <c r="A74" s="370"/>
      <c r="B74" s="55"/>
      <c r="C74" s="55"/>
      <c r="D74" s="55"/>
      <c r="E74" s="55"/>
      <c r="F74" s="371"/>
    </row>
    <row r="75" spans="1:6">
      <c r="A75" s="370"/>
      <c r="B75" s="55"/>
      <c r="C75" s="55"/>
      <c r="D75" s="55"/>
      <c r="E75" s="55"/>
      <c r="F75" s="371"/>
    </row>
    <row r="76" spans="1:6">
      <c r="A76" s="370"/>
      <c r="B76" s="55"/>
      <c r="C76" s="55"/>
      <c r="D76" s="55"/>
      <c r="E76" s="55"/>
      <c r="F76" s="371"/>
    </row>
    <row r="77" spans="1:6">
      <c r="A77" s="370"/>
      <c r="B77" s="55"/>
      <c r="C77" s="55"/>
      <c r="D77" s="55"/>
      <c r="E77" s="55"/>
      <c r="F77" s="371"/>
    </row>
    <row r="78" spans="1:6">
      <c r="A78" s="370"/>
      <c r="B78" s="55"/>
      <c r="C78" s="55"/>
      <c r="D78" s="55"/>
      <c r="E78" s="55"/>
      <c r="F78" s="371"/>
    </row>
    <row r="79" spans="1:6">
      <c r="A79" s="370"/>
      <c r="B79" s="55"/>
      <c r="C79" s="55"/>
      <c r="D79" s="55"/>
      <c r="E79" s="55"/>
      <c r="F79" s="371"/>
    </row>
    <row r="80" spans="1:6">
      <c r="A80" s="370"/>
      <c r="B80" s="55"/>
      <c r="C80" s="55"/>
      <c r="D80" s="55"/>
      <c r="E80" s="55"/>
      <c r="F80" s="371"/>
    </row>
    <row r="81" spans="1:6">
      <c r="A81" s="370"/>
      <c r="B81" s="55"/>
      <c r="C81" s="55"/>
      <c r="D81" s="55"/>
      <c r="E81" s="55"/>
      <c r="F81" s="371"/>
    </row>
    <row r="82" spans="1:6">
      <c r="A82" s="370"/>
      <c r="B82" s="55"/>
      <c r="C82" s="55"/>
      <c r="D82" s="55"/>
      <c r="E82" s="55"/>
      <c r="F82" s="371"/>
    </row>
    <row r="83" spans="1:6">
      <c r="A83" s="370"/>
      <c r="B83" s="55"/>
      <c r="C83" s="55"/>
      <c r="D83" s="55"/>
      <c r="E83" s="55"/>
      <c r="F83" s="371"/>
    </row>
    <row r="84" spans="1:6">
      <c r="A84" s="370"/>
      <c r="B84" s="55"/>
      <c r="C84" s="55"/>
      <c r="D84" s="55"/>
      <c r="E84" s="55"/>
      <c r="F84" s="371"/>
    </row>
    <row r="85" spans="1:6">
      <c r="A85" s="370"/>
      <c r="B85" s="55"/>
      <c r="C85" s="55"/>
      <c r="D85" s="55"/>
      <c r="E85" s="55"/>
      <c r="F85" s="371"/>
    </row>
    <row r="86" spans="1:6">
      <c r="A86" s="370"/>
      <c r="B86" s="55"/>
      <c r="C86" s="55"/>
      <c r="D86" s="55"/>
      <c r="E86" s="55"/>
      <c r="F86" s="371"/>
    </row>
    <row r="87" spans="1:6">
      <c r="A87" s="370"/>
      <c r="B87" s="55"/>
      <c r="C87" s="55"/>
      <c r="D87" s="55"/>
      <c r="E87" s="55"/>
      <c r="F87" s="371"/>
    </row>
    <row r="88" spans="1:6">
      <c r="A88" s="370"/>
      <c r="B88" s="55"/>
      <c r="C88" s="55"/>
      <c r="D88" s="55"/>
      <c r="E88" s="55"/>
      <c r="F88" s="371"/>
    </row>
    <row r="89" spans="1:6">
      <c r="A89" s="370"/>
      <c r="B89" s="55"/>
      <c r="C89" s="55"/>
      <c r="D89" s="55"/>
      <c r="E89" s="55"/>
      <c r="F89" s="371"/>
    </row>
    <row r="90" spans="1:6">
      <c r="A90" s="370"/>
      <c r="B90" s="55"/>
      <c r="C90" s="55"/>
      <c r="D90" s="55"/>
      <c r="E90" s="55"/>
      <c r="F90" s="371"/>
    </row>
    <row r="91" spans="1:6">
      <c r="A91" s="370"/>
      <c r="B91" s="55"/>
      <c r="C91" s="55"/>
      <c r="D91" s="55"/>
      <c r="E91" s="55"/>
      <c r="F91" s="371"/>
    </row>
    <row r="92" spans="1:6">
      <c r="A92" s="370"/>
      <c r="B92" s="55"/>
      <c r="C92" s="55"/>
      <c r="D92" s="55"/>
      <c r="E92" s="55"/>
      <c r="F92" s="371"/>
    </row>
    <row r="93" spans="1:6">
      <c r="A93" s="370"/>
      <c r="B93" s="55"/>
      <c r="C93" s="55"/>
      <c r="D93" s="55"/>
      <c r="E93" s="55"/>
      <c r="F93" s="371"/>
    </row>
    <row r="94" spans="1:6">
      <c r="A94" s="370"/>
      <c r="B94" s="55"/>
      <c r="C94" s="55"/>
      <c r="D94" s="55"/>
      <c r="E94" s="55"/>
      <c r="F94" s="371"/>
    </row>
    <row r="95" spans="1:6">
      <c r="A95" s="370"/>
      <c r="B95" s="55"/>
      <c r="C95" s="55"/>
      <c r="D95" s="55"/>
      <c r="E95" s="55"/>
      <c r="F95" s="371"/>
    </row>
    <row r="96" spans="1:6">
      <c r="A96" s="370"/>
      <c r="B96" s="55"/>
      <c r="C96" s="55"/>
      <c r="D96" s="55"/>
      <c r="E96" s="55"/>
      <c r="F96" s="371"/>
    </row>
    <row r="97" spans="1:6">
      <c r="A97" s="370"/>
      <c r="B97" s="55"/>
      <c r="C97" s="55"/>
      <c r="D97" s="55"/>
      <c r="E97" s="55"/>
      <c r="F97" s="371"/>
    </row>
    <row r="98" spans="1:6">
      <c r="A98" s="370"/>
      <c r="B98" s="55"/>
      <c r="C98" s="55"/>
      <c r="D98" s="55"/>
      <c r="E98" s="55"/>
      <c r="F98" s="371"/>
    </row>
    <row r="99" spans="1:6">
      <c r="A99" s="370"/>
      <c r="B99" s="55"/>
      <c r="C99" s="55"/>
      <c r="D99" s="55"/>
      <c r="E99" s="55"/>
      <c r="F99" s="371"/>
    </row>
    <row r="100" spans="1:6">
      <c r="A100" s="370"/>
      <c r="B100" s="55"/>
      <c r="C100" s="55"/>
      <c r="D100" s="55"/>
      <c r="E100" s="55"/>
      <c r="F100" s="371"/>
    </row>
    <row r="101" spans="1:6">
      <c r="A101" s="370"/>
      <c r="B101" s="55"/>
      <c r="C101" s="55"/>
      <c r="D101" s="55"/>
      <c r="E101" s="55"/>
      <c r="F101" s="371"/>
    </row>
    <row r="102" spans="1:6">
      <c r="A102" s="370"/>
      <c r="B102" s="55"/>
      <c r="C102" s="55"/>
      <c r="D102" s="55"/>
      <c r="E102" s="55"/>
      <c r="F102" s="371"/>
    </row>
    <row r="103" spans="1:6">
      <c r="A103" s="370"/>
      <c r="B103" s="55"/>
      <c r="C103" s="55"/>
      <c r="D103" s="55"/>
      <c r="E103" s="55"/>
      <c r="F103" s="371"/>
    </row>
    <row r="104" spans="1:6">
      <c r="A104" s="370"/>
      <c r="B104" s="55"/>
      <c r="C104" s="55"/>
      <c r="D104" s="55"/>
      <c r="E104" s="55"/>
      <c r="F104" s="371"/>
    </row>
    <row r="105" spans="1:6">
      <c r="A105" s="370"/>
      <c r="B105" s="55"/>
      <c r="C105" s="55"/>
      <c r="D105" s="55"/>
      <c r="E105" s="55"/>
      <c r="F105" s="371"/>
    </row>
    <row r="106" spans="1:6">
      <c r="A106" s="370"/>
      <c r="B106" s="55"/>
      <c r="C106" s="55"/>
      <c r="D106" s="55"/>
      <c r="E106" s="55"/>
      <c r="F106" s="371"/>
    </row>
    <row r="107" spans="1:6">
      <c r="A107" s="370"/>
      <c r="B107" s="55"/>
      <c r="C107" s="55"/>
      <c r="D107" s="55"/>
      <c r="E107" s="55"/>
      <c r="F107" s="371"/>
    </row>
    <row r="108" spans="1:6">
      <c r="A108" s="370"/>
      <c r="B108" s="55"/>
      <c r="C108" s="55"/>
      <c r="D108" s="55"/>
      <c r="E108" s="55"/>
      <c r="F108" s="371"/>
    </row>
    <row r="109" spans="1:6">
      <c r="A109" s="370"/>
      <c r="B109" s="55"/>
      <c r="C109" s="55"/>
      <c r="D109" s="55"/>
      <c r="E109" s="55"/>
      <c r="F109" s="371"/>
    </row>
    <row r="110" spans="1:6">
      <c r="A110" s="370"/>
      <c r="B110" s="55"/>
      <c r="C110" s="55"/>
      <c r="D110" s="55"/>
      <c r="E110" s="55"/>
      <c r="F110" s="371"/>
    </row>
    <row r="111" spans="1:6">
      <c r="A111" s="370"/>
      <c r="B111" s="55"/>
      <c r="C111" s="55"/>
      <c r="D111" s="55"/>
      <c r="E111" s="55"/>
      <c r="F111" s="371"/>
    </row>
    <row r="112" spans="1:6">
      <c r="A112" s="370"/>
      <c r="B112" s="55"/>
      <c r="C112" s="55"/>
      <c r="D112" s="55"/>
      <c r="E112" s="55"/>
      <c r="F112" s="371"/>
    </row>
    <row r="113" spans="1:6">
      <c r="A113" s="370"/>
      <c r="B113" s="55"/>
      <c r="C113" s="55"/>
      <c r="D113" s="55"/>
      <c r="E113" s="55"/>
      <c r="F113" s="371"/>
    </row>
    <row r="114" spans="1:6">
      <c r="A114" s="370"/>
      <c r="B114" s="55"/>
      <c r="C114" s="55"/>
      <c r="D114" s="55"/>
      <c r="E114" s="55"/>
      <c r="F114" s="371"/>
    </row>
    <row r="115" spans="1:6">
      <c r="A115" s="370"/>
      <c r="B115" s="55"/>
      <c r="C115" s="55"/>
      <c r="D115" s="55"/>
      <c r="E115" s="55"/>
      <c r="F115" s="371"/>
    </row>
    <row r="116" spans="1:6">
      <c r="A116" s="370"/>
      <c r="B116" s="55"/>
      <c r="C116" s="55"/>
      <c r="D116" s="55"/>
      <c r="E116" s="55"/>
      <c r="F116" s="371"/>
    </row>
    <row r="117" spans="1:6">
      <c r="A117" s="370"/>
      <c r="B117" s="55"/>
      <c r="C117" s="55"/>
      <c r="D117" s="55"/>
      <c r="E117" s="55"/>
      <c r="F117" s="371"/>
    </row>
    <row r="118" spans="1:6">
      <c r="A118" s="370"/>
      <c r="B118" s="55"/>
      <c r="C118" s="55"/>
      <c r="D118" s="55"/>
      <c r="E118" s="55"/>
      <c r="F118" s="371"/>
    </row>
    <row r="119" spans="1:6">
      <c r="A119" s="370"/>
      <c r="B119" s="371"/>
      <c r="C119" s="371"/>
      <c r="D119" s="371"/>
      <c r="E119" s="371"/>
      <c r="F119" s="371"/>
    </row>
    <row r="120" spans="1:6">
      <c r="A120" s="372"/>
      <c r="B120" s="50"/>
      <c r="C120" s="50"/>
      <c r="D120" s="50"/>
      <c r="E120" s="50"/>
      <c r="F120" s="50"/>
    </row>
    <row r="121" spans="1:6">
      <c r="A121" s="373"/>
      <c r="B121" s="374"/>
      <c r="C121" s="374"/>
      <c r="D121" s="374"/>
      <c r="E121" s="375"/>
      <c r="F121" s="375"/>
    </row>
    <row r="1087" spans="1:1">
      <c r="A1087" s="52"/>
    </row>
  </sheetData>
  <mergeCells count="25">
    <mergeCell ref="A63:F63"/>
    <mergeCell ref="A64:F64"/>
    <mergeCell ref="A65:F65"/>
    <mergeCell ref="A66:A67"/>
    <mergeCell ref="B66:B67"/>
    <mergeCell ref="C66:C67"/>
    <mergeCell ref="D66:D67"/>
    <mergeCell ref="E66:E67"/>
    <mergeCell ref="F66:F67"/>
    <mergeCell ref="A3:M3"/>
    <mergeCell ref="L5:L6"/>
    <mergeCell ref="M5:M6"/>
    <mergeCell ref="A1:M1"/>
    <mergeCell ref="A2:M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R20" activePane="bottomRight" state="frozen"/>
      <selection activeCell="A4" sqref="A4"/>
      <selection pane="topRight" activeCell="B4" sqref="B4"/>
      <selection pane="bottomLeft" activeCell="A6" sqref="A6"/>
      <selection pane="bottomRight" activeCell="AF57" sqref="AF57"/>
    </sheetView>
  </sheetViews>
  <sheetFormatPr baseColWidth="10" defaultColWidth="9.7109375" defaultRowHeight="12.75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5" customWidth="1"/>
    <col min="11" max="11" width="12.28515625" style="2" customWidth="1"/>
    <col min="12" max="12" width="15.5703125" style="2" customWidth="1"/>
    <col min="13" max="13" width="12" style="5" customWidth="1"/>
    <col min="14" max="14" width="17.7109375" style="6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5" customWidth="1"/>
    <col min="26" max="26" width="18.42578125" style="2" bestFit="1" customWidth="1"/>
    <col min="27" max="27" width="3.7109375" style="1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26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8.75" thickBot="1">
      <c r="C3" s="444" t="s">
        <v>99</v>
      </c>
      <c r="D3" s="444"/>
      <c r="E3" s="444"/>
      <c r="F3" s="444"/>
      <c r="G3" s="444"/>
      <c r="H3" s="443" t="s">
        <v>60</v>
      </c>
      <c r="I3" s="443"/>
      <c r="J3" s="443"/>
      <c r="K3" s="443"/>
      <c r="L3" s="443"/>
      <c r="M3" s="443"/>
      <c r="N3" s="443"/>
      <c r="O3" s="443" t="s">
        <v>87</v>
      </c>
      <c r="P3" s="443"/>
      <c r="Q3" s="443"/>
      <c r="R3" s="443"/>
      <c r="S3" s="443"/>
      <c r="T3" s="443"/>
      <c r="U3" s="443"/>
      <c r="V3" s="443"/>
      <c r="W3" s="10"/>
      <c r="X3" s="443"/>
      <c r="Y3" s="443"/>
      <c r="Z3" s="240" t="s">
        <v>87</v>
      </c>
      <c r="AB3" s="444" t="s">
        <v>113</v>
      </c>
      <c r="AC3" s="444"/>
      <c r="AD3" s="444"/>
      <c r="AE3" s="444"/>
      <c r="AF3" s="444"/>
    </row>
    <row r="4" spans="1:32" ht="64.5" thickBot="1">
      <c r="B4" s="192" t="s">
        <v>0</v>
      </c>
      <c r="C4" s="192" t="s">
        <v>329</v>
      </c>
      <c r="D4" s="192" t="s">
        <v>330</v>
      </c>
      <c r="E4" s="248" t="s">
        <v>111</v>
      </c>
      <c r="F4" s="249" t="s">
        <v>112</v>
      </c>
      <c r="G4" s="250" t="s">
        <v>77</v>
      </c>
      <c r="H4" s="192" t="s">
        <v>218</v>
      </c>
      <c r="I4" s="248" t="s">
        <v>73</v>
      </c>
      <c r="J4" s="251">
        <v>0.85</v>
      </c>
      <c r="K4" s="192" t="s">
        <v>58</v>
      </c>
      <c r="L4" s="248" t="s">
        <v>74</v>
      </c>
      <c r="M4" s="251">
        <v>0.15</v>
      </c>
      <c r="N4" s="252" t="s">
        <v>75</v>
      </c>
      <c r="O4" s="188" t="s">
        <v>255</v>
      </c>
      <c r="P4" s="188" t="s">
        <v>256</v>
      </c>
      <c r="Q4" s="188" t="s">
        <v>338</v>
      </c>
      <c r="R4" s="192" t="s">
        <v>339</v>
      </c>
      <c r="S4" s="242" t="s">
        <v>311</v>
      </c>
      <c r="T4" s="242" t="s">
        <v>312</v>
      </c>
      <c r="U4" s="192" t="s">
        <v>313</v>
      </c>
      <c r="V4" s="188" t="s">
        <v>314</v>
      </c>
      <c r="W4" s="245" t="s">
        <v>315</v>
      </c>
      <c r="X4" s="242" t="s">
        <v>316</v>
      </c>
      <c r="Y4" s="192" t="s">
        <v>89</v>
      </c>
      <c r="Z4" s="253" t="s">
        <v>76</v>
      </c>
      <c r="AB4" s="254" t="s">
        <v>90</v>
      </c>
      <c r="AC4" s="254" t="s">
        <v>88</v>
      </c>
      <c r="AD4" s="254" t="s">
        <v>89</v>
      </c>
      <c r="AE4" s="254" t="s">
        <v>119</v>
      </c>
      <c r="AF4" s="254" t="s">
        <v>78</v>
      </c>
    </row>
    <row r="5" spans="1:32" s="3" customFormat="1" ht="22.5">
      <c r="B5" s="244"/>
      <c r="C5" s="255" t="s">
        <v>151</v>
      </c>
      <c r="D5" s="246" t="s">
        <v>152</v>
      </c>
      <c r="E5" s="246" t="s">
        <v>54</v>
      </c>
      <c r="F5" s="246" t="s">
        <v>55</v>
      </c>
      <c r="G5" s="256" t="s">
        <v>68</v>
      </c>
      <c r="H5" s="244" t="s">
        <v>57</v>
      </c>
      <c r="I5" s="246" t="s">
        <v>66</v>
      </c>
      <c r="J5" s="257" t="s">
        <v>69</v>
      </c>
      <c r="K5" s="243" t="s">
        <v>59</v>
      </c>
      <c r="L5" s="246" t="s">
        <v>70</v>
      </c>
      <c r="M5" s="257" t="s">
        <v>71</v>
      </c>
      <c r="N5" s="258" t="s">
        <v>61</v>
      </c>
      <c r="O5" s="243" t="s">
        <v>317</v>
      </c>
      <c r="P5" s="243" t="s">
        <v>318</v>
      </c>
      <c r="Q5" s="243" t="s">
        <v>319</v>
      </c>
      <c r="R5" s="243" t="s">
        <v>320</v>
      </c>
      <c r="S5" s="244" t="s">
        <v>321</v>
      </c>
      <c r="T5" s="244" t="s">
        <v>257</v>
      </c>
      <c r="U5" s="243" t="s">
        <v>322</v>
      </c>
      <c r="V5" s="243" t="s">
        <v>323</v>
      </c>
      <c r="W5" s="243" t="s">
        <v>258</v>
      </c>
      <c r="X5" s="243" t="s">
        <v>324</v>
      </c>
      <c r="Y5" s="246" t="s">
        <v>325</v>
      </c>
      <c r="Z5" s="247" t="s">
        <v>326</v>
      </c>
      <c r="AA5" s="259"/>
      <c r="AB5" s="243">
        <f>+AE5*0.5</f>
        <v>428748290.78999978</v>
      </c>
      <c r="AC5" s="243">
        <f>+AE5*0.25</f>
        <v>214374145.39499989</v>
      </c>
      <c r="AD5" s="243">
        <f>+AE5*0.25</f>
        <v>214374145.39499989</v>
      </c>
      <c r="AE5" s="243">
        <f>+'PART PEF2022 '!F10</f>
        <v>857496581.57999957</v>
      </c>
    </row>
    <row r="6" spans="1:32" s="4" customFormat="1" ht="23.25" customHeight="1" thickBot="1">
      <c r="B6" s="260"/>
      <c r="C6" s="261"/>
      <c r="D6" s="261"/>
      <c r="E6" s="261"/>
      <c r="F6" s="261"/>
      <c r="G6" s="262"/>
      <c r="H6" s="260"/>
      <c r="I6" s="261"/>
      <c r="J6" s="263"/>
      <c r="K6" s="261"/>
      <c r="L6" s="261"/>
      <c r="M6" s="263"/>
      <c r="N6" s="264"/>
      <c r="O6" s="265"/>
      <c r="P6" s="265"/>
      <c r="Q6" s="265"/>
      <c r="R6" s="265"/>
      <c r="S6" s="266"/>
      <c r="T6" s="266"/>
      <c r="U6" s="265"/>
      <c r="V6" s="265"/>
      <c r="W6" s="265"/>
      <c r="X6" s="267"/>
      <c r="Y6" s="1"/>
      <c r="Z6" s="268"/>
      <c r="AA6" s="261"/>
      <c r="AB6" s="243" t="s">
        <v>100</v>
      </c>
      <c r="AC6" s="243" t="s">
        <v>101</v>
      </c>
      <c r="AD6" s="243" t="s">
        <v>65</v>
      </c>
      <c r="AE6" s="269" t="s">
        <v>102</v>
      </c>
      <c r="AF6" s="269" t="s">
        <v>63</v>
      </c>
    </row>
    <row r="7" spans="1:32" ht="13.5" thickTop="1">
      <c r="A7" s="18" t="s">
        <v>259</v>
      </c>
      <c r="B7" s="195" t="s">
        <v>1</v>
      </c>
      <c r="C7" s="270">
        <v>626624</v>
      </c>
      <c r="D7" s="270">
        <v>200922.61</v>
      </c>
      <c r="E7" s="271">
        <f t="shared" ref="E7:E58" si="0">+D7/C7</f>
        <v>0.32064301718414867</v>
      </c>
      <c r="F7" s="272">
        <f>+E7*D7</f>
        <v>64424.431890913998</v>
      </c>
      <c r="G7" s="279">
        <f t="shared" ref="G7:G57" si="1">+F7/F$58</f>
        <v>3.4038473246129935E-5</v>
      </c>
      <c r="H7" s="273">
        <v>2974</v>
      </c>
      <c r="I7" s="274">
        <f t="shared" ref="I7:I57" si="2">+H7/$H$58</f>
        <v>5.141377508841821E-4</v>
      </c>
      <c r="J7" s="274">
        <f>+I7*J$4</f>
        <v>4.3701708825155477E-4</v>
      </c>
      <c r="K7" s="270">
        <v>46.9</v>
      </c>
      <c r="L7" s="318">
        <f t="shared" ref="L7:L58" si="3">+K7/$K$58</f>
        <v>7.3102605507790314E-4</v>
      </c>
      <c r="M7" s="275">
        <f>+L7*M$4</f>
        <v>1.0965390826168547E-4</v>
      </c>
      <c r="N7" s="279">
        <f>+M7+J7</f>
        <v>5.4667099651324028E-4</v>
      </c>
      <c r="O7" s="276">
        <v>296</v>
      </c>
      <c r="P7" s="276">
        <v>291</v>
      </c>
      <c r="Q7" s="277">
        <v>1.7570912812999999</v>
      </c>
      <c r="R7" s="278">
        <f>+P7/P$58</f>
        <v>2.7055597858981759E-4</v>
      </c>
      <c r="S7" s="277">
        <f t="shared" ref="S7:S57" si="4">+Q7*R7</f>
        <v>4.7539155108375792E-4</v>
      </c>
      <c r="T7" s="277">
        <f>+S7/S$58</f>
        <v>2.4656536212427173E-4</v>
      </c>
      <c r="U7" s="276">
        <f>+AD$5*0.85*T7</f>
        <v>44928.652970989511</v>
      </c>
      <c r="V7" s="278">
        <f t="shared" ref="V7:V57" si="5">+O7/P7</f>
        <v>1.0171821305841924</v>
      </c>
      <c r="W7" s="278">
        <f>+V7/V$58</f>
        <v>1.351657209931304E-2</v>
      </c>
      <c r="X7" s="276">
        <f>AD$5*0.15*W7</f>
        <v>434640.53886901983</v>
      </c>
      <c r="Y7" s="270">
        <f t="shared" ref="Y7:Y57" si="6">+X7+U7</f>
        <v>479569.19184000936</v>
      </c>
      <c r="Z7" s="279">
        <f>+Y7/Y$58</f>
        <v>2.2370663727025869E-3</v>
      </c>
      <c r="AB7" s="280">
        <f t="shared" ref="AB7:AB57" si="7">+G7*AB$5</f>
        <v>14593.937225379344</v>
      </c>
      <c r="AC7" s="281">
        <f t="shared" ref="AC7:AC57" si="8">+N7*AC$5</f>
        <v>117192.12768975885</v>
      </c>
      <c r="AD7" s="281">
        <f>+Z7*AD$5</f>
        <v>479569.19184000936</v>
      </c>
      <c r="AE7" s="281">
        <f>SUM(AB7:AD7)</f>
        <v>611355.25675514759</v>
      </c>
      <c r="AF7" s="315">
        <f>+AE7/AE$58</f>
        <v>7.1295357892702178E-4</v>
      </c>
    </row>
    <row r="8" spans="1:32">
      <c r="A8" s="18" t="s">
        <v>260</v>
      </c>
      <c r="B8" s="200" t="s">
        <v>2</v>
      </c>
      <c r="C8" s="282">
        <v>2597546</v>
      </c>
      <c r="D8" s="282">
        <v>996274</v>
      </c>
      <c r="E8" s="283">
        <f t="shared" si="0"/>
        <v>0.38354431451839543</v>
      </c>
      <c r="F8" s="284">
        <f t="shared" ref="F8:F57" si="9">+E8*D8</f>
        <v>382115.22840249987</v>
      </c>
      <c r="G8" s="291">
        <f t="shared" si="1"/>
        <v>2.0188954092665722E-4</v>
      </c>
      <c r="H8" s="285">
        <v>3382</v>
      </c>
      <c r="I8" s="286">
        <f t="shared" si="2"/>
        <v>5.8467177992276519E-4</v>
      </c>
      <c r="J8" s="286">
        <f t="shared" ref="J8:J57" si="10">+I8*J$4</f>
        <v>4.9697101293435045E-4</v>
      </c>
      <c r="K8" s="282">
        <v>980.9</v>
      </c>
      <c r="L8" s="319">
        <f t="shared" si="3"/>
        <v>1.528919951867623E-2</v>
      </c>
      <c r="M8" s="287">
        <f t="shared" ref="M8:M57" si="11">+L8*M$4</f>
        <v>2.2933799278014345E-3</v>
      </c>
      <c r="N8" s="291">
        <f t="shared" ref="N8:N57" si="12">+M8+J8</f>
        <v>2.7903509407357849E-3</v>
      </c>
      <c r="O8" s="288">
        <v>250</v>
      </c>
      <c r="P8" s="288">
        <v>278</v>
      </c>
      <c r="Q8" s="289">
        <v>1.7189329948000001</v>
      </c>
      <c r="R8" s="290">
        <f t="shared" ref="R8:R57" si="13">+P8/P$58</f>
        <v>2.5846928538821062E-4</v>
      </c>
      <c r="S8" s="289">
        <f t="shared" si="4"/>
        <v>4.4429138279617278E-4</v>
      </c>
      <c r="T8" s="289">
        <f t="shared" ref="T8:T57" si="14">+S8/S$58</f>
        <v>2.3043502863712235E-4</v>
      </c>
      <c r="U8" s="288">
        <f t="shared" ref="U8:U57" si="15">+AD$5*0.85*T8</f>
        <v>41989.415483182114</v>
      </c>
      <c r="V8" s="290">
        <f t="shared" si="5"/>
        <v>0.89928057553956831</v>
      </c>
      <c r="W8" s="290">
        <f t="shared" ref="W8:W57" si="16">+V8/V$58</f>
        <v>1.1949866568941082E-2</v>
      </c>
      <c r="X8" s="288">
        <f t="shared" ref="X8:X57" si="17">AD$5*0.15*W8</f>
        <v>384261.36499515356</v>
      </c>
      <c r="Y8" s="282">
        <f t="shared" si="6"/>
        <v>426250.78047833568</v>
      </c>
      <c r="Z8" s="291">
        <f t="shared" ref="Z8:Z57" si="18">+Y8/Y$58</f>
        <v>1.9883497596827164E-3</v>
      </c>
      <c r="AB8" s="292">
        <f t="shared" si="7"/>
        <v>86559.795600681988</v>
      </c>
      <c r="AC8" s="293">
        <f t="shared" si="8"/>
        <v>598179.09827236785</v>
      </c>
      <c r="AD8" s="293">
        <f t="shared" ref="AD8:AD57" si="19">+Z8*AD$5</f>
        <v>426250.78047833574</v>
      </c>
      <c r="AE8" s="293">
        <f t="shared" ref="AE8:AE57" si="20">SUM(AB8:AD8)</f>
        <v>1110989.6743513856</v>
      </c>
      <c r="AF8" s="316">
        <f t="shared" ref="AF8:AF57" si="21">+AE8/AE$58</f>
        <v>1.2956199455679538E-3</v>
      </c>
    </row>
    <row r="9" spans="1:32">
      <c r="A9" s="18" t="s">
        <v>261</v>
      </c>
      <c r="B9" s="200" t="s">
        <v>211</v>
      </c>
      <c r="C9" s="282">
        <v>1129316</v>
      </c>
      <c r="D9" s="282">
        <v>288767</v>
      </c>
      <c r="E9" s="283">
        <f t="shared" si="0"/>
        <v>0.25570079587998401</v>
      </c>
      <c r="F9" s="284">
        <f t="shared" si="9"/>
        <v>73837.951723875347</v>
      </c>
      <c r="G9" s="291">
        <f t="shared" si="1"/>
        <v>3.90120808291773E-5</v>
      </c>
      <c r="H9" s="285">
        <v>1407</v>
      </c>
      <c r="I9" s="286">
        <f t="shared" si="2"/>
        <v>2.4323867366981983E-4</v>
      </c>
      <c r="J9" s="286">
        <f t="shared" si="10"/>
        <v>2.0675287261934686E-4</v>
      </c>
      <c r="K9" s="282">
        <v>694.5</v>
      </c>
      <c r="L9" s="319">
        <f t="shared" si="3"/>
        <v>1.0825108640759142E-2</v>
      </c>
      <c r="M9" s="287">
        <f t="shared" si="11"/>
        <v>1.6237662961138713E-3</v>
      </c>
      <c r="N9" s="291">
        <f t="shared" si="12"/>
        <v>1.8305191687332182E-3</v>
      </c>
      <c r="O9" s="288">
        <v>366</v>
      </c>
      <c r="P9" s="288">
        <v>167</v>
      </c>
      <c r="Q9" s="289">
        <v>1.7050555638</v>
      </c>
      <c r="R9" s="290">
        <f t="shared" si="13"/>
        <v>1.5526752035910496E-4</v>
      </c>
      <c r="S9" s="289">
        <f t="shared" si="4"/>
        <v>2.6473974946572169E-4</v>
      </c>
      <c r="T9" s="289">
        <f t="shared" si="14"/>
        <v>1.3730923918798022E-4</v>
      </c>
      <c r="U9" s="288">
        <f t="shared" si="15"/>
        <v>25020.218184896756</v>
      </c>
      <c r="V9" s="290">
        <f t="shared" si="5"/>
        <v>2.191616766467066</v>
      </c>
      <c r="W9" s="290">
        <f t="shared" si="16"/>
        <v>2.9122755057643529E-2</v>
      </c>
      <c r="X9" s="288">
        <f t="shared" si="17"/>
        <v>936474.85905453633</v>
      </c>
      <c r="Y9" s="282">
        <f t="shared" si="6"/>
        <v>961495.07723943307</v>
      </c>
      <c r="Z9" s="291">
        <f t="shared" si="18"/>
        <v>4.485126111956313E-3</v>
      </c>
      <c r="AB9" s="292">
        <f t="shared" si="7"/>
        <v>16726.362975671083</v>
      </c>
      <c r="AC9" s="293">
        <f t="shared" si="8"/>
        <v>392415.98242634925</v>
      </c>
      <c r="AD9" s="293">
        <f t="shared" si="19"/>
        <v>961495.07723943319</v>
      </c>
      <c r="AE9" s="293">
        <f t="shared" si="20"/>
        <v>1370637.4226414536</v>
      </c>
      <c r="AF9" s="316">
        <f t="shared" si="21"/>
        <v>1.5984173605869715E-3</v>
      </c>
    </row>
    <row r="10" spans="1:32" ht="13.5" customHeight="1">
      <c r="A10" s="18" t="s">
        <v>262</v>
      </c>
      <c r="B10" s="200" t="s">
        <v>4</v>
      </c>
      <c r="C10" s="282">
        <v>54890194.010000005</v>
      </c>
      <c r="D10" s="282">
        <v>25832482</v>
      </c>
      <c r="E10" s="283">
        <f t="shared" si="0"/>
        <v>0.47062107296056899</v>
      </c>
      <c r="F10" s="284">
        <f t="shared" si="9"/>
        <v>12157310.396074586</v>
      </c>
      <c r="G10" s="291">
        <f t="shared" si="1"/>
        <v>6.4232818593165444E-3</v>
      </c>
      <c r="H10" s="285">
        <v>35289</v>
      </c>
      <c r="I10" s="286">
        <f t="shared" si="2"/>
        <v>6.1006748792709828E-3</v>
      </c>
      <c r="J10" s="286">
        <f t="shared" si="10"/>
        <v>5.1855736473803348E-3</v>
      </c>
      <c r="K10" s="282">
        <v>190.5</v>
      </c>
      <c r="L10" s="319">
        <f t="shared" si="3"/>
        <v>2.9693062578324213E-3</v>
      </c>
      <c r="M10" s="287">
        <f t="shared" si="11"/>
        <v>4.4539593867486317E-4</v>
      </c>
      <c r="N10" s="291">
        <f t="shared" si="12"/>
        <v>5.6309695860551979E-3</v>
      </c>
      <c r="O10" s="288">
        <v>6372</v>
      </c>
      <c r="P10" s="288">
        <v>6876</v>
      </c>
      <c r="Q10" s="289">
        <v>1.5964581414000001</v>
      </c>
      <c r="R10" s="290">
        <f t="shared" si="13"/>
        <v>6.3929309580191959E-3</v>
      </c>
      <c r="S10" s="289">
        <f t="shared" si="4"/>
        <v>1.0206046675337848E-2</v>
      </c>
      <c r="T10" s="289">
        <f t="shared" si="14"/>
        <v>5.2934419819306551E-3</v>
      </c>
      <c r="U10" s="288">
        <f t="shared" si="15"/>
        <v>964560.53591323877</v>
      </c>
      <c r="V10" s="290">
        <f t="shared" si="5"/>
        <v>0.92670157068062831</v>
      </c>
      <c r="W10" s="290">
        <f t="shared" si="16"/>
        <v>1.2314243652174133E-2</v>
      </c>
      <c r="X10" s="288">
        <f t="shared" si="17"/>
        <v>395978.31886809482</v>
      </c>
      <c r="Y10" s="282">
        <f t="shared" si="6"/>
        <v>1360538.8547813336</v>
      </c>
      <c r="Z10" s="291">
        <f t="shared" si="18"/>
        <v>6.3465622324671775E-3</v>
      </c>
      <c r="AB10" s="292">
        <f t="shared" si="7"/>
        <v>2753971.1184443804</v>
      </c>
      <c r="AC10" s="293">
        <f t="shared" si="8"/>
        <v>1207134.2927558194</v>
      </c>
      <c r="AD10" s="293">
        <f t="shared" si="19"/>
        <v>1360538.8547813338</v>
      </c>
      <c r="AE10" s="293">
        <f t="shared" si="20"/>
        <v>5321644.2659815336</v>
      </c>
      <c r="AF10" s="316">
        <f t="shared" si="21"/>
        <v>6.2060238842888658E-3</v>
      </c>
    </row>
    <row r="11" spans="1:32">
      <c r="A11" s="18" t="s">
        <v>263</v>
      </c>
      <c r="B11" s="200" t="s">
        <v>235</v>
      </c>
      <c r="C11" s="282">
        <v>10678636</v>
      </c>
      <c r="D11" s="282">
        <v>1947895</v>
      </c>
      <c r="E11" s="283">
        <f t="shared" si="0"/>
        <v>0.1824104689025827</v>
      </c>
      <c r="F11" s="284">
        <f t="shared" si="9"/>
        <v>355316.44032299629</v>
      </c>
      <c r="G11" s="291">
        <f t="shared" si="1"/>
        <v>1.8773047418288764E-4</v>
      </c>
      <c r="H11" s="285">
        <v>18030</v>
      </c>
      <c r="I11" s="286">
        <f t="shared" si="2"/>
        <v>3.1169817244256232E-3</v>
      </c>
      <c r="J11" s="286">
        <f t="shared" si="10"/>
        <v>2.6494344657617798E-3</v>
      </c>
      <c r="K11" s="282">
        <v>4539.2</v>
      </c>
      <c r="L11" s="319">
        <f t="shared" si="3"/>
        <v>7.0752099556708276E-2</v>
      </c>
      <c r="M11" s="287">
        <f t="shared" si="11"/>
        <v>1.0612814933506241E-2</v>
      </c>
      <c r="N11" s="291">
        <f t="shared" si="12"/>
        <v>1.3262249399268022E-2</v>
      </c>
      <c r="O11" s="288">
        <v>7349</v>
      </c>
      <c r="P11" s="288">
        <v>5491</v>
      </c>
      <c r="Q11" s="289">
        <v>1.7933312159000001</v>
      </c>
      <c r="R11" s="290">
        <f t="shared" si="13"/>
        <v>5.1052332592326066E-3</v>
      </c>
      <c r="S11" s="289">
        <f t="shared" si="4"/>
        <v>9.1553741682327307E-3</v>
      </c>
      <c r="T11" s="289">
        <f t="shared" si="14"/>
        <v>4.7485028752136602E-3</v>
      </c>
      <c r="U11" s="288">
        <f t="shared" si="15"/>
        <v>865262.80891268386</v>
      </c>
      <c r="V11" s="290">
        <f t="shared" si="5"/>
        <v>1.3383718812602441</v>
      </c>
      <c r="W11" s="290">
        <f t="shared" si="16"/>
        <v>1.7784622325559021E-2</v>
      </c>
      <c r="X11" s="288">
        <f t="shared" si="17"/>
        <v>571884.48183218262</v>
      </c>
      <c r="Y11" s="282">
        <f t="shared" si="6"/>
        <v>1437147.2907448665</v>
      </c>
      <c r="Z11" s="291">
        <f t="shared" si="18"/>
        <v>6.7039207927654648E-3</v>
      </c>
      <c r="AB11" s="292">
        <f t="shared" si="7"/>
        <v>80489.119935109251</v>
      </c>
      <c r="AC11" s="293">
        <f t="shared" si="8"/>
        <v>2843083.3809834328</v>
      </c>
      <c r="AD11" s="293">
        <f t="shared" si="19"/>
        <v>1437147.2907448667</v>
      </c>
      <c r="AE11" s="293">
        <f t="shared" si="20"/>
        <v>4360719.7916634083</v>
      </c>
      <c r="AF11" s="316">
        <f t="shared" si="21"/>
        <v>5.0854077850998151E-3</v>
      </c>
    </row>
    <row r="12" spans="1:32">
      <c r="A12" s="18" t="s">
        <v>264</v>
      </c>
      <c r="B12" s="200" t="s">
        <v>6</v>
      </c>
      <c r="C12" s="282">
        <v>683317463.73000002</v>
      </c>
      <c r="D12" s="282">
        <v>336540527.27999997</v>
      </c>
      <c r="E12" s="283">
        <f t="shared" si="0"/>
        <v>0.49250977055809247</v>
      </c>
      <c r="F12" s="284">
        <f t="shared" si="9"/>
        <v>165749497.87417224</v>
      </c>
      <c r="G12" s="291">
        <f t="shared" si="1"/>
        <v>8.757329608280448E-2</v>
      </c>
      <c r="H12" s="285">
        <v>656464</v>
      </c>
      <c r="I12" s="286">
        <f t="shared" si="2"/>
        <v>0.11348786970290306</v>
      </c>
      <c r="J12" s="286">
        <f t="shared" si="10"/>
        <v>9.6464689247467594E-2</v>
      </c>
      <c r="K12" s="282">
        <v>224</v>
      </c>
      <c r="L12" s="319">
        <f t="shared" si="3"/>
        <v>3.4914677257452094E-3</v>
      </c>
      <c r="M12" s="287">
        <f t="shared" si="11"/>
        <v>5.2372015886178135E-4</v>
      </c>
      <c r="N12" s="291">
        <f t="shared" si="12"/>
        <v>9.6988409406329371E-2</v>
      </c>
      <c r="O12" s="288">
        <v>77936</v>
      </c>
      <c r="P12" s="288">
        <v>87455</v>
      </c>
      <c r="Q12" s="289">
        <v>1.8323297204</v>
      </c>
      <c r="R12" s="290">
        <f t="shared" si="13"/>
        <v>8.1310904149733673E-2</v>
      </c>
      <c r="S12" s="289">
        <f t="shared" si="4"/>
        <v>0.14898838626615271</v>
      </c>
      <c r="T12" s="289">
        <f t="shared" si="14"/>
        <v>7.7273934146028844E-2</v>
      </c>
      <c r="U12" s="288">
        <f t="shared" si="15"/>
        <v>14080703.554784767</v>
      </c>
      <c r="V12" s="290">
        <f t="shared" si="5"/>
        <v>0.89115545137499286</v>
      </c>
      <c r="W12" s="290">
        <f t="shared" si="16"/>
        <v>1.1841897874560577E-2</v>
      </c>
      <c r="X12" s="288">
        <f t="shared" si="17"/>
        <v>380789.51050706836</v>
      </c>
      <c r="Y12" s="282">
        <f t="shared" si="6"/>
        <v>14461493.065291835</v>
      </c>
      <c r="Z12" s="291">
        <f t="shared" si="18"/>
        <v>6.7459128705308596E-2</v>
      </c>
      <c r="AB12" s="292">
        <f t="shared" si="7"/>
        <v>37546901.014349006</v>
      </c>
      <c r="AC12" s="293">
        <f t="shared" si="8"/>
        <v>20791807.379702229</v>
      </c>
      <c r="AD12" s="293">
        <f t="shared" si="19"/>
        <v>14461493.065291835</v>
      </c>
      <c r="AE12" s="293">
        <f t="shared" si="20"/>
        <v>72800201.459343076</v>
      </c>
      <c r="AF12" s="316">
        <f t="shared" si="21"/>
        <v>8.4898532569311735E-2</v>
      </c>
    </row>
    <row r="13" spans="1:32">
      <c r="A13" s="18" t="s">
        <v>265</v>
      </c>
      <c r="B13" s="200" t="s">
        <v>7</v>
      </c>
      <c r="C13" s="282">
        <v>1836204</v>
      </c>
      <c r="D13" s="282">
        <v>792296.3</v>
      </c>
      <c r="E13" s="283">
        <f t="shared" si="0"/>
        <v>0.43148598957414319</v>
      </c>
      <c r="F13" s="284">
        <f t="shared" si="9"/>
        <v>341864.75304143224</v>
      </c>
      <c r="G13" s="291">
        <f t="shared" si="1"/>
        <v>1.8062331181901742E-4</v>
      </c>
      <c r="H13" s="285">
        <v>14992</v>
      </c>
      <c r="I13" s="286">
        <f t="shared" si="2"/>
        <v>2.5917798121236242E-3</v>
      </c>
      <c r="J13" s="286">
        <f t="shared" si="10"/>
        <v>2.2030128403050806E-3</v>
      </c>
      <c r="K13" s="282">
        <v>2688.6</v>
      </c>
      <c r="L13" s="319">
        <f t="shared" si="3"/>
        <v>4.1906964854636471E-2</v>
      </c>
      <c r="M13" s="287">
        <f t="shared" si="11"/>
        <v>6.2860447281954702E-3</v>
      </c>
      <c r="N13" s="291">
        <f t="shared" si="12"/>
        <v>8.48905756850055E-3</v>
      </c>
      <c r="O13" s="288">
        <v>10274</v>
      </c>
      <c r="P13" s="288">
        <v>7471</v>
      </c>
      <c r="Q13" s="289">
        <v>2.3084826450000002</v>
      </c>
      <c r="R13" s="290">
        <f t="shared" si="13"/>
        <v>6.9461296084004373E-3</v>
      </c>
      <c r="S13" s="289">
        <f t="shared" si="4"/>
        <v>1.6035019650913057E-2</v>
      </c>
      <c r="T13" s="289">
        <f t="shared" si="14"/>
        <v>8.3166821494490614E-3</v>
      </c>
      <c r="U13" s="288">
        <f t="shared" si="15"/>
        <v>1515449.3840634942</v>
      </c>
      <c r="V13" s="290">
        <f t="shared" si="5"/>
        <v>1.375184044973899</v>
      </c>
      <c r="W13" s="290">
        <f t="shared" si="16"/>
        <v>1.8273791619834338E-2</v>
      </c>
      <c r="X13" s="288">
        <f t="shared" si="17"/>
        <v>587614.26924424456</v>
      </c>
      <c r="Y13" s="282">
        <f t="shared" si="6"/>
        <v>2103063.6533077387</v>
      </c>
      <c r="Z13" s="291">
        <f t="shared" si="18"/>
        <v>9.8102485700068531E-3</v>
      </c>
      <c r="AB13" s="292">
        <f t="shared" si="7"/>
        <v>77441.936219232884</v>
      </c>
      <c r="AC13" s="293">
        <f t="shared" si="8"/>
        <v>1819834.4614562611</v>
      </c>
      <c r="AD13" s="293">
        <f t="shared" si="19"/>
        <v>2103063.6533077387</v>
      </c>
      <c r="AE13" s="293">
        <f t="shared" si="20"/>
        <v>4000340.0509832324</v>
      </c>
      <c r="AF13" s="316">
        <f t="shared" si="21"/>
        <v>4.6651381905363585E-3</v>
      </c>
    </row>
    <row r="14" spans="1:32">
      <c r="A14" s="18" t="s">
        <v>266</v>
      </c>
      <c r="B14" s="200" t="s">
        <v>8</v>
      </c>
      <c r="C14" s="282">
        <v>2185720</v>
      </c>
      <c r="D14" s="282">
        <v>960189</v>
      </c>
      <c r="E14" s="283">
        <f t="shared" si="0"/>
        <v>0.43930100836337682</v>
      </c>
      <c r="F14" s="284">
        <f t="shared" si="9"/>
        <v>421811.99591942242</v>
      </c>
      <c r="G14" s="291">
        <f t="shared" si="1"/>
        <v>2.2286322000186494E-4</v>
      </c>
      <c r="H14" s="285">
        <v>3661</v>
      </c>
      <c r="I14" s="286">
        <f t="shared" si="2"/>
        <v>6.329046086035611E-4</v>
      </c>
      <c r="J14" s="286">
        <f t="shared" si="10"/>
        <v>5.3796891731302697E-4</v>
      </c>
      <c r="K14" s="282">
        <v>466.7</v>
      </c>
      <c r="L14" s="319">
        <f t="shared" si="3"/>
        <v>7.2744106589521839E-3</v>
      </c>
      <c r="M14" s="287">
        <f t="shared" si="11"/>
        <v>1.0911615988428275E-3</v>
      </c>
      <c r="N14" s="291">
        <f t="shared" si="12"/>
        <v>1.6291305161558545E-3</v>
      </c>
      <c r="O14" s="288">
        <v>1472</v>
      </c>
      <c r="P14" s="288">
        <v>1100</v>
      </c>
      <c r="Q14" s="289">
        <v>1.4822637890000001</v>
      </c>
      <c r="R14" s="290">
        <f t="shared" si="13"/>
        <v>1.0227201939821285E-3</v>
      </c>
      <c r="S14" s="289">
        <f t="shared" si="4"/>
        <v>1.515941109818765E-3</v>
      </c>
      <c r="T14" s="289">
        <f t="shared" si="14"/>
        <v>7.8625412641311154E-4</v>
      </c>
      <c r="U14" s="288">
        <f t="shared" si="15"/>
        <v>143269.67295113753</v>
      </c>
      <c r="V14" s="290">
        <f t="shared" si="5"/>
        <v>1.3381818181818181</v>
      </c>
      <c r="W14" s="290">
        <f t="shared" si="16"/>
        <v>1.7782096719548338E-2</v>
      </c>
      <c r="X14" s="288">
        <f t="shared" si="17"/>
        <v>571803.26813766093</v>
      </c>
      <c r="Y14" s="282">
        <f t="shared" si="6"/>
        <v>715072.94108879846</v>
      </c>
      <c r="Z14" s="291">
        <f t="shared" si="18"/>
        <v>3.3356305153833961E-3</v>
      </c>
      <c r="AB14" s="292">
        <f t="shared" si="7"/>
        <v>95552.224655755286</v>
      </c>
      <c r="AC14" s="293">
        <f t="shared" si="8"/>
        <v>349243.46213782637</v>
      </c>
      <c r="AD14" s="293">
        <f t="shared" si="19"/>
        <v>715072.94108879857</v>
      </c>
      <c r="AE14" s="293">
        <f t="shared" si="20"/>
        <v>1159868.6278823803</v>
      </c>
      <c r="AF14" s="316">
        <f t="shared" si="21"/>
        <v>1.3526218678857451E-3</v>
      </c>
    </row>
    <row r="15" spans="1:32">
      <c r="A15" s="18" t="s">
        <v>267</v>
      </c>
      <c r="B15" s="200" t="s">
        <v>236</v>
      </c>
      <c r="C15" s="282">
        <v>110141115</v>
      </c>
      <c r="D15" s="282">
        <v>36285132.439999998</v>
      </c>
      <c r="E15" s="283">
        <f t="shared" si="0"/>
        <v>0.32944221093094977</v>
      </c>
      <c r="F15" s="284">
        <f t="shared" si="9"/>
        <v>11953854.254955927</v>
      </c>
      <c r="G15" s="291">
        <f t="shared" si="1"/>
        <v>6.315786360901369E-3</v>
      </c>
      <c r="H15" s="285">
        <v>122337</v>
      </c>
      <c r="I15" s="286">
        <f t="shared" si="2"/>
        <v>2.1149317427679282E-2</v>
      </c>
      <c r="J15" s="286">
        <f t="shared" si="10"/>
        <v>1.7976919813527389E-2</v>
      </c>
      <c r="K15" s="282">
        <v>1140.9000000000001</v>
      </c>
      <c r="L15" s="319">
        <f t="shared" si="3"/>
        <v>1.7783105037065667E-2</v>
      </c>
      <c r="M15" s="287">
        <f t="shared" si="11"/>
        <v>2.6674657555598499E-3</v>
      </c>
      <c r="N15" s="291">
        <f t="shared" si="12"/>
        <v>2.0644385569087237E-2</v>
      </c>
      <c r="O15" s="288">
        <v>26523</v>
      </c>
      <c r="P15" s="288">
        <v>24758</v>
      </c>
      <c r="Q15" s="289">
        <v>1.8739893594999999</v>
      </c>
      <c r="R15" s="290">
        <f t="shared" si="13"/>
        <v>2.3018642329645032E-2</v>
      </c>
      <c r="S15" s="289">
        <f t="shared" si="4"/>
        <v>4.3136690795891081E-2</v>
      </c>
      <c r="T15" s="289">
        <f t="shared" si="14"/>
        <v>2.2373165367967789E-2</v>
      </c>
      <c r="U15" s="288">
        <f t="shared" si="15"/>
        <v>4076793.9747082372</v>
      </c>
      <c r="V15" s="290">
        <f t="shared" si="5"/>
        <v>1.0712900880523468</v>
      </c>
      <c r="W15" s="290">
        <f t="shared" si="16"/>
        <v>1.4235572253046412E-2</v>
      </c>
      <c r="X15" s="288">
        <f t="shared" si="17"/>
        <v>457760.79539333965</v>
      </c>
      <c r="Y15" s="282">
        <f t="shared" si="6"/>
        <v>4534554.770101577</v>
      </c>
      <c r="Z15" s="291">
        <f t="shared" si="18"/>
        <v>2.1152526400729583E-2</v>
      </c>
      <c r="AB15" s="292">
        <f t="shared" si="7"/>
        <v>2707882.6072312547</v>
      </c>
      <c r="AC15" s="293">
        <f t="shared" si="8"/>
        <v>4425622.5135779446</v>
      </c>
      <c r="AD15" s="293">
        <f t="shared" si="19"/>
        <v>4534554.770101577</v>
      </c>
      <c r="AE15" s="293">
        <f t="shared" si="20"/>
        <v>11668059.890910776</v>
      </c>
      <c r="AF15" s="316">
        <f t="shared" si="21"/>
        <v>1.3607121172904888E-2</v>
      </c>
    </row>
    <row r="16" spans="1:32">
      <c r="A16" s="18" t="s">
        <v>268</v>
      </c>
      <c r="B16" s="200" t="s">
        <v>237</v>
      </c>
      <c r="C16" s="282">
        <v>32779189</v>
      </c>
      <c r="D16" s="282">
        <v>5537234.6299999999</v>
      </c>
      <c r="E16" s="283">
        <f t="shared" si="0"/>
        <v>0.1689253089818665</v>
      </c>
      <c r="F16" s="284">
        <f t="shared" si="9"/>
        <v>935379.07077784126</v>
      </c>
      <c r="G16" s="291">
        <f t="shared" si="1"/>
        <v>4.9420498623212194E-4</v>
      </c>
      <c r="H16" s="285">
        <v>104478</v>
      </c>
      <c r="I16" s="286">
        <f t="shared" si="2"/>
        <v>1.8061897759541888E-2</v>
      </c>
      <c r="J16" s="286">
        <f t="shared" si="10"/>
        <v>1.5352613095610604E-2</v>
      </c>
      <c r="K16" s="282">
        <v>104.3</v>
      </c>
      <c r="L16" s="319">
        <f t="shared" si="3"/>
        <v>1.6257146598001131E-3</v>
      </c>
      <c r="M16" s="287">
        <f t="shared" si="11"/>
        <v>2.4385719897001694E-4</v>
      </c>
      <c r="N16" s="291">
        <f t="shared" si="12"/>
        <v>1.5596470294580621E-2</v>
      </c>
      <c r="O16" s="288">
        <v>8234</v>
      </c>
      <c r="P16" s="288">
        <v>27842</v>
      </c>
      <c r="Q16" s="289">
        <v>1.8343045897000001</v>
      </c>
      <c r="R16" s="290">
        <f t="shared" si="13"/>
        <v>2.5885977855318563E-2</v>
      </c>
      <c r="S16" s="289">
        <f t="shared" si="4"/>
        <v>4.7482767988883408E-2</v>
      </c>
      <c r="T16" s="289">
        <f t="shared" si="14"/>
        <v>2.4627290613709465E-2</v>
      </c>
      <c r="U16" s="288">
        <f t="shared" si="15"/>
        <v>4487536.2219020287</v>
      </c>
      <c r="V16" s="290">
        <f t="shared" si="5"/>
        <v>0.29574024854536313</v>
      </c>
      <c r="W16" s="290">
        <f t="shared" si="16"/>
        <v>3.9298708382110078E-3</v>
      </c>
      <c r="X16" s="288">
        <f t="shared" si="17"/>
        <v>126369.4053681325</v>
      </c>
      <c r="Y16" s="282">
        <f t="shared" si="6"/>
        <v>4613905.6272701612</v>
      </c>
      <c r="Z16" s="291">
        <f t="shared" si="18"/>
        <v>2.1522677647384698E-2</v>
      </c>
      <c r="AB16" s="292">
        <f t="shared" si="7"/>
        <v>211889.54314691765</v>
      </c>
      <c r="AC16" s="293">
        <f t="shared" si="8"/>
        <v>3343479.9905792228</v>
      </c>
      <c r="AD16" s="293">
        <f t="shared" si="19"/>
        <v>4613905.6272701612</v>
      </c>
      <c r="AE16" s="293">
        <f t="shared" si="20"/>
        <v>8169275.1609963011</v>
      </c>
      <c r="AF16" s="316">
        <f t="shared" si="21"/>
        <v>9.52688947860739E-3</v>
      </c>
    </row>
    <row r="17" spans="1:32">
      <c r="A17" s="18" t="s">
        <v>269</v>
      </c>
      <c r="B17" s="200" t="s">
        <v>226</v>
      </c>
      <c r="C17" s="282">
        <v>2853628</v>
      </c>
      <c r="D17" s="282">
        <v>1064298</v>
      </c>
      <c r="E17" s="283">
        <f t="shared" si="0"/>
        <v>0.37296311922927583</v>
      </c>
      <c r="F17" s="284">
        <f t="shared" si="9"/>
        <v>396943.9018694798</v>
      </c>
      <c r="G17" s="291">
        <f t="shared" si="1"/>
        <v>2.097242301938602E-4</v>
      </c>
      <c r="H17" s="285">
        <v>7340</v>
      </c>
      <c r="I17" s="286">
        <f t="shared" si="2"/>
        <v>1.2689210126058832E-3</v>
      </c>
      <c r="J17" s="286">
        <f t="shared" si="10"/>
        <v>1.0785828607150008E-3</v>
      </c>
      <c r="K17" s="282">
        <v>1007.4</v>
      </c>
      <c r="L17" s="319">
        <f t="shared" si="3"/>
        <v>1.5702252620159483E-2</v>
      </c>
      <c r="M17" s="287">
        <f t="shared" si="11"/>
        <v>2.3553378930239225E-3</v>
      </c>
      <c r="N17" s="291">
        <f t="shared" si="12"/>
        <v>3.4339207537389233E-3</v>
      </c>
      <c r="O17" s="288">
        <v>3737</v>
      </c>
      <c r="P17" s="288">
        <v>763</v>
      </c>
      <c r="Q17" s="289">
        <v>1.7930753231000001</v>
      </c>
      <c r="R17" s="290">
        <f t="shared" si="13"/>
        <v>7.0939591637123999E-4</v>
      </c>
      <c r="S17" s="289">
        <f t="shared" si="4"/>
        <v>1.2720003119531817E-3</v>
      </c>
      <c r="T17" s="289">
        <f t="shared" si="14"/>
        <v>6.5973241809605702E-4</v>
      </c>
      <c r="U17" s="288">
        <f t="shared" si="15"/>
        <v>120215.13732091113</v>
      </c>
      <c r="V17" s="290">
        <f t="shared" si="5"/>
        <v>4.8977719528178243</v>
      </c>
      <c r="W17" s="290">
        <f t="shared" si="16"/>
        <v>6.5082826109257794E-2</v>
      </c>
      <c r="X17" s="288">
        <f t="shared" si="17"/>
        <v>2092811.2840595287</v>
      </c>
      <c r="Y17" s="282">
        <f t="shared" si="6"/>
        <v>2213026.4213804398</v>
      </c>
      <c r="Z17" s="291">
        <f t="shared" si="18"/>
        <v>1.0323196471770319E-2</v>
      </c>
      <c r="AB17" s="292">
        <f t="shared" si="7"/>
        <v>89918.905232866033</v>
      </c>
      <c r="AC17" s="293">
        <f t="shared" si="8"/>
        <v>736143.82693693554</v>
      </c>
      <c r="AD17" s="293">
        <f t="shared" si="19"/>
        <v>2213026.4213804402</v>
      </c>
      <c r="AE17" s="293">
        <f t="shared" si="20"/>
        <v>3039089.1535502421</v>
      </c>
      <c r="AF17" s="316">
        <f t="shared" si="21"/>
        <v>3.5441414214742411E-3</v>
      </c>
    </row>
    <row r="18" spans="1:32">
      <c r="A18" s="18" t="s">
        <v>270</v>
      </c>
      <c r="B18" s="200" t="s">
        <v>12</v>
      </c>
      <c r="C18" s="282">
        <v>4729640</v>
      </c>
      <c r="D18" s="282">
        <v>1864847</v>
      </c>
      <c r="E18" s="283">
        <f t="shared" si="0"/>
        <v>0.39428941737637535</v>
      </c>
      <c r="F18" s="284">
        <f t="shared" si="9"/>
        <v>735289.43712608144</v>
      </c>
      <c r="G18" s="291">
        <f t="shared" si="1"/>
        <v>3.8848817287448782E-4</v>
      </c>
      <c r="H18" s="285">
        <v>9930</v>
      </c>
      <c r="I18" s="286">
        <f t="shared" si="2"/>
        <v>1.7166737949831634E-3</v>
      </c>
      <c r="J18" s="286">
        <f t="shared" si="10"/>
        <v>1.4591727257356889E-3</v>
      </c>
      <c r="K18" s="282">
        <v>4265.7</v>
      </c>
      <c r="L18" s="319">
        <f t="shared" si="3"/>
        <v>6.6489079811211327E-2</v>
      </c>
      <c r="M18" s="287">
        <f t="shared" si="11"/>
        <v>9.9733619716816987E-3</v>
      </c>
      <c r="N18" s="291">
        <f t="shared" si="12"/>
        <v>1.1432534697417387E-2</v>
      </c>
      <c r="O18" s="288">
        <v>4127</v>
      </c>
      <c r="P18" s="288">
        <v>1614</v>
      </c>
      <c r="Q18" s="289">
        <v>1.7681716602999999</v>
      </c>
      <c r="R18" s="290">
        <f t="shared" si="13"/>
        <v>1.5006094482610502E-3</v>
      </c>
      <c r="S18" s="289">
        <f t="shared" si="4"/>
        <v>2.6533350995936078E-3</v>
      </c>
      <c r="T18" s="289">
        <f t="shared" si="14"/>
        <v>1.3761719748213892E-3</v>
      </c>
      <c r="U18" s="288">
        <f t="shared" si="15"/>
        <v>250763.33736605191</v>
      </c>
      <c r="V18" s="290">
        <f t="shared" si="5"/>
        <v>2.5570012391573731</v>
      </c>
      <c r="W18" s="290">
        <f t="shared" si="16"/>
        <v>3.3978075870496942E-2</v>
      </c>
      <c r="X18" s="288">
        <f t="shared" si="17"/>
        <v>1092603.1465356373</v>
      </c>
      <c r="Y18" s="282">
        <f t="shared" si="6"/>
        <v>1343366.4839016893</v>
      </c>
      <c r="Z18" s="291">
        <f t="shared" si="18"/>
        <v>6.2664575591727233E-3</v>
      </c>
      <c r="AB18" s="292">
        <f t="shared" si="7"/>
        <v>166563.64011206661</v>
      </c>
      <c r="AC18" s="293">
        <f t="shared" si="8"/>
        <v>2450839.8554575359</v>
      </c>
      <c r="AD18" s="293">
        <f t="shared" si="19"/>
        <v>1343366.4839016895</v>
      </c>
      <c r="AE18" s="293">
        <f t="shared" si="20"/>
        <v>3960769.9794712923</v>
      </c>
      <c r="AF18" s="316">
        <f t="shared" si="21"/>
        <v>4.6189921505847718E-3</v>
      </c>
    </row>
    <row r="19" spans="1:32">
      <c r="A19" s="18" t="s">
        <v>271</v>
      </c>
      <c r="B19" s="200" t="s">
        <v>238</v>
      </c>
      <c r="C19" s="282">
        <v>49791403.200000003</v>
      </c>
      <c r="D19" s="282">
        <v>14209085</v>
      </c>
      <c r="E19" s="283">
        <f t="shared" si="0"/>
        <v>0.28537225478313089</v>
      </c>
      <c r="F19" s="284">
        <f t="shared" si="9"/>
        <v>4054878.6248551635</v>
      </c>
      <c r="G19" s="291">
        <f t="shared" si="1"/>
        <v>2.1423840853131734E-3</v>
      </c>
      <c r="H19" s="285">
        <v>68747</v>
      </c>
      <c r="I19" s="286">
        <f t="shared" si="2"/>
        <v>1.1884811015479108E-2</v>
      </c>
      <c r="J19" s="286">
        <f t="shared" si="10"/>
        <v>1.0102089363157242E-2</v>
      </c>
      <c r="K19" s="282">
        <v>138.69999999999999</v>
      </c>
      <c r="L19" s="319">
        <f t="shared" si="3"/>
        <v>2.1619043462538417E-3</v>
      </c>
      <c r="M19" s="287">
        <f t="shared" si="11"/>
        <v>3.2428565193807623E-4</v>
      </c>
      <c r="N19" s="291">
        <f t="shared" si="12"/>
        <v>1.0426375015095319E-2</v>
      </c>
      <c r="O19" s="288">
        <v>10747</v>
      </c>
      <c r="P19" s="288">
        <v>15877</v>
      </c>
      <c r="Q19" s="289">
        <v>1.8900298334000001</v>
      </c>
      <c r="R19" s="290">
        <f t="shared" si="13"/>
        <v>1.4761571381685684E-2</v>
      </c>
      <c r="S19" s="289">
        <f t="shared" si="4"/>
        <v>2.7899810299249601E-2</v>
      </c>
      <c r="T19" s="289">
        <f t="shared" si="14"/>
        <v>1.4470444024405789E-2</v>
      </c>
      <c r="U19" s="288">
        <f t="shared" si="15"/>
        <v>2636775.7105354476</v>
      </c>
      <c r="V19" s="290">
        <f t="shared" si="5"/>
        <v>0.67689110033381616</v>
      </c>
      <c r="W19" s="290">
        <f t="shared" si="16"/>
        <v>8.9946992637304091E-3</v>
      </c>
      <c r="X19" s="288">
        <f t="shared" si="17"/>
        <v>289234.64516208618</v>
      </c>
      <c r="Y19" s="282">
        <f t="shared" si="6"/>
        <v>2926010.3556975336</v>
      </c>
      <c r="Z19" s="291">
        <f t="shared" si="18"/>
        <v>1.3649082310304482E-2</v>
      </c>
      <c r="AB19" s="292">
        <f t="shared" si="7"/>
        <v>918543.51479372021</v>
      </c>
      <c r="AC19" s="293">
        <f t="shared" si="8"/>
        <v>2235145.2334288382</v>
      </c>
      <c r="AD19" s="293">
        <f t="shared" si="19"/>
        <v>2926010.355697534</v>
      </c>
      <c r="AE19" s="293">
        <f t="shared" si="20"/>
        <v>6079699.1039200928</v>
      </c>
      <c r="AF19" s="316">
        <f t="shared" si="21"/>
        <v>7.0900563740065375E-3</v>
      </c>
    </row>
    <row r="20" spans="1:32">
      <c r="A20" s="18" t="s">
        <v>272</v>
      </c>
      <c r="B20" s="200" t="s">
        <v>14</v>
      </c>
      <c r="C20" s="282">
        <v>6711875</v>
      </c>
      <c r="D20" s="282">
        <v>838434</v>
      </c>
      <c r="E20" s="283">
        <f t="shared" si="0"/>
        <v>0.12491799981376292</v>
      </c>
      <c r="F20" s="284">
        <f t="shared" si="9"/>
        <v>104735.49825585249</v>
      </c>
      <c r="G20" s="291">
        <f t="shared" si="1"/>
        <v>5.5336715445754879E-5</v>
      </c>
      <c r="H20" s="285">
        <v>36088</v>
      </c>
      <c r="I20" s="286">
        <f t="shared" si="2"/>
        <v>6.2388040194715413E-3</v>
      </c>
      <c r="J20" s="286">
        <f t="shared" si="10"/>
        <v>5.3029834165508102E-3</v>
      </c>
      <c r="K20" s="282">
        <v>5053.7</v>
      </c>
      <c r="L20" s="319">
        <f t="shared" si="3"/>
        <v>7.87715644892793E-2</v>
      </c>
      <c r="M20" s="287">
        <f t="shared" si="11"/>
        <v>1.1815734673391894E-2</v>
      </c>
      <c r="N20" s="291">
        <f t="shared" si="12"/>
        <v>1.7118718089942704E-2</v>
      </c>
      <c r="O20" s="288">
        <v>25568</v>
      </c>
      <c r="P20" s="288">
        <v>20948</v>
      </c>
      <c r="Q20" s="289">
        <v>2.5216163224999999</v>
      </c>
      <c r="R20" s="290">
        <f t="shared" si="13"/>
        <v>1.9476311475943298E-2</v>
      </c>
      <c r="S20" s="289">
        <f t="shared" si="4"/>
        <v>4.9111784919832688E-2</v>
      </c>
      <c r="T20" s="289">
        <f t="shared" si="14"/>
        <v>2.5472192355379904E-2</v>
      </c>
      <c r="U20" s="288">
        <f t="shared" si="15"/>
        <v>4641492.5473933732</v>
      </c>
      <c r="V20" s="290">
        <f t="shared" si="5"/>
        <v>1.220546114187512</v>
      </c>
      <c r="W20" s="290">
        <f t="shared" si="16"/>
        <v>1.6218923884827686E-2</v>
      </c>
      <c r="X20" s="288">
        <f t="shared" si="17"/>
        <v>521537.69205547299</v>
      </c>
      <c r="Y20" s="282">
        <f t="shared" si="6"/>
        <v>5163030.2394488463</v>
      </c>
      <c r="Z20" s="291">
        <f t="shared" si="18"/>
        <v>2.4084202084797071E-2</v>
      </c>
      <c r="AB20" s="292">
        <f t="shared" si="7"/>
        <v>23725.522165299986</v>
      </c>
      <c r="AC20" s="293">
        <f t="shared" si="8"/>
        <v>3669810.5607893919</v>
      </c>
      <c r="AD20" s="293">
        <f t="shared" si="19"/>
        <v>5163030.2394488472</v>
      </c>
      <c r="AE20" s="293">
        <f t="shared" si="20"/>
        <v>8856566.322403539</v>
      </c>
      <c r="AF20" s="316">
        <f t="shared" si="21"/>
        <v>1.0328398401407821E-2</v>
      </c>
    </row>
    <row r="21" spans="1:32">
      <c r="A21" s="18" t="s">
        <v>273</v>
      </c>
      <c r="B21" s="200" t="s">
        <v>15</v>
      </c>
      <c r="C21" s="282">
        <v>1548836</v>
      </c>
      <c r="D21" s="282">
        <v>363195</v>
      </c>
      <c r="E21" s="283">
        <f t="shared" si="0"/>
        <v>0.23449545335981342</v>
      </c>
      <c r="F21" s="284">
        <f t="shared" si="9"/>
        <v>85167.576183017431</v>
      </c>
      <c r="G21" s="291">
        <f t="shared" si="1"/>
        <v>4.4998057076421414E-5</v>
      </c>
      <c r="H21" s="285">
        <v>1360</v>
      </c>
      <c r="I21" s="286">
        <f t="shared" si="2"/>
        <v>2.351134301286105E-4</v>
      </c>
      <c r="J21" s="286">
        <f t="shared" si="10"/>
        <v>1.9984641560931893E-4</v>
      </c>
      <c r="K21" s="282">
        <v>720.7</v>
      </c>
      <c r="L21" s="319">
        <f t="shared" si="3"/>
        <v>1.1233485669395412E-2</v>
      </c>
      <c r="M21" s="287">
        <f t="shared" si="11"/>
        <v>1.6850228504093118E-3</v>
      </c>
      <c r="N21" s="291">
        <f t="shared" si="12"/>
        <v>1.8848692660186307E-3</v>
      </c>
      <c r="O21" s="288">
        <v>347</v>
      </c>
      <c r="P21" s="288">
        <v>179</v>
      </c>
      <c r="Q21" s="289">
        <v>1.9685182910000001</v>
      </c>
      <c r="R21" s="290">
        <f t="shared" si="13"/>
        <v>1.6642446792981908E-4</v>
      </c>
      <c r="S21" s="289">
        <f t="shared" si="4"/>
        <v>3.2760960918979179E-4</v>
      </c>
      <c r="T21" s="289">
        <f t="shared" si="14"/>
        <v>1.699171593208232E-4</v>
      </c>
      <c r="U21" s="288">
        <f t="shared" si="15"/>
        <v>30961.968944745382</v>
      </c>
      <c r="V21" s="290">
        <f t="shared" si="5"/>
        <v>1.9385474860335195</v>
      </c>
      <c r="W21" s="290">
        <f t="shared" si="16"/>
        <v>2.5759906780770288E-2</v>
      </c>
      <c r="X21" s="288">
        <f t="shared" si="17"/>
        <v>828338.70023737394</v>
      </c>
      <c r="Y21" s="282">
        <f t="shared" si="6"/>
        <v>859300.66918211931</v>
      </c>
      <c r="Z21" s="291">
        <f t="shared" si="18"/>
        <v>4.0084156025382428E-3</v>
      </c>
      <c r="AB21" s="292">
        <f t="shared" si="7"/>
        <v>19292.840060386538</v>
      </c>
      <c r="AC21" s="293">
        <f t="shared" si="8"/>
        <v>404067.23808404466</v>
      </c>
      <c r="AD21" s="293">
        <f t="shared" si="19"/>
        <v>859300.66918211931</v>
      </c>
      <c r="AE21" s="293">
        <f t="shared" si="20"/>
        <v>1282660.7473265505</v>
      </c>
      <c r="AF21" s="316">
        <f t="shared" si="21"/>
        <v>1.4958202456774291E-3</v>
      </c>
    </row>
    <row r="22" spans="1:32">
      <c r="A22" s="18" t="s">
        <v>274</v>
      </c>
      <c r="B22" s="200" t="s">
        <v>239</v>
      </c>
      <c r="C22" s="282">
        <v>2192867</v>
      </c>
      <c r="D22" s="282">
        <v>1038863</v>
      </c>
      <c r="E22" s="283">
        <f t="shared" si="0"/>
        <v>0.47374646980414226</v>
      </c>
      <c r="F22" s="284">
        <f t="shared" si="9"/>
        <v>492157.67886014062</v>
      </c>
      <c r="G22" s="291">
        <f t="shared" si="1"/>
        <v>2.6003017012433976E-4</v>
      </c>
      <c r="H22" s="285">
        <v>3256</v>
      </c>
      <c r="I22" s="286">
        <f t="shared" si="2"/>
        <v>5.6288921213143808E-4</v>
      </c>
      <c r="J22" s="286">
        <f t="shared" si="10"/>
        <v>4.7845583031172234E-4</v>
      </c>
      <c r="K22" s="282">
        <v>614.70000000000005</v>
      </c>
      <c r="L22" s="319">
        <f t="shared" si="3"/>
        <v>9.5812732634624129E-3</v>
      </c>
      <c r="M22" s="287">
        <f t="shared" si="11"/>
        <v>1.4371909895193619E-3</v>
      </c>
      <c r="N22" s="291">
        <f t="shared" si="12"/>
        <v>1.9156468198310843E-3</v>
      </c>
      <c r="O22" s="288">
        <v>355</v>
      </c>
      <c r="P22" s="288">
        <v>468</v>
      </c>
      <c r="Q22" s="289">
        <v>1.9393994637</v>
      </c>
      <c r="R22" s="290">
        <f t="shared" si="13"/>
        <v>4.3512095525785101E-4</v>
      </c>
      <c r="S22" s="289">
        <f t="shared" si="4"/>
        <v>8.43873347271708E-4</v>
      </c>
      <c r="T22" s="289">
        <f t="shared" si="14"/>
        <v>4.3768118508360012E-4</v>
      </c>
      <c r="U22" s="288">
        <f t="shared" si="15"/>
        <v>79753.400506602411</v>
      </c>
      <c r="V22" s="290">
        <f t="shared" si="5"/>
        <v>0.75854700854700852</v>
      </c>
      <c r="W22" s="290">
        <f t="shared" si="16"/>
        <v>1.0079763518707652E-2</v>
      </c>
      <c r="X22" s="288">
        <f t="shared" si="17"/>
        <v>324126.10351599747</v>
      </c>
      <c r="Y22" s="282">
        <f t="shared" si="6"/>
        <v>403879.5040225999</v>
      </c>
      <c r="Z22" s="291">
        <f t="shared" si="18"/>
        <v>1.8839935351272082E-3</v>
      </c>
      <c r="AB22" s="292">
        <f t="shared" si="7"/>
        <v>111487.49099464354</v>
      </c>
      <c r="AC22" s="293">
        <f t="shared" si="8"/>
        <v>410665.14987993805</v>
      </c>
      <c r="AD22" s="293">
        <f t="shared" si="19"/>
        <v>403879.50402259995</v>
      </c>
      <c r="AE22" s="293">
        <f t="shared" si="20"/>
        <v>926032.14489718154</v>
      </c>
      <c r="AF22" s="316">
        <f t="shared" si="21"/>
        <v>1.079925173801743E-3</v>
      </c>
    </row>
    <row r="23" spans="1:32">
      <c r="A23" s="18" t="s">
        <v>275</v>
      </c>
      <c r="B23" s="200" t="s">
        <v>17</v>
      </c>
      <c r="C23" s="282">
        <v>10046865</v>
      </c>
      <c r="D23" s="282">
        <v>1281029</v>
      </c>
      <c r="E23" s="283">
        <f t="shared" si="0"/>
        <v>0.12750534619505688</v>
      </c>
      <c r="F23" s="284">
        <f t="shared" si="9"/>
        <v>163338.04613090752</v>
      </c>
      <c r="G23" s="291">
        <f t="shared" si="1"/>
        <v>8.6299212117478498E-5</v>
      </c>
      <c r="H23" s="285">
        <v>40903</v>
      </c>
      <c r="I23" s="286">
        <f t="shared" si="2"/>
        <v>7.0712092886401146E-3</v>
      </c>
      <c r="J23" s="286">
        <f t="shared" si="10"/>
        <v>6.0105278953440974E-3</v>
      </c>
      <c r="K23" s="282">
        <v>7068.3</v>
      </c>
      <c r="L23" s="319">
        <f t="shared" si="3"/>
        <v>0.11017295234770028</v>
      </c>
      <c r="M23" s="287">
        <f t="shared" si="11"/>
        <v>1.6525942852155039E-2</v>
      </c>
      <c r="N23" s="291">
        <f t="shared" si="12"/>
        <v>2.2536470747499135E-2</v>
      </c>
      <c r="O23" s="288">
        <v>23646</v>
      </c>
      <c r="P23" s="288">
        <v>15246</v>
      </c>
      <c r="Q23" s="289">
        <v>2.0430424666000002</v>
      </c>
      <c r="R23" s="290">
        <f t="shared" si="13"/>
        <v>1.4174901888592301E-2</v>
      </c>
      <c r="S23" s="289">
        <f t="shared" si="4"/>
        <v>2.8959926518282615E-2</v>
      </c>
      <c r="T23" s="289">
        <f t="shared" si="14"/>
        <v>1.5020281182520606E-2</v>
      </c>
      <c r="U23" s="288">
        <f t="shared" si="15"/>
        <v>2736965.9507811354</v>
      </c>
      <c r="V23" s="290">
        <f t="shared" si="5"/>
        <v>1.5509641873278237</v>
      </c>
      <c r="W23" s="290">
        <f t="shared" si="16"/>
        <v>2.060960238205228E-2</v>
      </c>
      <c r="X23" s="288">
        <f t="shared" si="17"/>
        <v>662724.88463748165</v>
      </c>
      <c r="Y23" s="282">
        <f t="shared" si="6"/>
        <v>3399690.8354186169</v>
      </c>
      <c r="Z23" s="291">
        <f t="shared" si="18"/>
        <v>1.5858679362450358E-2</v>
      </c>
      <c r="AB23" s="292">
        <f t="shared" si="7"/>
        <v>37000.639691892546</v>
      </c>
      <c r="AC23" s="293">
        <f t="shared" si="8"/>
        <v>4831236.6567145418</v>
      </c>
      <c r="AD23" s="293">
        <f t="shared" si="19"/>
        <v>3399690.8354186174</v>
      </c>
      <c r="AE23" s="293">
        <f t="shared" si="20"/>
        <v>8267928.1318250522</v>
      </c>
      <c r="AF23" s="316">
        <f t="shared" si="21"/>
        <v>9.6419371335461131E-3</v>
      </c>
    </row>
    <row r="24" spans="1:32">
      <c r="A24" s="18" t="s">
        <v>276</v>
      </c>
      <c r="B24" s="200" t="s">
        <v>240</v>
      </c>
      <c r="C24" s="282">
        <v>425436337.39000034</v>
      </c>
      <c r="D24" s="282">
        <v>103525907.23999999</v>
      </c>
      <c r="E24" s="283">
        <f t="shared" si="0"/>
        <v>0.24334053803471212</v>
      </c>
      <c r="F24" s="284">
        <f t="shared" si="9"/>
        <v>25192049.968313295</v>
      </c>
      <c r="G24" s="291">
        <f t="shared" si="1"/>
        <v>1.3310151035767794E-2</v>
      </c>
      <c r="H24" s="285">
        <v>397205</v>
      </c>
      <c r="I24" s="286">
        <f t="shared" si="2"/>
        <v>6.8667816186937305E-2</v>
      </c>
      <c r="J24" s="286">
        <f t="shared" si="10"/>
        <v>5.8367643758896706E-2</v>
      </c>
      <c r="K24" s="282">
        <v>1032</v>
      </c>
      <c r="L24" s="319">
        <f t="shared" si="3"/>
        <v>1.6085690593611857E-2</v>
      </c>
      <c r="M24" s="287">
        <f t="shared" si="11"/>
        <v>2.4128535890417784E-3</v>
      </c>
      <c r="N24" s="291">
        <f t="shared" si="12"/>
        <v>6.0780497347938486E-2</v>
      </c>
      <c r="O24" s="288">
        <v>49018</v>
      </c>
      <c r="P24" s="288">
        <v>87249</v>
      </c>
      <c r="Q24" s="289">
        <v>1.8532766358999999</v>
      </c>
      <c r="R24" s="290">
        <f t="shared" si="13"/>
        <v>8.1119376549769751E-2</v>
      </c>
      <c r="S24" s="289">
        <f t="shared" si="4"/>
        <v>0.15033664527846263</v>
      </c>
      <c r="T24" s="289">
        <f t="shared" si="14"/>
        <v>7.7973218705987155E-2</v>
      </c>
      <c r="U24" s="288">
        <f t="shared" si="15"/>
        <v>14208125.805224402</v>
      </c>
      <c r="V24" s="290">
        <f t="shared" si="5"/>
        <v>0.56181732741922541</v>
      </c>
      <c r="W24" s="290">
        <f t="shared" si="16"/>
        <v>7.4655700138420563E-3</v>
      </c>
      <c r="X24" s="288">
        <f t="shared" si="17"/>
        <v>240063.77874058924</v>
      </c>
      <c r="Y24" s="282">
        <f t="shared" si="6"/>
        <v>14448189.58396499</v>
      </c>
      <c r="Z24" s="291">
        <f t="shared" si="18"/>
        <v>6.7397071402165387E-2</v>
      </c>
      <c r="AB24" s="292">
        <f t="shared" si="7"/>
        <v>5706704.5067421868</v>
      </c>
      <c r="AC24" s="293">
        <f t="shared" si="8"/>
        <v>13029767.175647371</v>
      </c>
      <c r="AD24" s="293">
        <f t="shared" si="19"/>
        <v>14448189.583964992</v>
      </c>
      <c r="AE24" s="293">
        <f t="shared" si="20"/>
        <v>33184661.26635455</v>
      </c>
      <c r="AF24" s="316">
        <f t="shared" si="21"/>
        <v>3.8699467705409864E-2</v>
      </c>
    </row>
    <row r="25" spans="1:32">
      <c r="A25" s="18" t="s">
        <v>277</v>
      </c>
      <c r="B25" s="200" t="s">
        <v>19</v>
      </c>
      <c r="C25" s="282">
        <v>5541859</v>
      </c>
      <c r="D25" s="282">
        <v>3566422</v>
      </c>
      <c r="E25" s="283">
        <f t="shared" si="0"/>
        <v>0.6435425368996216</v>
      </c>
      <c r="F25" s="284">
        <f t="shared" si="9"/>
        <v>2295144.2615346224</v>
      </c>
      <c r="G25" s="291">
        <f t="shared" si="1"/>
        <v>1.2126332239069831E-3</v>
      </c>
      <c r="H25" s="285">
        <v>5506</v>
      </c>
      <c r="I25" s="286">
        <f t="shared" si="2"/>
        <v>9.5186363697656574E-4</v>
      </c>
      <c r="J25" s="286">
        <f t="shared" si="10"/>
        <v>8.0908409143008091E-4</v>
      </c>
      <c r="K25" s="282">
        <v>1888.6</v>
      </c>
      <c r="L25" s="319">
        <f t="shared" si="3"/>
        <v>2.9437437262689294E-2</v>
      </c>
      <c r="M25" s="287">
        <f t="shared" si="11"/>
        <v>4.4156155894033936E-3</v>
      </c>
      <c r="N25" s="291">
        <f t="shared" si="12"/>
        <v>5.2246996808334749E-3</v>
      </c>
      <c r="O25" s="288">
        <v>2284</v>
      </c>
      <c r="P25" s="288">
        <v>950</v>
      </c>
      <c r="Q25" s="289">
        <v>2.0503201405999998</v>
      </c>
      <c r="R25" s="290">
        <f t="shared" si="13"/>
        <v>8.8325834934820178E-4</v>
      </c>
      <c r="S25" s="289">
        <f t="shared" si="4"/>
        <v>1.8109623830217289E-3</v>
      </c>
      <c r="T25" s="289">
        <f t="shared" si="14"/>
        <v>9.3926910300624043E-4</v>
      </c>
      <c r="U25" s="288">
        <f t="shared" si="15"/>
        <v>171151.75956495726</v>
      </c>
      <c r="V25" s="290">
        <f t="shared" si="5"/>
        <v>2.4042105263157896</v>
      </c>
      <c r="W25" s="290">
        <f t="shared" si="16"/>
        <v>3.1947754432346431E-2</v>
      </c>
      <c r="X25" s="288">
        <f t="shared" si="17"/>
        <v>1027315.8830585378</v>
      </c>
      <c r="Y25" s="282">
        <f t="shared" si="6"/>
        <v>1198467.6426234951</v>
      </c>
      <c r="Z25" s="291">
        <f t="shared" si="18"/>
        <v>5.5905419024072697E-3</v>
      </c>
      <c r="AB25" s="292">
        <f t="shared" si="7"/>
        <v>519914.4221052861</v>
      </c>
      <c r="AC25" s="293">
        <f t="shared" si="8"/>
        <v>1120040.5290242049</v>
      </c>
      <c r="AD25" s="293">
        <f t="shared" si="19"/>
        <v>1198467.6426234953</v>
      </c>
      <c r="AE25" s="293">
        <f t="shared" si="20"/>
        <v>2838422.5937529863</v>
      </c>
      <c r="AF25" s="316">
        <f t="shared" si="21"/>
        <v>3.3101270077636777E-3</v>
      </c>
    </row>
    <row r="26" spans="1:32">
      <c r="A26" s="18" t="s">
        <v>278</v>
      </c>
      <c r="B26" s="200" t="s">
        <v>20</v>
      </c>
      <c r="C26" s="282">
        <v>449264751.14000052</v>
      </c>
      <c r="D26" s="282">
        <v>154603349.86000001</v>
      </c>
      <c r="E26" s="283">
        <f t="shared" si="0"/>
        <v>0.34412526125785975</v>
      </c>
      <c r="F26" s="284">
        <f t="shared" si="9"/>
        <v>53202918.161912799</v>
      </c>
      <c r="G26" s="291">
        <f t="shared" si="1"/>
        <v>2.8109617008911698E-2</v>
      </c>
      <c r="H26" s="285">
        <v>481213</v>
      </c>
      <c r="I26" s="286">
        <f t="shared" si="2"/>
        <v>8.3190911067999293E-2</v>
      </c>
      <c r="J26" s="286">
        <f t="shared" si="10"/>
        <v>7.0712274407799397E-2</v>
      </c>
      <c r="K26" s="282">
        <v>149.4</v>
      </c>
      <c r="L26" s="319">
        <f t="shared" si="3"/>
        <v>2.3286842777961352E-3</v>
      </c>
      <c r="M26" s="287">
        <f t="shared" si="11"/>
        <v>3.4930264166942025E-4</v>
      </c>
      <c r="N26" s="291">
        <f t="shared" si="12"/>
        <v>7.1061577049468819E-2</v>
      </c>
      <c r="O26" s="288">
        <v>95635</v>
      </c>
      <c r="P26" s="288">
        <v>113990</v>
      </c>
      <c r="Q26" s="289">
        <v>1.9916235985999999</v>
      </c>
      <c r="R26" s="290">
        <f t="shared" si="13"/>
        <v>0.10598170446547529</v>
      </c>
      <c r="S26" s="289">
        <f t="shared" si="4"/>
        <v>0.21107566363329158</v>
      </c>
      <c r="T26" s="289">
        <f t="shared" si="14"/>
        <v>0.10947596212157762</v>
      </c>
      <c r="U26" s="288">
        <f t="shared" si="15"/>
        <v>19948493.447942294</v>
      </c>
      <c r="V26" s="290">
        <f t="shared" si="5"/>
        <v>0.83897710325467145</v>
      </c>
      <c r="W26" s="290">
        <f t="shared" si="16"/>
        <v>1.1148538855378512E-2</v>
      </c>
      <c r="X26" s="288">
        <f t="shared" si="17"/>
        <v>358493.77342870779</v>
      </c>
      <c r="Y26" s="282">
        <f t="shared" si="6"/>
        <v>20306987.221371002</v>
      </c>
      <c r="Z26" s="291">
        <f t="shared" si="18"/>
        <v>9.4726848631647764E-2</v>
      </c>
      <c r="AB26" s="292">
        <f t="shared" si="7"/>
        <v>12051950.247332396</v>
      </c>
      <c r="AC26" s="293">
        <f t="shared" si="8"/>
        <v>15233764.850400817</v>
      </c>
      <c r="AD26" s="293">
        <f t="shared" si="19"/>
        <v>20306987.221371002</v>
      </c>
      <c r="AE26" s="293">
        <f t="shared" si="20"/>
        <v>47592702.319104217</v>
      </c>
      <c r="AF26" s="316">
        <f t="shared" si="21"/>
        <v>5.5501914924734996E-2</v>
      </c>
    </row>
    <row r="27" spans="1:32">
      <c r="A27" s="18" t="s">
        <v>279</v>
      </c>
      <c r="B27" s="200" t="s">
        <v>241</v>
      </c>
      <c r="C27" s="282">
        <v>12500507</v>
      </c>
      <c r="D27" s="282">
        <v>4608992</v>
      </c>
      <c r="E27" s="283">
        <f t="shared" si="0"/>
        <v>0.36870440534931903</v>
      </c>
      <c r="F27" s="284">
        <f t="shared" si="9"/>
        <v>1699355.6546197687</v>
      </c>
      <c r="G27" s="291">
        <f t="shared" si="1"/>
        <v>8.9784993499636109E-4</v>
      </c>
      <c r="H27" s="285">
        <v>14109</v>
      </c>
      <c r="I27" s="286">
        <f t="shared" si="2"/>
        <v>2.4391289600621804E-3</v>
      </c>
      <c r="J27" s="286">
        <f t="shared" si="10"/>
        <v>2.0732596160528533E-3</v>
      </c>
      <c r="K27" s="282">
        <v>2478.8000000000002</v>
      </c>
      <c r="L27" s="319">
        <f t="shared" si="3"/>
        <v>3.8636831243648327E-2</v>
      </c>
      <c r="M27" s="287">
        <f t="shared" si="11"/>
        <v>5.7955246865472486E-3</v>
      </c>
      <c r="N27" s="291">
        <f t="shared" si="12"/>
        <v>7.8687843026001014E-3</v>
      </c>
      <c r="O27" s="288">
        <v>5621</v>
      </c>
      <c r="P27" s="288">
        <v>1660</v>
      </c>
      <c r="Q27" s="289">
        <v>2.1173054283999999</v>
      </c>
      <c r="R27" s="290">
        <f t="shared" si="13"/>
        <v>1.543377747282121E-3</v>
      </c>
      <c r="S27" s="289">
        <f t="shared" si="4"/>
        <v>3.2678020823921979E-3</v>
      </c>
      <c r="T27" s="289">
        <f t="shared" si="14"/>
        <v>1.6948698435187855E-3</v>
      </c>
      <c r="U27" s="288">
        <f t="shared" si="15"/>
        <v>308835.83312108228</v>
      </c>
      <c r="V27" s="290">
        <f t="shared" si="5"/>
        <v>3.3861445783132531</v>
      </c>
      <c r="W27" s="290">
        <f t="shared" si="16"/>
        <v>4.499594119411314E-2</v>
      </c>
      <c r="X27" s="288">
        <f t="shared" si="17"/>
        <v>1446894.9659597513</v>
      </c>
      <c r="Y27" s="282">
        <f t="shared" si="6"/>
        <v>1755730.7990808336</v>
      </c>
      <c r="Z27" s="291">
        <f t="shared" si="18"/>
        <v>8.1900305461079393E-3</v>
      </c>
      <c r="AB27" s="292">
        <f t="shared" si="7"/>
        <v>384951.62501560221</v>
      </c>
      <c r="AC27" s="293">
        <f t="shared" si="8"/>
        <v>1686863.9101674869</v>
      </c>
      <c r="AD27" s="293">
        <f t="shared" si="19"/>
        <v>1755730.7990808338</v>
      </c>
      <c r="AE27" s="293">
        <f t="shared" si="20"/>
        <v>3827546.3342639226</v>
      </c>
      <c r="AF27" s="316">
        <f t="shared" si="21"/>
        <v>4.4636286796751901E-3</v>
      </c>
    </row>
    <row r="28" spans="1:32">
      <c r="A28" s="18" t="s">
        <v>280</v>
      </c>
      <c r="B28" s="200" t="s">
        <v>22</v>
      </c>
      <c r="C28" s="282">
        <v>796636</v>
      </c>
      <c r="D28" s="282">
        <v>246797</v>
      </c>
      <c r="E28" s="283">
        <f t="shared" si="0"/>
        <v>0.30979895460411028</v>
      </c>
      <c r="F28" s="284">
        <f t="shared" si="9"/>
        <v>76457.452599430602</v>
      </c>
      <c r="G28" s="291">
        <f t="shared" si="1"/>
        <v>4.0396086987303419E-5</v>
      </c>
      <c r="H28" s="285">
        <v>1808</v>
      </c>
      <c r="I28" s="286">
        <f t="shared" si="2"/>
        <v>3.1256256005332924E-4</v>
      </c>
      <c r="J28" s="286">
        <f t="shared" si="10"/>
        <v>2.6567817604532983E-4</v>
      </c>
      <c r="K28" s="282">
        <v>387.9</v>
      </c>
      <c r="L28" s="319">
        <f t="shared" si="3"/>
        <v>6.0461621911453867E-3</v>
      </c>
      <c r="M28" s="287">
        <f t="shared" si="11"/>
        <v>9.0692432867180801E-4</v>
      </c>
      <c r="N28" s="291">
        <f t="shared" si="12"/>
        <v>1.1726025047171379E-3</v>
      </c>
      <c r="O28" s="288">
        <v>196</v>
      </c>
      <c r="P28" s="288">
        <v>185</v>
      </c>
      <c r="Q28" s="289">
        <v>1.7757863003000001</v>
      </c>
      <c r="R28" s="290">
        <f t="shared" si="13"/>
        <v>1.7200294171517615E-4</v>
      </c>
      <c r="S28" s="289">
        <f t="shared" si="4"/>
        <v>3.054404675091092E-4</v>
      </c>
      <c r="T28" s="289">
        <f t="shared" si="14"/>
        <v>1.5841896917835949E-4</v>
      </c>
      <c r="U28" s="288">
        <f t="shared" si="15"/>
        <v>28866.791462172496</v>
      </c>
      <c r="V28" s="290">
        <f t="shared" si="5"/>
        <v>1.0594594594594595</v>
      </c>
      <c r="W28" s="290">
        <f t="shared" si="16"/>
        <v>1.4078363883426199E-2</v>
      </c>
      <c r="X28" s="288">
        <f t="shared" si="17"/>
        <v>452705.58391039848</v>
      </c>
      <c r="Y28" s="282">
        <f t="shared" si="6"/>
        <v>481572.375372571</v>
      </c>
      <c r="Z28" s="291">
        <f t="shared" si="18"/>
        <v>2.2464107063155359E-3</v>
      </c>
      <c r="AB28" s="292">
        <f t="shared" si="7"/>
        <v>17319.753250410493</v>
      </c>
      <c r="AC28" s="293">
        <f t="shared" si="8"/>
        <v>251375.65983677277</v>
      </c>
      <c r="AD28" s="293">
        <f t="shared" si="19"/>
        <v>481572.37537257111</v>
      </c>
      <c r="AE28" s="293">
        <f t="shared" si="20"/>
        <v>750267.78845975432</v>
      </c>
      <c r="AF28" s="316">
        <f t="shared" si="21"/>
        <v>8.7495134625182008E-4</v>
      </c>
    </row>
    <row r="29" spans="1:32">
      <c r="A29" s="18" t="s">
        <v>281</v>
      </c>
      <c r="B29" s="200" t="s">
        <v>23</v>
      </c>
      <c r="C29" s="282">
        <v>1746864</v>
      </c>
      <c r="D29" s="282">
        <v>165744</v>
      </c>
      <c r="E29" s="283">
        <f t="shared" si="0"/>
        <v>9.4880883686423209E-2</v>
      </c>
      <c r="F29" s="284">
        <f t="shared" si="9"/>
        <v>15725.937185722529</v>
      </c>
      <c r="G29" s="291">
        <f t="shared" si="1"/>
        <v>8.3087561109255141E-6</v>
      </c>
      <c r="H29" s="285">
        <v>6282</v>
      </c>
      <c r="I29" s="286">
        <f t="shared" si="2"/>
        <v>1.0860165941675964E-3</v>
      </c>
      <c r="J29" s="286">
        <f t="shared" si="10"/>
        <v>9.2311410504245688E-4</v>
      </c>
      <c r="K29" s="282">
        <v>1306.7</v>
      </c>
      <c r="L29" s="319">
        <f t="shared" si="3"/>
        <v>2.0367414630496718E-2</v>
      </c>
      <c r="M29" s="287">
        <f t="shared" si="11"/>
        <v>3.0551121945745076E-3</v>
      </c>
      <c r="N29" s="291">
        <f t="shared" si="12"/>
        <v>3.9782262996169646E-3</v>
      </c>
      <c r="O29" s="288">
        <v>3611</v>
      </c>
      <c r="P29" s="288">
        <v>3897</v>
      </c>
      <c r="Q29" s="289">
        <v>2.6101222018999999</v>
      </c>
      <c r="R29" s="290">
        <f t="shared" si="13"/>
        <v>3.6232187235894133E-3</v>
      </c>
      <c r="S29" s="289">
        <f t="shared" si="4"/>
        <v>9.4570436327805069E-3</v>
      </c>
      <c r="T29" s="289">
        <f t="shared" si="14"/>
        <v>4.9049659856717437E-3</v>
      </c>
      <c r="U29" s="288">
        <f t="shared" si="15"/>
        <v>893773.2076644348</v>
      </c>
      <c r="V29" s="290">
        <f t="shared" si="5"/>
        <v>0.92661021298434698</v>
      </c>
      <c r="W29" s="290">
        <f t="shared" si="16"/>
        <v>1.2313029668118099E-2</v>
      </c>
      <c r="X29" s="288">
        <f t="shared" si="17"/>
        <v>395939.28184891446</v>
      </c>
      <c r="Y29" s="282">
        <f t="shared" si="6"/>
        <v>1289712.4895133493</v>
      </c>
      <c r="Z29" s="291">
        <f t="shared" si="18"/>
        <v>6.0161755380386973E-3</v>
      </c>
      <c r="AB29" s="292">
        <f t="shared" si="7"/>
        <v>3562.3649811502801</v>
      </c>
      <c r="AC29" s="293">
        <f t="shared" si="8"/>
        <v>852828.86316829955</v>
      </c>
      <c r="AD29" s="293">
        <f t="shared" si="19"/>
        <v>1289712.4895133495</v>
      </c>
      <c r="AE29" s="293">
        <f t="shared" si="20"/>
        <v>2146103.7176627992</v>
      </c>
      <c r="AF29" s="316">
        <f t="shared" si="21"/>
        <v>2.502754837469378E-3</v>
      </c>
    </row>
    <row r="30" spans="1:32">
      <c r="A30" s="18" t="s">
        <v>282</v>
      </c>
      <c r="B30" s="200" t="s">
        <v>24</v>
      </c>
      <c r="C30" s="282">
        <v>63133792</v>
      </c>
      <c r="D30" s="282">
        <v>12472493</v>
      </c>
      <c r="E30" s="283">
        <f t="shared" si="0"/>
        <v>0.1975565320074549</v>
      </c>
      <c r="F30" s="284">
        <f t="shared" si="9"/>
        <v>2464022.4625672572</v>
      </c>
      <c r="G30" s="291">
        <f t="shared" si="1"/>
        <v>1.3018595617881963E-3</v>
      </c>
      <c r="H30" s="285">
        <v>102149</v>
      </c>
      <c r="I30" s="286">
        <f t="shared" si="2"/>
        <v>1.7659266010446643E-2</v>
      </c>
      <c r="J30" s="286">
        <f t="shared" si="10"/>
        <v>1.5010376108879647E-2</v>
      </c>
      <c r="K30" s="282">
        <v>184.5</v>
      </c>
      <c r="L30" s="319">
        <f t="shared" si="3"/>
        <v>2.8757848008928175E-3</v>
      </c>
      <c r="M30" s="287">
        <f t="shared" si="11"/>
        <v>4.3136772013392259E-4</v>
      </c>
      <c r="N30" s="291">
        <f t="shared" si="12"/>
        <v>1.544174382901357E-2</v>
      </c>
      <c r="O30" s="288">
        <v>12989</v>
      </c>
      <c r="P30" s="288">
        <v>23008</v>
      </c>
      <c r="Q30" s="289">
        <v>1.8972127424</v>
      </c>
      <c r="R30" s="290">
        <f t="shared" si="13"/>
        <v>2.1391587475582556E-2</v>
      </c>
      <c r="S30" s="289">
        <f t="shared" si="4"/>
        <v>4.0584392338839474E-2</v>
      </c>
      <c r="T30" s="289">
        <f t="shared" si="14"/>
        <v>2.1049396798927165E-2</v>
      </c>
      <c r="U30" s="288">
        <f t="shared" si="15"/>
        <v>3835579.4823727184</v>
      </c>
      <c r="V30" s="290">
        <f t="shared" si="5"/>
        <v>0.56454276773296241</v>
      </c>
      <c r="W30" s="290">
        <f t="shared" si="16"/>
        <v>7.5017863505189922E-3</v>
      </c>
      <c r="X30" s="288">
        <f t="shared" si="17"/>
        <v>241228.35567425759</v>
      </c>
      <c r="Y30" s="282">
        <f t="shared" si="6"/>
        <v>4076807.8380469759</v>
      </c>
      <c r="Z30" s="291">
        <f t="shared" si="18"/>
        <v>1.901725523166594E-2</v>
      </c>
      <c r="AB30" s="292">
        <f t="shared" si="7"/>
        <v>558170.06196530722</v>
      </c>
      <c r="AC30" s="293">
        <f t="shared" si="8"/>
        <v>3310310.6367532974</v>
      </c>
      <c r="AD30" s="293">
        <f t="shared" si="19"/>
        <v>4076807.8380469768</v>
      </c>
      <c r="AE30" s="293">
        <f t="shared" si="20"/>
        <v>7945288.536765581</v>
      </c>
      <c r="AF30" s="316">
        <f t="shared" si="21"/>
        <v>9.2656795460639759E-3</v>
      </c>
    </row>
    <row r="31" spans="1:32">
      <c r="A31" s="18" t="s">
        <v>283</v>
      </c>
      <c r="B31" s="200" t="s">
        <v>25</v>
      </c>
      <c r="C31" s="282">
        <v>516795710.3599999</v>
      </c>
      <c r="D31" s="282">
        <v>210861820.25999999</v>
      </c>
      <c r="E31" s="283">
        <f t="shared" si="0"/>
        <v>0.40801774479341874</v>
      </c>
      <c r="F31" s="284">
        <f t="shared" si="9"/>
        <v>86035364.365520403</v>
      </c>
      <c r="G31" s="291">
        <f t="shared" si="1"/>
        <v>4.5456550600795065E-2</v>
      </c>
      <c r="H31" s="285">
        <v>643143</v>
      </c>
      <c r="I31" s="286">
        <f t="shared" si="2"/>
        <v>0.11118496823029775</v>
      </c>
      <c r="J31" s="286">
        <f t="shared" si="10"/>
        <v>9.4507222995753079E-2</v>
      </c>
      <c r="K31" s="282">
        <v>118.4</v>
      </c>
      <c r="L31" s="319">
        <f t="shared" si="3"/>
        <v>1.8454900836081822E-3</v>
      </c>
      <c r="M31" s="287">
        <f t="shared" si="11"/>
        <v>2.7682351254122733E-4</v>
      </c>
      <c r="N31" s="291">
        <f t="shared" si="12"/>
        <v>9.4784046508294306E-2</v>
      </c>
      <c r="O31" s="288">
        <v>113831</v>
      </c>
      <c r="P31" s="288">
        <v>95688</v>
      </c>
      <c r="Q31" s="289">
        <v>1.8797706219999999</v>
      </c>
      <c r="R31" s="290">
        <f t="shared" si="13"/>
        <v>8.8965499928874453E-2</v>
      </c>
      <c r="S31" s="289">
        <f t="shared" si="4"/>
        <v>0.16723473313784129</v>
      </c>
      <c r="T31" s="289">
        <f t="shared" si="14"/>
        <v>8.6737537597976422E-2</v>
      </c>
      <c r="U31" s="288">
        <f t="shared" si="15"/>
        <v>15805142.671797937</v>
      </c>
      <c r="V31" s="290">
        <f t="shared" si="5"/>
        <v>1.1896058021904523</v>
      </c>
      <c r="W31" s="290">
        <f t="shared" si="16"/>
        <v>1.5807781233665195E-2</v>
      </c>
      <c r="X31" s="288">
        <f t="shared" si="17"/>
        <v>508316.93888371397</v>
      </c>
      <c r="Y31" s="282">
        <f t="shared" si="6"/>
        <v>16313459.610681651</v>
      </c>
      <c r="Z31" s="291">
        <f t="shared" si="18"/>
        <v>7.6098074143329753E-2</v>
      </c>
      <c r="AB31" s="292">
        <f t="shared" si="7"/>
        <v>19489418.37530002</v>
      </c>
      <c r="AC31" s="293">
        <f t="shared" si="8"/>
        <v>20319248.967295516</v>
      </c>
      <c r="AD31" s="293">
        <f t="shared" si="19"/>
        <v>16313459.610681655</v>
      </c>
      <c r="AE31" s="293">
        <f t="shared" si="20"/>
        <v>56122126.953277186</v>
      </c>
      <c r="AF31" s="316">
        <f t="shared" si="21"/>
        <v>6.5448805463303547E-2</v>
      </c>
    </row>
    <row r="32" spans="1:32">
      <c r="A32" s="18" t="s">
        <v>284</v>
      </c>
      <c r="B32" s="200" t="s">
        <v>212</v>
      </c>
      <c r="C32" s="282">
        <v>997290</v>
      </c>
      <c r="D32" s="282">
        <v>297293.69</v>
      </c>
      <c r="E32" s="283">
        <f t="shared" si="0"/>
        <v>0.29810154518745802</v>
      </c>
      <c r="F32" s="284">
        <f t="shared" si="9"/>
        <v>88623.708363481142</v>
      </c>
      <c r="G32" s="291">
        <f t="shared" si="1"/>
        <v>4.6824095107443525E-5</v>
      </c>
      <c r="H32" s="285">
        <v>1959</v>
      </c>
      <c r="I32" s="286">
        <f t="shared" si="2"/>
        <v>3.3866706589849116E-4</v>
      </c>
      <c r="J32" s="286">
        <f t="shared" si="10"/>
        <v>2.8786700601371749E-4</v>
      </c>
      <c r="K32" s="282">
        <v>496.6</v>
      </c>
      <c r="L32" s="319">
        <f t="shared" si="3"/>
        <v>7.7404592527012097E-3</v>
      </c>
      <c r="M32" s="287">
        <f t="shared" si="11"/>
        <v>1.1610688879051814E-3</v>
      </c>
      <c r="N32" s="291">
        <f t="shared" si="12"/>
        <v>1.4489358939188989E-3</v>
      </c>
      <c r="O32" s="288">
        <v>188</v>
      </c>
      <c r="P32" s="288">
        <v>192</v>
      </c>
      <c r="Q32" s="289">
        <v>1.9505591721</v>
      </c>
      <c r="R32" s="290">
        <f t="shared" si="13"/>
        <v>1.7851116113142606E-4</v>
      </c>
      <c r="S32" s="289">
        <f t="shared" si="4"/>
        <v>3.4819658266712413E-4</v>
      </c>
      <c r="T32" s="289">
        <f t="shared" si="14"/>
        <v>1.8059474616246836E-4</v>
      </c>
      <c r="U32" s="288">
        <f t="shared" si="15"/>
        <v>32907.617715695174</v>
      </c>
      <c r="V32" s="290">
        <f t="shared" si="5"/>
        <v>0.97916666666666663</v>
      </c>
      <c r="W32" s="290">
        <f t="shared" si="16"/>
        <v>1.3011413049148681E-2</v>
      </c>
      <c r="X32" s="288">
        <f t="shared" si="17"/>
        <v>418396.5829188897</v>
      </c>
      <c r="Y32" s="282">
        <f t="shared" si="6"/>
        <v>451304.20063458488</v>
      </c>
      <c r="Z32" s="291">
        <f t="shared" si="18"/>
        <v>2.1052174916104003E-3</v>
      </c>
      <c r="AB32" s="292">
        <f t="shared" si="7"/>
        <v>20075.750745104804</v>
      </c>
      <c r="AC32" s="293">
        <f t="shared" si="8"/>
        <v>310614.39399100415</v>
      </c>
      <c r="AD32" s="293">
        <f t="shared" si="19"/>
        <v>451304.20063458494</v>
      </c>
      <c r="AE32" s="293">
        <f t="shared" si="20"/>
        <v>781994.34537069383</v>
      </c>
      <c r="AF32" s="316">
        <f t="shared" si="21"/>
        <v>9.1195039393604646E-4</v>
      </c>
    </row>
    <row r="33" spans="1:32">
      <c r="A33" s="18" t="s">
        <v>285</v>
      </c>
      <c r="B33" s="200" t="s">
        <v>27</v>
      </c>
      <c r="C33" s="282">
        <v>2347113</v>
      </c>
      <c r="D33" s="282">
        <v>539788</v>
      </c>
      <c r="E33" s="283">
        <f t="shared" si="0"/>
        <v>0.22997955360479022</v>
      </c>
      <c r="F33" s="284">
        <f t="shared" si="9"/>
        <v>124140.20328122251</v>
      </c>
      <c r="G33" s="291">
        <f t="shared" si="1"/>
        <v>6.5589138532286647E-5</v>
      </c>
      <c r="H33" s="285">
        <v>16086</v>
      </c>
      <c r="I33" s="286">
        <f t="shared" si="2"/>
        <v>2.7809078213594327E-3</v>
      </c>
      <c r="J33" s="286">
        <f t="shared" si="10"/>
        <v>2.3637716481555177E-3</v>
      </c>
      <c r="K33" s="282">
        <v>170.6</v>
      </c>
      <c r="L33" s="319">
        <f t="shared" si="3"/>
        <v>2.6591267589827351E-3</v>
      </c>
      <c r="M33" s="287">
        <f t="shared" si="11"/>
        <v>3.9886901384741024E-4</v>
      </c>
      <c r="N33" s="291">
        <f t="shared" si="12"/>
        <v>2.762640662002928E-3</v>
      </c>
      <c r="O33" s="288">
        <v>3006</v>
      </c>
      <c r="P33" s="288">
        <v>3272</v>
      </c>
      <c r="Q33" s="289">
        <v>1.6415123341</v>
      </c>
      <c r="R33" s="290">
        <f t="shared" si="13"/>
        <v>3.0421277042813858E-3</v>
      </c>
      <c r="S33" s="289">
        <f t="shared" si="4"/>
        <v>4.9936901484852123E-3</v>
      </c>
      <c r="T33" s="289">
        <f t="shared" si="14"/>
        <v>2.5900145195906737E-3</v>
      </c>
      <c r="U33" s="288">
        <f t="shared" si="15"/>
        <v>471947.32681820809</v>
      </c>
      <c r="V33" s="290">
        <f t="shared" si="5"/>
        <v>0.91870415647921755</v>
      </c>
      <c r="W33" s="290">
        <f t="shared" si="16"/>
        <v>1.2207971999919139E-2</v>
      </c>
      <c r="X33" s="288">
        <f t="shared" si="17"/>
        <v>392561.03467331291</v>
      </c>
      <c r="Y33" s="282">
        <f t="shared" si="6"/>
        <v>864508.36149152101</v>
      </c>
      <c r="Z33" s="291">
        <f t="shared" si="18"/>
        <v>4.032708141639944E-3</v>
      </c>
      <c r="AB33" s="292">
        <f t="shared" si="7"/>
        <v>28121.231040106413</v>
      </c>
      <c r="AC33" s="293">
        <f t="shared" si="8"/>
        <v>592238.73095035448</v>
      </c>
      <c r="AD33" s="293">
        <f t="shared" si="19"/>
        <v>864508.36149152112</v>
      </c>
      <c r="AE33" s="293">
        <f t="shared" si="20"/>
        <v>1484868.3234819821</v>
      </c>
      <c r="AF33" s="316">
        <f t="shared" si="21"/>
        <v>1.7316317701768615E-3</v>
      </c>
    </row>
    <row r="34" spans="1:32">
      <c r="A34" s="18" t="s">
        <v>286</v>
      </c>
      <c r="B34" s="200" t="s">
        <v>28</v>
      </c>
      <c r="C34" s="282">
        <v>702996</v>
      </c>
      <c r="D34" s="282">
        <v>419888</v>
      </c>
      <c r="E34" s="283">
        <f t="shared" si="0"/>
        <v>0.597283626080376</v>
      </c>
      <c r="F34" s="284">
        <f t="shared" si="9"/>
        <v>250792.22718763692</v>
      </c>
      <c r="G34" s="291">
        <f t="shared" si="1"/>
        <v>1.3250539065549238E-4</v>
      </c>
      <c r="H34" s="285">
        <v>1386</v>
      </c>
      <c r="I34" s="286">
        <f t="shared" si="2"/>
        <v>2.3960824570459864E-4</v>
      </c>
      <c r="J34" s="286">
        <f t="shared" si="10"/>
        <v>2.0366700884890884E-4</v>
      </c>
      <c r="K34" s="282">
        <v>443.2</v>
      </c>
      <c r="L34" s="319">
        <f t="shared" si="3"/>
        <v>6.9081182859387349E-3</v>
      </c>
      <c r="M34" s="287">
        <f t="shared" si="11"/>
        <v>1.0362177428908102E-3</v>
      </c>
      <c r="N34" s="291">
        <f t="shared" si="12"/>
        <v>1.239884751739719E-3</v>
      </c>
      <c r="O34" s="288">
        <v>237</v>
      </c>
      <c r="P34" s="288">
        <v>131</v>
      </c>
      <c r="Q34" s="289">
        <v>2.2584083591000002</v>
      </c>
      <c r="R34" s="290">
        <f t="shared" si="13"/>
        <v>1.2179667764696256E-4</v>
      </c>
      <c r="S34" s="289">
        <f t="shared" si="4"/>
        <v>2.7506663490850839E-4</v>
      </c>
      <c r="T34" s="289">
        <f t="shared" si="14"/>
        <v>1.426653550949875E-4</v>
      </c>
      <c r="U34" s="288">
        <f t="shared" si="15"/>
        <v>25996.199039567815</v>
      </c>
      <c r="V34" s="290">
        <f t="shared" si="5"/>
        <v>1.8091603053435115</v>
      </c>
      <c r="W34" s="290">
        <f t="shared" si="16"/>
        <v>2.4040577366755789E-2</v>
      </c>
      <c r="X34" s="288">
        <f t="shared" si="17"/>
        <v>773051.73417009739</v>
      </c>
      <c r="Y34" s="282">
        <f t="shared" si="6"/>
        <v>799047.93320966524</v>
      </c>
      <c r="Z34" s="291">
        <f t="shared" si="18"/>
        <v>3.7273521568441086E-3</v>
      </c>
      <c r="AB34" s="292">
        <f t="shared" si="7"/>
        <v>56811.459764003564</v>
      </c>
      <c r="AC34" s="293">
        <f t="shared" si="8"/>
        <v>265799.23404249386</v>
      </c>
      <c r="AD34" s="293">
        <f t="shared" si="19"/>
        <v>799047.93320966535</v>
      </c>
      <c r="AE34" s="293">
        <f t="shared" si="20"/>
        <v>1121658.6270161627</v>
      </c>
      <c r="AF34" s="316">
        <f t="shared" si="21"/>
        <v>1.308061922473703E-3</v>
      </c>
    </row>
    <row r="35" spans="1:32">
      <c r="A35" s="18" t="s">
        <v>287</v>
      </c>
      <c r="B35" s="200" t="s">
        <v>29</v>
      </c>
      <c r="C35" s="282">
        <v>1978005</v>
      </c>
      <c r="D35" s="282">
        <v>656691</v>
      </c>
      <c r="E35" s="283">
        <f t="shared" si="0"/>
        <v>0.33199663297109966</v>
      </c>
      <c r="F35" s="284">
        <f t="shared" si="9"/>
        <v>218019.2009024244</v>
      </c>
      <c r="G35" s="291">
        <f t="shared" si="1"/>
        <v>1.1518985141577036E-4</v>
      </c>
      <c r="H35" s="285">
        <v>7026</v>
      </c>
      <c r="I35" s="286">
        <f t="shared" si="2"/>
        <v>1.2146374706497186E-3</v>
      </c>
      <c r="J35" s="286">
        <f t="shared" si="10"/>
        <v>1.0324418500522608E-3</v>
      </c>
      <c r="K35" s="282">
        <v>127.8</v>
      </c>
      <c r="L35" s="319">
        <f t="shared" si="3"/>
        <v>1.9920070328135614E-3</v>
      </c>
      <c r="M35" s="287">
        <f t="shared" si="11"/>
        <v>2.9880105492203422E-4</v>
      </c>
      <c r="N35" s="291">
        <f t="shared" si="12"/>
        <v>1.331242904974295E-3</v>
      </c>
      <c r="O35" s="288">
        <v>2843</v>
      </c>
      <c r="P35" s="288">
        <v>1571</v>
      </c>
      <c r="Q35" s="289">
        <v>1.4705313694</v>
      </c>
      <c r="R35" s="290">
        <f t="shared" si="13"/>
        <v>1.4606303861326581E-3</v>
      </c>
      <c r="S35" s="289">
        <f t="shared" si="4"/>
        <v>2.1479028019069082E-3</v>
      </c>
      <c r="T35" s="289">
        <f t="shared" si="14"/>
        <v>1.1140257561426585E-3</v>
      </c>
      <c r="U35" s="288">
        <f t="shared" si="15"/>
        <v>202995.57150793582</v>
      </c>
      <c r="V35" s="290">
        <f t="shared" si="5"/>
        <v>1.8096753660089115</v>
      </c>
      <c r="W35" s="290">
        <f t="shared" si="16"/>
        <v>2.4047421622479592E-2</v>
      </c>
      <c r="X35" s="288">
        <f t="shared" si="17"/>
        <v>773271.81889084564</v>
      </c>
      <c r="Y35" s="282">
        <f t="shared" si="6"/>
        <v>976267.39039878151</v>
      </c>
      <c r="Z35" s="291">
        <f t="shared" si="18"/>
        <v>4.5540351360931998E-3</v>
      </c>
      <c r="AB35" s="292">
        <f t="shared" si="7"/>
        <v>49387.45191086558</v>
      </c>
      <c r="AC35" s="293">
        <f t="shared" si="8"/>
        <v>285384.06006702152</v>
      </c>
      <c r="AD35" s="293">
        <f t="shared" si="19"/>
        <v>976267.39039878175</v>
      </c>
      <c r="AE35" s="293">
        <f t="shared" si="20"/>
        <v>1311038.902376669</v>
      </c>
      <c r="AF35" s="316">
        <f t="shared" si="21"/>
        <v>1.528914435974759E-3</v>
      </c>
    </row>
    <row r="36" spans="1:32">
      <c r="A36" s="18" t="s">
        <v>288</v>
      </c>
      <c r="B36" s="200" t="s">
        <v>30</v>
      </c>
      <c r="C36" s="282">
        <v>579083</v>
      </c>
      <c r="D36" s="282">
        <v>129046</v>
      </c>
      <c r="E36" s="283">
        <f t="shared" si="0"/>
        <v>0.22284542975704691</v>
      </c>
      <c r="F36" s="284">
        <f t="shared" si="9"/>
        <v>28757.311328427877</v>
      </c>
      <c r="G36" s="291">
        <f t="shared" si="1"/>
        <v>1.5193847171842474E-5</v>
      </c>
      <c r="H36" s="285">
        <v>3298</v>
      </c>
      <c r="I36" s="286">
        <f t="shared" si="2"/>
        <v>5.7015006806188052E-4</v>
      </c>
      <c r="J36" s="286">
        <f t="shared" si="10"/>
        <v>4.8462755785259843E-4</v>
      </c>
      <c r="K36" s="282">
        <v>560.5</v>
      </c>
      <c r="L36" s="319">
        <f t="shared" si="3"/>
        <v>8.7364627691079895E-3</v>
      </c>
      <c r="M36" s="287">
        <f t="shared" si="11"/>
        <v>1.3104694153661983E-3</v>
      </c>
      <c r="N36" s="291">
        <f t="shared" si="12"/>
        <v>1.7950969732187967E-3</v>
      </c>
      <c r="O36" s="288">
        <v>2022</v>
      </c>
      <c r="P36" s="288">
        <v>1144</v>
      </c>
      <c r="Q36" s="289">
        <v>2.2004042460000002</v>
      </c>
      <c r="R36" s="290">
        <f t="shared" si="13"/>
        <v>1.0636290017414136E-3</v>
      </c>
      <c r="S36" s="289">
        <f t="shared" si="4"/>
        <v>2.3404137716005482E-3</v>
      </c>
      <c r="T36" s="289">
        <f t="shared" si="14"/>
        <v>1.2138730017388346E-3</v>
      </c>
      <c r="U36" s="288">
        <f t="shared" si="15"/>
        <v>221189.53926095201</v>
      </c>
      <c r="V36" s="290">
        <f t="shared" si="5"/>
        <v>1.7674825174825175</v>
      </c>
      <c r="W36" s="290">
        <f t="shared" si="16"/>
        <v>2.3486752434499599E-2</v>
      </c>
      <c r="X36" s="288">
        <f t="shared" si="17"/>
        <v>755242.87218746764</v>
      </c>
      <c r="Y36" s="282">
        <f t="shared" si="6"/>
        <v>976432.41144841968</v>
      </c>
      <c r="Z36" s="291">
        <f t="shared" si="18"/>
        <v>4.5548049166529497E-3</v>
      </c>
      <c r="AB36" s="292">
        <f t="shared" si="7"/>
        <v>6514.3360054519326</v>
      </c>
      <c r="AC36" s="293">
        <f t="shared" si="8"/>
        <v>384822.37953493057</v>
      </c>
      <c r="AD36" s="293">
        <f t="shared" si="19"/>
        <v>976432.41144841979</v>
      </c>
      <c r="AE36" s="293">
        <f t="shared" si="20"/>
        <v>1367769.1269888023</v>
      </c>
      <c r="AF36" s="316">
        <f t="shared" si="21"/>
        <v>1.5950723960538578E-3</v>
      </c>
    </row>
    <row r="37" spans="1:32">
      <c r="A37" s="18" t="s">
        <v>289</v>
      </c>
      <c r="B37" s="200" t="s">
        <v>242</v>
      </c>
      <c r="C37" s="282">
        <v>512545762.94000041</v>
      </c>
      <c r="D37" s="282">
        <v>116809127.09999999</v>
      </c>
      <c r="E37" s="283">
        <f t="shared" si="0"/>
        <v>0.22789989801100724</v>
      </c>
      <c r="F37" s="284">
        <f t="shared" si="9"/>
        <v>26620788.152844779</v>
      </c>
      <c r="G37" s="291">
        <f t="shared" si="1"/>
        <v>1.4065020966980302E-2</v>
      </c>
      <c r="H37" s="285">
        <v>471523</v>
      </c>
      <c r="I37" s="286">
        <f t="shared" si="2"/>
        <v>8.1515727878332944E-2</v>
      </c>
      <c r="J37" s="286">
        <f t="shared" si="10"/>
        <v>6.9288368696583003E-2</v>
      </c>
      <c r="K37" s="282">
        <v>247.3</v>
      </c>
      <c r="L37" s="319">
        <f t="shared" si="3"/>
        <v>3.8546427168606708E-3</v>
      </c>
      <c r="M37" s="287">
        <f t="shared" si="11"/>
        <v>5.7819640752910064E-4</v>
      </c>
      <c r="N37" s="291">
        <f t="shared" si="12"/>
        <v>6.9866565104112099E-2</v>
      </c>
      <c r="O37" s="288">
        <v>78885</v>
      </c>
      <c r="P37" s="288">
        <v>113737</v>
      </c>
      <c r="Q37" s="289">
        <v>1.9568038190999999</v>
      </c>
      <c r="R37" s="290">
        <f t="shared" si="13"/>
        <v>0.1057464788208594</v>
      </c>
      <c r="S37" s="289">
        <f t="shared" si="4"/>
        <v>0.20692511361303492</v>
      </c>
      <c r="T37" s="289">
        <f t="shared" si="14"/>
        <v>0.10732324849756292</v>
      </c>
      <c r="U37" s="288">
        <f t="shared" si="15"/>
        <v>19556230.226028215</v>
      </c>
      <c r="V37" s="290">
        <f t="shared" si="5"/>
        <v>0.69357377106834184</v>
      </c>
      <c r="W37" s="290">
        <f t="shared" si="16"/>
        <v>9.216382790222178E-3</v>
      </c>
      <c r="X37" s="288">
        <f t="shared" si="17"/>
        <v>296363.12764305959</v>
      </c>
      <c r="Y37" s="282">
        <f t="shared" si="6"/>
        <v>19852593.353671275</v>
      </c>
      <c r="Z37" s="291">
        <f t="shared" si="18"/>
        <v>9.2607218641461805E-2</v>
      </c>
      <c r="AB37" s="292">
        <f t="shared" si="7"/>
        <v>6030353.6995183146</v>
      </c>
      <c r="AC37" s="293">
        <f t="shared" si="8"/>
        <v>14977585.185878152</v>
      </c>
      <c r="AD37" s="293">
        <f t="shared" si="19"/>
        <v>19852593.353671279</v>
      </c>
      <c r="AE37" s="293">
        <f t="shared" si="20"/>
        <v>40860532.239067748</v>
      </c>
      <c r="AF37" s="316">
        <f t="shared" si="21"/>
        <v>4.7650956419883629E-2</v>
      </c>
    </row>
    <row r="38" spans="1:32">
      <c r="A38" s="18" t="s">
        <v>290</v>
      </c>
      <c r="B38" s="200" t="s">
        <v>32</v>
      </c>
      <c r="C38" s="282">
        <v>3788861</v>
      </c>
      <c r="D38" s="282">
        <v>1176027</v>
      </c>
      <c r="E38" s="283">
        <f t="shared" si="0"/>
        <v>0.31039064246484632</v>
      </c>
      <c r="F38" s="284">
        <f t="shared" si="9"/>
        <v>365027.77608600585</v>
      </c>
      <c r="G38" s="291">
        <f t="shared" si="1"/>
        <v>1.9286143200201287E-4</v>
      </c>
      <c r="H38" s="285">
        <v>5351</v>
      </c>
      <c r="I38" s="286">
        <f t="shared" si="2"/>
        <v>9.2506762104279034E-4</v>
      </c>
      <c r="J38" s="286">
        <f t="shared" si="10"/>
        <v>7.8630747788637173E-4</v>
      </c>
      <c r="K38" s="282">
        <v>3428</v>
      </c>
      <c r="L38" s="319">
        <f t="shared" si="3"/>
        <v>5.3431925731493649E-2</v>
      </c>
      <c r="M38" s="287">
        <f t="shared" si="11"/>
        <v>8.0147888597240473E-3</v>
      </c>
      <c r="N38" s="291">
        <f t="shared" si="12"/>
        <v>8.8010963376104184E-3</v>
      </c>
      <c r="O38" s="288">
        <v>2081</v>
      </c>
      <c r="P38" s="288">
        <v>764</v>
      </c>
      <c r="Q38" s="289">
        <v>1.7755281664</v>
      </c>
      <c r="R38" s="290">
        <f t="shared" si="13"/>
        <v>7.1032566200213284E-4</v>
      </c>
      <c r="S38" s="289">
        <f t="shared" si="4"/>
        <v>1.2612032202015131E-3</v>
      </c>
      <c r="T38" s="289">
        <f t="shared" si="14"/>
        <v>6.5413242619134164E-4</v>
      </c>
      <c r="U38" s="288">
        <f t="shared" si="15"/>
        <v>119194.71786393769</v>
      </c>
      <c r="V38" s="290">
        <f t="shared" si="5"/>
        <v>2.7238219895287958</v>
      </c>
      <c r="W38" s="290">
        <f t="shared" si="16"/>
        <v>3.6194831977647418E-2</v>
      </c>
      <c r="X38" s="288">
        <f t="shared" si="17"/>
        <v>1163885.4259385669</v>
      </c>
      <c r="Y38" s="282">
        <f t="shared" si="6"/>
        <v>1283080.1438025045</v>
      </c>
      <c r="Z38" s="291">
        <f t="shared" si="18"/>
        <v>5.9852373589097535E-3</v>
      </c>
      <c r="AB38" s="292">
        <f t="shared" si="7"/>
        <v>82689.009330174784</v>
      </c>
      <c r="AC38" s="293">
        <f t="shared" si="8"/>
        <v>1886727.505914297</v>
      </c>
      <c r="AD38" s="293">
        <f t="shared" si="19"/>
        <v>1283080.1438025048</v>
      </c>
      <c r="AE38" s="293">
        <f t="shared" si="20"/>
        <v>3252496.6590469768</v>
      </c>
      <c r="AF38" s="316">
        <f t="shared" si="21"/>
        <v>3.7930141401310499E-3</v>
      </c>
    </row>
    <row r="39" spans="1:32">
      <c r="A39" s="18" t="s">
        <v>291</v>
      </c>
      <c r="B39" s="200" t="s">
        <v>33</v>
      </c>
      <c r="C39" s="282">
        <v>39384069</v>
      </c>
      <c r="D39" s="282">
        <v>12032960</v>
      </c>
      <c r="E39" s="283">
        <f t="shared" si="0"/>
        <v>0.30552861361277828</v>
      </c>
      <c r="F39" s="284">
        <f t="shared" si="9"/>
        <v>3676413.5864580167</v>
      </c>
      <c r="G39" s="291">
        <f t="shared" si="1"/>
        <v>1.9424231123411531E-3</v>
      </c>
      <c r="H39" s="285">
        <v>84666</v>
      </c>
      <c r="I39" s="286">
        <f t="shared" si="2"/>
        <v>1.4636848290638924E-2</v>
      </c>
      <c r="J39" s="286">
        <f t="shared" si="10"/>
        <v>1.2441321047043085E-2</v>
      </c>
      <c r="K39" s="282">
        <v>2509.1999999999998</v>
      </c>
      <c r="L39" s="319">
        <f t="shared" si="3"/>
        <v>3.9110673292142316E-2</v>
      </c>
      <c r="M39" s="287">
        <f t="shared" si="11"/>
        <v>5.8666009938213469E-3</v>
      </c>
      <c r="N39" s="291">
        <f t="shared" si="12"/>
        <v>1.8307922040864431E-2</v>
      </c>
      <c r="O39" s="288">
        <v>25760</v>
      </c>
      <c r="P39" s="288">
        <v>21267</v>
      </c>
      <c r="Q39" s="289">
        <v>2.0486592371999999</v>
      </c>
      <c r="R39" s="290">
        <f t="shared" si="13"/>
        <v>1.9772900332198112E-2</v>
      </c>
      <c r="S39" s="289">
        <f t="shared" si="4"/>
        <v>4.0507934911792609E-2</v>
      </c>
      <c r="T39" s="289">
        <f t="shared" si="14"/>
        <v>2.1009741585989696E-2</v>
      </c>
      <c r="U39" s="288">
        <f t="shared" si="15"/>
        <v>3828353.5878463807</v>
      </c>
      <c r="V39" s="290">
        <f t="shared" si="5"/>
        <v>1.2112662810927728</v>
      </c>
      <c r="W39" s="290">
        <f t="shared" si="16"/>
        <v>1.6095611127629923E-2</v>
      </c>
      <c r="X39" s="288">
        <f t="shared" si="17"/>
        <v>517572.43201438728</v>
      </c>
      <c r="Y39" s="282">
        <f t="shared" si="6"/>
        <v>4345926.0198607678</v>
      </c>
      <c r="Z39" s="291">
        <f t="shared" si="18"/>
        <v>2.0272622017235731E-2</v>
      </c>
      <c r="AB39" s="292">
        <f t="shared" si="7"/>
        <v>832810.58940726111</v>
      </c>
      <c r="AC39" s="293">
        <f t="shared" si="8"/>
        <v>3924745.1414685948</v>
      </c>
      <c r="AD39" s="293">
        <f t="shared" si="19"/>
        <v>4345926.0198607687</v>
      </c>
      <c r="AE39" s="293">
        <f t="shared" si="20"/>
        <v>9103481.750736624</v>
      </c>
      <c r="AF39" s="316">
        <f t="shared" si="21"/>
        <v>1.0616347570695617E-2</v>
      </c>
    </row>
    <row r="40" spans="1:32">
      <c r="A40" s="18" t="s">
        <v>292</v>
      </c>
      <c r="B40" s="200" t="s">
        <v>243</v>
      </c>
      <c r="C40" s="282">
        <v>2191945</v>
      </c>
      <c r="D40" s="282">
        <v>947940</v>
      </c>
      <c r="E40" s="283">
        <f t="shared" si="0"/>
        <v>0.43246523065131653</v>
      </c>
      <c r="F40" s="284">
        <f t="shared" si="9"/>
        <v>409951.09074360901</v>
      </c>
      <c r="G40" s="291">
        <f t="shared" si="1"/>
        <v>2.1659654303394981E-4</v>
      </c>
      <c r="H40" s="285">
        <v>5119</v>
      </c>
      <c r="I40" s="286">
        <f t="shared" si="2"/>
        <v>8.8496003590320376E-4</v>
      </c>
      <c r="J40" s="286">
        <f t="shared" si="10"/>
        <v>7.5221603051772322E-4</v>
      </c>
      <c r="K40" s="282">
        <v>264.89999999999998</v>
      </c>
      <c r="L40" s="319">
        <f t="shared" si="3"/>
        <v>4.1289723238835084E-3</v>
      </c>
      <c r="M40" s="287">
        <f t="shared" si="11"/>
        <v>6.1934584858252628E-4</v>
      </c>
      <c r="N40" s="291">
        <f t="shared" si="12"/>
        <v>1.3715618791002495E-3</v>
      </c>
      <c r="O40" s="288">
        <v>1318</v>
      </c>
      <c r="P40" s="288">
        <v>475</v>
      </c>
      <c r="Q40" s="289">
        <v>2.0058388967999998</v>
      </c>
      <c r="R40" s="290">
        <f t="shared" si="13"/>
        <v>4.4162917467410089E-4</v>
      </c>
      <c r="S40" s="289">
        <f t="shared" si="4"/>
        <v>8.8583697652299298E-4</v>
      </c>
      <c r="T40" s="289">
        <f t="shared" si="14"/>
        <v>4.5944593336068676E-4</v>
      </c>
      <c r="U40" s="288">
        <f t="shared" si="15"/>
        <v>83719.3299214945</v>
      </c>
      <c r="V40" s="290">
        <f t="shared" si="5"/>
        <v>2.7747368421052632</v>
      </c>
      <c r="W40" s="290">
        <f t="shared" si="16"/>
        <v>3.6871401350116108E-2</v>
      </c>
      <c r="X40" s="288">
        <f t="shared" si="17"/>
        <v>1185641.2730920778</v>
      </c>
      <c r="Y40" s="282">
        <f t="shared" si="6"/>
        <v>1269360.6030135723</v>
      </c>
      <c r="Z40" s="291">
        <f t="shared" si="18"/>
        <v>5.921239245874E-3</v>
      </c>
      <c r="AB40" s="292">
        <f t="shared" si="7"/>
        <v>92865.397616828617</v>
      </c>
      <c r="AC40" s="293">
        <f t="shared" si="8"/>
        <v>294027.40568847617</v>
      </c>
      <c r="AD40" s="293">
        <f t="shared" si="19"/>
        <v>1269360.6030135723</v>
      </c>
      <c r="AE40" s="293">
        <f t="shared" si="20"/>
        <v>1656253.4063188771</v>
      </c>
      <c r="AF40" s="316">
        <f t="shared" si="21"/>
        <v>1.9314985527605372E-3</v>
      </c>
    </row>
    <row r="41" spans="1:32">
      <c r="A41" s="18" t="s">
        <v>293</v>
      </c>
      <c r="B41" s="200" t="s">
        <v>35</v>
      </c>
      <c r="C41" s="282">
        <v>739738</v>
      </c>
      <c r="D41" s="282">
        <v>296637</v>
      </c>
      <c r="E41" s="283">
        <f t="shared" si="0"/>
        <v>0.40100278747340273</v>
      </c>
      <c r="F41" s="284">
        <f t="shared" si="9"/>
        <v>118952.26386774777</v>
      </c>
      <c r="G41" s="291">
        <f t="shared" si="1"/>
        <v>6.2848104863148349E-5</v>
      </c>
      <c r="H41" s="285">
        <v>1483</v>
      </c>
      <c r="I41" s="286">
        <f t="shared" si="2"/>
        <v>2.5637736535347747E-4</v>
      </c>
      <c r="J41" s="286">
        <f t="shared" si="10"/>
        <v>2.1792076055045584E-4</v>
      </c>
      <c r="K41" s="282">
        <v>207.9</v>
      </c>
      <c r="L41" s="319">
        <f t="shared" si="3"/>
        <v>3.2405184829572727E-3</v>
      </c>
      <c r="M41" s="287">
        <f t="shared" si="11"/>
        <v>4.8607777244359088E-4</v>
      </c>
      <c r="N41" s="291">
        <f t="shared" si="12"/>
        <v>7.0399853299404674E-4</v>
      </c>
      <c r="O41" s="288">
        <v>35</v>
      </c>
      <c r="P41" s="288">
        <v>141</v>
      </c>
      <c r="Q41" s="289">
        <v>1.5774653305999999</v>
      </c>
      <c r="R41" s="290">
        <f t="shared" si="13"/>
        <v>1.3109413395589101E-4</v>
      </c>
      <c r="S41" s="289">
        <f t="shared" si="4"/>
        <v>2.0679645136045029E-4</v>
      </c>
      <c r="T41" s="289">
        <f t="shared" si="14"/>
        <v>1.072565168637593E-4</v>
      </c>
      <c r="U41" s="288">
        <f t="shared" si="15"/>
        <v>19544.070519605873</v>
      </c>
      <c r="V41" s="290">
        <f t="shared" si="5"/>
        <v>0.24822695035460993</v>
      </c>
      <c r="W41" s="290">
        <f t="shared" si="16"/>
        <v>3.2985021763346587E-3</v>
      </c>
      <c r="X41" s="288">
        <f t="shared" si="17"/>
        <v>106067.03777029345</v>
      </c>
      <c r="Y41" s="282">
        <f t="shared" si="6"/>
        <v>125611.10828989932</v>
      </c>
      <c r="Z41" s="291">
        <f t="shared" si="18"/>
        <v>5.8594336578439421E-4</v>
      </c>
      <c r="AB41" s="292">
        <f t="shared" si="7"/>
        <v>26946.017539465527</v>
      </c>
      <c r="AC41" s="293">
        <f t="shared" si="8"/>
        <v>150919.08386993239</v>
      </c>
      <c r="AD41" s="293">
        <f t="shared" si="19"/>
        <v>125611.10828989933</v>
      </c>
      <c r="AE41" s="293">
        <f t="shared" si="20"/>
        <v>303476.20969929727</v>
      </c>
      <c r="AF41" s="316">
        <f t="shared" si="21"/>
        <v>3.5390952712618441E-4</v>
      </c>
    </row>
    <row r="42" spans="1:32">
      <c r="A42" s="18" t="s">
        <v>294</v>
      </c>
      <c r="B42" s="200" t="s">
        <v>36</v>
      </c>
      <c r="C42" s="282">
        <v>841795</v>
      </c>
      <c r="D42" s="282">
        <v>101056</v>
      </c>
      <c r="E42" s="283">
        <f t="shared" si="0"/>
        <v>0.12004823026984004</v>
      </c>
      <c r="F42" s="284">
        <f t="shared" si="9"/>
        <v>12131.593958148955</v>
      </c>
      <c r="G42" s="291">
        <f t="shared" si="1"/>
        <v>6.4096946493307496E-6</v>
      </c>
      <c r="H42" s="285">
        <v>7652</v>
      </c>
      <c r="I42" s="286">
        <f t="shared" si="2"/>
        <v>1.322858799517741E-3</v>
      </c>
      <c r="J42" s="286">
        <f t="shared" si="10"/>
        <v>1.1244299795900798E-3</v>
      </c>
      <c r="K42" s="282">
        <v>997.9</v>
      </c>
      <c r="L42" s="319">
        <f t="shared" si="3"/>
        <v>1.5554176980005108E-2</v>
      </c>
      <c r="M42" s="287">
        <f t="shared" si="11"/>
        <v>2.3331265470007659E-3</v>
      </c>
      <c r="N42" s="291">
        <f t="shared" si="12"/>
        <v>3.4575565265908457E-3</v>
      </c>
      <c r="O42" s="288">
        <v>5295</v>
      </c>
      <c r="P42" s="288">
        <v>4705</v>
      </c>
      <c r="Q42" s="289">
        <v>2.7540316573000001</v>
      </c>
      <c r="R42" s="290">
        <f t="shared" si="13"/>
        <v>4.3744531933508314E-3</v>
      </c>
      <c r="S42" s="289">
        <f t="shared" si="4"/>
        <v>1.2047382577865268E-2</v>
      </c>
      <c r="T42" s="289">
        <f t="shared" si="14"/>
        <v>6.2484645366312659E-3</v>
      </c>
      <c r="U42" s="288">
        <f t="shared" si="15"/>
        <v>1138582.8583105977</v>
      </c>
      <c r="V42" s="290">
        <f t="shared" si="5"/>
        <v>1.1253985122210415</v>
      </c>
      <c r="W42" s="290">
        <f t="shared" si="16"/>
        <v>1.4954578608413996E-2</v>
      </c>
      <c r="X42" s="288">
        <f t="shared" si="17"/>
        <v>480881.25133816455</v>
      </c>
      <c r="Y42" s="282">
        <f t="shared" si="6"/>
        <v>1619464.1096487623</v>
      </c>
      <c r="Z42" s="291">
        <f t="shared" si="18"/>
        <v>7.5543816473986752E-3</v>
      </c>
      <c r="AB42" s="292">
        <f t="shared" si="7"/>
        <v>2748.1456253863657</v>
      </c>
      <c r="AC42" s="293">
        <f t="shared" si="8"/>
        <v>741210.7255428168</v>
      </c>
      <c r="AD42" s="293">
        <f t="shared" si="19"/>
        <v>1619464.1096487625</v>
      </c>
      <c r="AE42" s="293">
        <f t="shared" si="20"/>
        <v>2363422.9808169659</v>
      </c>
      <c r="AF42" s="316">
        <f t="shared" si="21"/>
        <v>2.7561893908220462E-3</v>
      </c>
    </row>
    <row r="43" spans="1:32">
      <c r="A43" s="18" t="s">
        <v>295</v>
      </c>
      <c r="B43" s="200" t="s">
        <v>37</v>
      </c>
      <c r="C43" s="282">
        <v>4742394</v>
      </c>
      <c r="D43" s="282">
        <v>933845.6</v>
      </c>
      <c r="E43" s="283">
        <f t="shared" si="0"/>
        <v>0.19691438543486686</v>
      </c>
      <c r="F43" s="284">
        <f t="shared" si="9"/>
        <v>183887.63241505451</v>
      </c>
      <c r="G43" s="291">
        <f t="shared" si="1"/>
        <v>9.7156530101071386E-5</v>
      </c>
      <c r="H43" s="285">
        <v>6048</v>
      </c>
      <c r="I43" s="286">
        <f t="shared" si="2"/>
        <v>1.0455632539837032E-3</v>
      </c>
      <c r="J43" s="286">
        <f t="shared" si="10"/>
        <v>8.8872876588614767E-4</v>
      </c>
      <c r="K43" s="282">
        <v>3860</v>
      </c>
      <c r="L43" s="319">
        <f t="shared" si="3"/>
        <v>6.0165470631145121E-2</v>
      </c>
      <c r="M43" s="287">
        <f t="shared" si="11"/>
        <v>9.0248205946717678E-3</v>
      </c>
      <c r="N43" s="291">
        <f t="shared" si="12"/>
        <v>9.9135493605579158E-3</v>
      </c>
      <c r="O43" s="288">
        <v>1618</v>
      </c>
      <c r="P43" s="288">
        <v>916</v>
      </c>
      <c r="Q43" s="289">
        <v>2.0422796606000002</v>
      </c>
      <c r="R43" s="290">
        <f t="shared" si="13"/>
        <v>8.5164699789784515E-4</v>
      </c>
      <c r="S43" s="289">
        <f t="shared" si="4"/>
        <v>1.7393013418178203E-3</v>
      </c>
      <c r="T43" s="289">
        <f t="shared" si="14"/>
        <v>9.0210157124349997E-4</v>
      </c>
      <c r="U43" s="288">
        <f t="shared" si="15"/>
        <v>164379.16538559011</v>
      </c>
      <c r="V43" s="290">
        <f t="shared" si="5"/>
        <v>1.7663755458515285</v>
      </c>
      <c r="W43" s="290">
        <f t="shared" si="16"/>
        <v>2.3472042716925653E-2</v>
      </c>
      <c r="X43" s="288">
        <f t="shared" si="17"/>
        <v>754769.86471738014</v>
      </c>
      <c r="Y43" s="282">
        <f t="shared" si="6"/>
        <v>919149.03010297031</v>
      </c>
      <c r="Z43" s="291">
        <f t="shared" si="18"/>
        <v>4.2875927430958234E-3</v>
      </c>
      <c r="AB43" s="292">
        <f t="shared" si="7"/>
        <v>41655.69621992152</v>
      </c>
      <c r="AC43" s="293">
        <f t="shared" si="8"/>
        <v>2125208.6720007509</v>
      </c>
      <c r="AD43" s="293">
        <f t="shared" si="19"/>
        <v>919149.03010297043</v>
      </c>
      <c r="AE43" s="293">
        <f t="shared" si="20"/>
        <v>3086013.398323643</v>
      </c>
      <c r="AF43" s="316">
        <f t="shared" si="21"/>
        <v>3.5988637909639709E-3</v>
      </c>
    </row>
    <row r="44" spans="1:32">
      <c r="A44" s="18" t="s">
        <v>296</v>
      </c>
      <c r="B44" s="200" t="s">
        <v>38</v>
      </c>
      <c r="C44" s="282">
        <v>59084249</v>
      </c>
      <c r="D44" s="282">
        <v>20840679</v>
      </c>
      <c r="E44" s="283">
        <f t="shared" si="0"/>
        <v>0.35272816956681635</v>
      </c>
      <c r="F44" s="284">
        <f t="shared" si="9"/>
        <v>7351094.5561995888</v>
      </c>
      <c r="G44" s="291">
        <f t="shared" si="1"/>
        <v>3.8839308013558214E-3</v>
      </c>
      <c r="H44" s="285">
        <v>67428</v>
      </c>
      <c r="I44" s="286">
        <f t="shared" si="2"/>
        <v>1.1656785563758786E-2</v>
      </c>
      <c r="J44" s="286">
        <f t="shared" si="10"/>
        <v>9.9082677291949667E-3</v>
      </c>
      <c r="K44" s="282">
        <v>1869</v>
      </c>
      <c r="L44" s="319">
        <f t="shared" si="3"/>
        <v>2.913193383668659E-2</v>
      </c>
      <c r="M44" s="287">
        <f t="shared" si="11"/>
        <v>4.3697900755029885E-3</v>
      </c>
      <c r="N44" s="291">
        <f t="shared" si="12"/>
        <v>1.4278057804697954E-2</v>
      </c>
      <c r="O44" s="288">
        <v>15090</v>
      </c>
      <c r="P44" s="288">
        <v>11157</v>
      </c>
      <c r="Q44" s="289">
        <v>1.7986407321</v>
      </c>
      <c r="R44" s="290">
        <f t="shared" si="13"/>
        <v>1.037317200387146E-2</v>
      </c>
      <c r="S44" s="289">
        <f t="shared" si="4"/>
        <v>1.8657609687242588E-2</v>
      </c>
      <c r="T44" s="289">
        <f t="shared" si="14"/>
        <v>9.6769079686436638E-3</v>
      </c>
      <c r="U44" s="288">
        <f t="shared" si="15"/>
        <v>1763307.0444674422</v>
      </c>
      <c r="V44" s="290">
        <f t="shared" si="5"/>
        <v>1.352514116698037</v>
      </c>
      <c r="W44" s="290">
        <f t="shared" si="16"/>
        <v>1.7972547908591634E-2</v>
      </c>
      <c r="X44" s="288">
        <f t="shared" si="17"/>
        <v>577927.43977125362</v>
      </c>
      <c r="Y44" s="282">
        <f t="shared" si="6"/>
        <v>2341234.4842386958</v>
      </c>
      <c r="Z44" s="291">
        <f t="shared" si="18"/>
        <v>1.0921253959635861E-2</v>
      </c>
      <c r="AB44" s="292">
        <f t="shared" si="7"/>
        <v>1665228.6926279427</v>
      </c>
      <c r="AC44" s="293">
        <f t="shared" si="8"/>
        <v>3060846.4397825324</v>
      </c>
      <c r="AD44" s="293">
        <f t="shared" si="19"/>
        <v>2341234.4842386963</v>
      </c>
      <c r="AE44" s="293">
        <f t="shared" si="20"/>
        <v>7067309.6166491713</v>
      </c>
      <c r="AF44" s="316">
        <f t="shared" si="21"/>
        <v>8.2417933417613647E-3</v>
      </c>
    </row>
    <row r="45" spans="1:32">
      <c r="A45" s="18" t="s">
        <v>297</v>
      </c>
      <c r="B45" s="200" t="s">
        <v>39</v>
      </c>
      <c r="C45" s="282">
        <v>2540450510.1400013</v>
      </c>
      <c r="D45" s="282">
        <v>1376062053.7900002</v>
      </c>
      <c r="E45" s="283">
        <f t="shared" si="0"/>
        <v>0.54166064180253093</v>
      </c>
      <c r="F45" s="284">
        <f t="shared" si="9"/>
        <v>745358655.21600032</v>
      </c>
      <c r="G45" s="291">
        <f t="shared" si="1"/>
        <v>0.39380821684699024</v>
      </c>
      <c r="H45" s="285">
        <v>1142994</v>
      </c>
      <c r="I45" s="286">
        <f t="shared" si="2"/>
        <v>0.19759797055619194</v>
      </c>
      <c r="J45" s="286">
        <f t="shared" si="10"/>
        <v>0.16795827497276314</v>
      </c>
      <c r="K45" s="282">
        <v>324.39999999999998</v>
      </c>
      <c r="L45" s="319">
        <f t="shared" si="3"/>
        <v>5.0563934385345795E-3</v>
      </c>
      <c r="M45" s="287">
        <f t="shared" si="11"/>
        <v>7.584590157801869E-4</v>
      </c>
      <c r="N45" s="291">
        <f t="shared" si="12"/>
        <v>0.16871673398854334</v>
      </c>
      <c r="O45" s="288">
        <v>182930</v>
      </c>
      <c r="P45" s="288">
        <v>207064</v>
      </c>
      <c r="Q45" s="289">
        <v>1.9809358914999999</v>
      </c>
      <c r="R45" s="290">
        <f t="shared" si="13"/>
        <v>0.19251684931519586</v>
      </c>
      <c r="S45" s="289">
        <f t="shared" si="4"/>
        <v>0.38136353652696864</v>
      </c>
      <c r="T45" s="289">
        <f t="shared" si="14"/>
        <v>0.19779703335156221</v>
      </c>
      <c r="U45" s="288">
        <f t="shared" si="15"/>
        <v>36042184.488446318</v>
      </c>
      <c r="V45" s="290">
        <f t="shared" si="5"/>
        <v>0.8834466638334042</v>
      </c>
      <c r="W45" s="290">
        <f t="shared" si="16"/>
        <v>1.1739461565986884E-2</v>
      </c>
      <c r="X45" s="288">
        <f t="shared" si="17"/>
        <v>377495.5560908828</v>
      </c>
      <c r="Y45" s="282">
        <f t="shared" si="6"/>
        <v>36419680.044537202</v>
      </c>
      <c r="Z45" s="291">
        <f t="shared" si="18"/>
        <v>0.1698883975837259</v>
      </c>
      <c r="AB45" s="292">
        <f t="shared" si="7"/>
        <v>168844599.87220466</v>
      </c>
      <c r="AC45" s="293">
        <f t="shared" si="8"/>
        <v>36168505.662629507</v>
      </c>
      <c r="AD45" s="293">
        <f t="shared" si="19"/>
        <v>36419680.044537202</v>
      </c>
      <c r="AE45" s="293">
        <f t="shared" si="20"/>
        <v>241432785.57937139</v>
      </c>
      <c r="AF45" s="316">
        <f t="shared" si="21"/>
        <v>0.28155539131656243</v>
      </c>
    </row>
    <row r="46" spans="1:32">
      <c r="A46" s="18" t="s">
        <v>298</v>
      </c>
      <c r="B46" s="200" t="s">
        <v>244</v>
      </c>
      <c r="C46" s="282">
        <v>1346236</v>
      </c>
      <c r="D46" s="282">
        <v>378540</v>
      </c>
      <c r="E46" s="283">
        <f t="shared" si="0"/>
        <v>0.28118398260037614</v>
      </c>
      <c r="F46" s="284">
        <f t="shared" si="9"/>
        <v>106439.38477354638</v>
      </c>
      <c r="G46" s="291">
        <f t="shared" si="1"/>
        <v>5.6236959249924835E-5</v>
      </c>
      <c r="H46" s="285">
        <v>906</v>
      </c>
      <c r="I46" s="286">
        <f t="shared" si="2"/>
        <v>1.5662703507097141E-4</v>
      </c>
      <c r="J46" s="286">
        <f t="shared" si="10"/>
        <v>1.331329798103257E-4</v>
      </c>
      <c r="K46" s="282">
        <v>1171.2</v>
      </c>
      <c r="L46" s="319">
        <f t="shared" si="3"/>
        <v>1.8255388394610668E-2</v>
      </c>
      <c r="M46" s="287">
        <f t="shared" si="11"/>
        <v>2.7383082591916001E-3</v>
      </c>
      <c r="N46" s="291">
        <f t="shared" si="12"/>
        <v>2.8714412390019256E-3</v>
      </c>
      <c r="O46" s="288">
        <v>133</v>
      </c>
      <c r="P46" s="288">
        <v>63</v>
      </c>
      <c r="Q46" s="289">
        <v>1.7977681072</v>
      </c>
      <c r="R46" s="290">
        <f t="shared" si="13"/>
        <v>5.8573974746249173E-5</v>
      </c>
      <c r="S46" s="289">
        <f t="shared" si="4"/>
        <v>1.0530242371074497E-4</v>
      </c>
      <c r="T46" s="289">
        <f t="shared" si="14"/>
        <v>5.4615884896592997E-5</v>
      </c>
      <c r="U46" s="288">
        <f t="shared" si="15"/>
        <v>9951.9986022439844</v>
      </c>
      <c r="V46" s="290">
        <f t="shared" si="5"/>
        <v>2.1111111111111112</v>
      </c>
      <c r="W46" s="290">
        <f t="shared" si="16"/>
        <v>2.8052975652065243E-2</v>
      </c>
      <c r="X46" s="288">
        <f t="shared" si="17"/>
        <v>902074.90217973385</v>
      </c>
      <c r="Y46" s="282">
        <f t="shared" si="6"/>
        <v>912026.90078197781</v>
      </c>
      <c r="Z46" s="291">
        <f t="shared" si="18"/>
        <v>4.2543698499718906E-3</v>
      </c>
      <c r="AB46" s="292">
        <f t="shared" si="7"/>
        <v>24111.500157632141</v>
      </c>
      <c r="AC46" s="293">
        <f t="shared" si="8"/>
        <v>615562.76166299742</v>
      </c>
      <c r="AD46" s="293">
        <f t="shared" si="19"/>
        <v>912026.90078197792</v>
      </c>
      <c r="AE46" s="293">
        <f t="shared" si="20"/>
        <v>1551701.1626026076</v>
      </c>
      <c r="AF46" s="316">
        <f t="shared" si="21"/>
        <v>1.8095712518684166E-3</v>
      </c>
    </row>
    <row r="47" spans="1:32">
      <c r="A47" s="18" t="s">
        <v>299</v>
      </c>
      <c r="B47" s="200" t="s">
        <v>245</v>
      </c>
      <c r="C47" s="282">
        <v>105243330.84</v>
      </c>
      <c r="D47" s="282">
        <v>21534368.5</v>
      </c>
      <c r="E47" s="283">
        <f t="shared" si="0"/>
        <v>0.20461504142945083</v>
      </c>
      <c r="F47" s="284">
        <f t="shared" si="9"/>
        <v>4406255.7027845606</v>
      </c>
      <c r="G47" s="291">
        <f t="shared" si="1"/>
        <v>2.3280332080971326E-3</v>
      </c>
      <c r="H47" s="285">
        <v>147624</v>
      </c>
      <c r="I47" s="286">
        <f t="shared" si="2"/>
        <v>2.5520871330372057E-2</v>
      </c>
      <c r="J47" s="286">
        <f t="shared" si="10"/>
        <v>2.1692740630816248E-2</v>
      </c>
      <c r="K47" s="282">
        <v>322.8</v>
      </c>
      <c r="L47" s="319">
        <f t="shared" si="3"/>
        <v>5.0314543833506857E-3</v>
      </c>
      <c r="M47" s="287">
        <f t="shared" si="11"/>
        <v>7.5471815750260279E-4</v>
      </c>
      <c r="N47" s="291">
        <f t="shared" si="12"/>
        <v>2.2447458788318851E-2</v>
      </c>
      <c r="O47" s="288">
        <v>19678</v>
      </c>
      <c r="P47" s="288">
        <v>32877</v>
      </c>
      <c r="Q47" s="289">
        <v>1.8363293522999999</v>
      </c>
      <c r="R47" s="290">
        <f t="shared" si="13"/>
        <v>3.0567247106864034E-2</v>
      </c>
      <c r="S47" s="289">
        <f t="shared" si="4"/>
        <v>5.6131533081341681E-2</v>
      </c>
      <c r="T47" s="289">
        <f t="shared" si="14"/>
        <v>2.9113036925540778E-2</v>
      </c>
      <c r="U47" s="288">
        <f t="shared" si="15"/>
        <v>5304920.0491509968</v>
      </c>
      <c r="V47" s="290">
        <f t="shared" si="5"/>
        <v>0.59853392949478357</v>
      </c>
      <c r="W47" s="290">
        <f t="shared" si="16"/>
        <v>7.953469461024678E-3</v>
      </c>
      <c r="X47" s="288">
        <f t="shared" si="17"/>
        <v>255752.73279485936</v>
      </c>
      <c r="Y47" s="282">
        <f t="shared" si="6"/>
        <v>5560672.7819458563</v>
      </c>
      <c r="Z47" s="291">
        <f t="shared" si="18"/>
        <v>2.5939101805863365E-2</v>
      </c>
      <c r="AB47" s="292">
        <f t="shared" si="7"/>
        <v>998140.25887400552</v>
      </c>
      <c r="AC47" s="293">
        <f t="shared" si="8"/>
        <v>4812154.7940353332</v>
      </c>
      <c r="AD47" s="293">
        <f t="shared" si="19"/>
        <v>5560672.7819458572</v>
      </c>
      <c r="AE47" s="293">
        <f t="shared" si="20"/>
        <v>11370967.834855195</v>
      </c>
      <c r="AF47" s="316">
        <f t="shared" si="21"/>
        <v>1.326065675259412E-2</v>
      </c>
    </row>
    <row r="48" spans="1:32">
      <c r="A48" s="18" t="s">
        <v>300</v>
      </c>
      <c r="B48" s="200" t="s">
        <v>213</v>
      </c>
      <c r="C48" s="282">
        <v>7778604</v>
      </c>
      <c r="D48" s="282">
        <v>1244367</v>
      </c>
      <c r="E48" s="283">
        <f t="shared" si="0"/>
        <v>0.15997304914866473</v>
      </c>
      <c r="F48" s="284">
        <f t="shared" si="9"/>
        <v>199065.18324997649</v>
      </c>
      <c r="G48" s="291">
        <f t="shared" si="1"/>
        <v>1.0517554777608994E-4</v>
      </c>
      <c r="H48" s="285">
        <v>5389</v>
      </c>
      <c r="I48" s="286">
        <f t="shared" si="2"/>
        <v>9.3163696688461914E-4</v>
      </c>
      <c r="J48" s="286">
        <f t="shared" si="10"/>
        <v>7.918914218519263E-4</v>
      </c>
      <c r="K48" s="282">
        <v>1341</v>
      </c>
      <c r="L48" s="319">
        <f t="shared" si="3"/>
        <v>2.0902045626001453E-2</v>
      </c>
      <c r="M48" s="287">
        <f t="shared" si="11"/>
        <v>3.135306843900218E-3</v>
      </c>
      <c r="N48" s="291">
        <f t="shared" si="12"/>
        <v>3.927198265752144E-3</v>
      </c>
      <c r="O48" s="288">
        <v>1611</v>
      </c>
      <c r="P48" s="288">
        <v>1054</v>
      </c>
      <c r="Q48" s="289">
        <v>2.1403267704000002</v>
      </c>
      <c r="R48" s="290">
        <f t="shared" si="13"/>
        <v>9.7995189496105769E-4</v>
      </c>
      <c r="S48" s="289">
        <f t="shared" si="4"/>
        <v>2.0974172744893608E-3</v>
      </c>
      <c r="T48" s="289">
        <f t="shared" si="14"/>
        <v>1.0878410620281658E-3</v>
      </c>
      <c r="U48" s="288">
        <f t="shared" si="15"/>
        <v>198224.24829819554</v>
      </c>
      <c r="V48" s="290">
        <f t="shared" si="5"/>
        <v>1.5284629981024669</v>
      </c>
      <c r="W48" s="290">
        <f t="shared" si="16"/>
        <v>2.0310600917771596E-2</v>
      </c>
      <c r="X48" s="288">
        <f t="shared" si="17"/>
        <v>653110.1571309279</v>
      </c>
      <c r="Y48" s="282">
        <f t="shared" si="6"/>
        <v>851334.40542912344</v>
      </c>
      <c r="Z48" s="291">
        <f t="shared" si="18"/>
        <v>3.9712550403896802E-3</v>
      </c>
      <c r="AB48" s="292">
        <f t="shared" si="7"/>
        <v>45093.836341900525</v>
      </c>
      <c r="AC48" s="293">
        <f t="shared" si="8"/>
        <v>841889.77201734157</v>
      </c>
      <c r="AD48" s="293">
        <f t="shared" si="19"/>
        <v>851334.40542912344</v>
      </c>
      <c r="AE48" s="293">
        <f t="shared" si="20"/>
        <v>1738318.0137883655</v>
      </c>
      <c r="AF48" s="316">
        <f t="shared" si="21"/>
        <v>2.0272011004235009E-3</v>
      </c>
    </row>
    <row r="49" spans="1:32">
      <c r="A49" s="18" t="s">
        <v>301</v>
      </c>
      <c r="B49" s="200" t="s">
        <v>43</v>
      </c>
      <c r="C49" s="282">
        <v>938475</v>
      </c>
      <c r="D49" s="282">
        <v>290271</v>
      </c>
      <c r="E49" s="283">
        <f t="shared" si="0"/>
        <v>0.30930072724366658</v>
      </c>
      <c r="F49" s="284">
        <f t="shared" si="9"/>
        <v>89781.031397746337</v>
      </c>
      <c r="G49" s="291">
        <f t="shared" si="1"/>
        <v>4.743556358272117E-5</v>
      </c>
      <c r="H49" s="285">
        <v>2377</v>
      </c>
      <c r="I49" s="286">
        <f t="shared" si="2"/>
        <v>4.1092987015860824E-4</v>
      </c>
      <c r="J49" s="286">
        <f t="shared" si="10"/>
        <v>3.4929038963481702E-4</v>
      </c>
      <c r="K49" s="282">
        <v>683.1</v>
      </c>
      <c r="L49" s="319">
        <f t="shared" si="3"/>
        <v>1.0647417872573894E-2</v>
      </c>
      <c r="M49" s="287">
        <f t="shared" si="11"/>
        <v>1.5971126808860842E-3</v>
      </c>
      <c r="N49" s="291">
        <f t="shared" si="12"/>
        <v>1.9464030705209012E-3</v>
      </c>
      <c r="O49" s="288">
        <v>1875</v>
      </c>
      <c r="P49" s="288">
        <v>790</v>
      </c>
      <c r="Q49" s="289">
        <v>2.1956719391999999</v>
      </c>
      <c r="R49" s="290">
        <f t="shared" si="13"/>
        <v>7.3449904840534679E-4</v>
      </c>
      <c r="S49" s="289">
        <f t="shared" si="4"/>
        <v>1.6127189499527224E-3</v>
      </c>
      <c r="T49" s="289">
        <f t="shared" si="14"/>
        <v>8.3644867266416574E-4</v>
      </c>
      <c r="U49" s="288">
        <f t="shared" si="15"/>
        <v>152416.02396378815</v>
      </c>
      <c r="V49" s="290">
        <f t="shared" si="5"/>
        <v>2.3734177215189876</v>
      </c>
      <c r="W49" s="290">
        <f t="shared" si="16"/>
        <v>3.1538571893977414E-2</v>
      </c>
      <c r="X49" s="288">
        <f t="shared" si="17"/>
        <v>1014158.1595125257</v>
      </c>
      <c r="Y49" s="282">
        <f t="shared" si="6"/>
        <v>1166574.1834763137</v>
      </c>
      <c r="Z49" s="291">
        <f t="shared" si="18"/>
        <v>5.4417671558611531E-3</v>
      </c>
      <c r="AB49" s="292">
        <f t="shared" si="7"/>
        <v>20337.916808752059</v>
      </c>
      <c r="AC49" s="293">
        <f t="shared" si="8"/>
        <v>417258.49483712192</v>
      </c>
      <c r="AD49" s="293">
        <f t="shared" si="19"/>
        <v>1166574.1834763139</v>
      </c>
      <c r="AE49" s="293">
        <f t="shared" si="20"/>
        <v>1604170.5951221879</v>
      </c>
      <c r="AF49" s="316">
        <f t="shared" si="21"/>
        <v>1.8707603383868743E-3</v>
      </c>
    </row>
    <row r="50" spans="1:32">
      <c r="A50" s="18" t="s">
        <v>302</v>
      </c>
      <c r="B50" s="200" t="s">
        <v>44</v>
      </c>
      <c r="C50" s="282">
        <v>19310735</v>
      </c>
      <c r="D50" s="282">
        <v>7908079.6500000004</v>
      </c>
      <c r="E50" s="283">
        <f t="shared" si="0"/>
        <v>0.40951727886069589</v>
      </c>
      <c r="F50" s="284">
        <f t="shared" si="9"/>
        <v>3238495.2592816446</v>
      </c>
      <c r="G50" s="291">
        <f t="shared" si="1"/>
        <v>1.7110501560561452E-3</v>
      </c>
      <c r="H50" s="285">
        <v>34709</v>
      </c>
      <c r="I50" s="286">
        <f t="shared" si="2"/>
        <v>6.0004059164220159E-3</v>
      </c>
      <c r="J50" s="286">
        <f t="shared" si="10"/>
        <v>5.1003450289587131E-3</v>
      </c>
      <c r="K50" s="282">
        <v>1541.5</v>
      </c>
      <c r="L50" s="319">
        <f t="shared" si="3"/>
        <v>2.4027220978733214E-2</v>
      </c>
      <c r="M50" s="287">
        <f t="shared" si="11"/>
        <v>3.6040831468099818E-3</v>
      </c>
      <c r="N50" s="291">
        <f t="shared" si="12"/>
        <v>8.7044281757686949E-3</v>
      </c>
      <c r="O50" s="288">
        <v>9838</v>
      </c>
      <c r="P50" s="288">
        <v>7575</v>
      </c>
      <c r="Q50" s="289">
        <v>1.6303971907999999</v>
      </c>
      <c r="R50" s="290">
        <f t="shared" si="13"/>
        <v>7.0428231540132936E-3</v>
      </c>
      <c r="S50" s="289">
        <f t="shared" si="4"/>
        <v>1.1482599085604469E-2</v>
      </c>
      <c r="T50" s="289">
        <f t="shared" si="14"/>
        <v>5.9555353796581761E-3</v>
      </c>
      <c r="U50" s="288">
        <f t="shared" si="15"/>
        <v>1085205.8862763215</v>
      </c>
      <c r="V50" s="290">
        <f t="shared" si="5"/>
        <v>1.2987458745874587</v>
      </c>
      <c r="W50" s="290">
        <f t="shared" si="16"/>
        <v>1.7258061978010494E-2</v>
      </c>
      <c r="X50" s="288">
        <f t="shared" si="17"/>
        <v>554952.34315649117</v>
      </c>
      <c r="Y50" s="282">
        <f t="shared" si="6"/>
        <v>1640158.2294328127</v>
      </c>
      <c r="Z50" s="291">
        <f t="shared" si="18"/>
        <v>7.6509143694110243E-3</v>
      </c>
      <c r="AB50" s="292">
        <f t="shared" si="7"/>
        <v>733609.82986503467</v>
      </c>
      <c r="AC50" s="293">
        <f t="shared" si="8"/>
        <v>1866004.3513325718</v>
      </c>
      <c r="AD50" s="293">
        <f t="shared" si="19"/>
        <v>1640158.2294328129</v>
      </c>
      <c r="AE50" s="293">
        <f t="shared" si="20"/>
        <v>4239772.4106304199</v>
      </c>
      <c r="AF50" s="316">
        <f t="shared" si="21"/>
        <v>4.9443607143230027E-3</v>
      </c>
    </row>
    <row r="51" spans="1:32">
      <c r="A51" s="18" t="s">
        <v>303</v>
      </c>
      <c r="B51" s="200" t="s">
        <v>45</v>
      </c>
      <c r="C51" s="282">
        <v>125378961.84</v>
      </c>
      <c r="D51" s="282">
        <v>23883804.280000001</v>
      </c>
      <c r="E51" s="283">
        <f t="shared" si="0"/>
        <v>0.19049291786670611</v>
      </c>
      <c r="F51" s="284">
        <f t="shared" si="9"/>
        <v>4549695.5670545241</v>
      </c>
      <c r="G51" s="291">
        <f t="shared" si="1"/>
        <v>2.4038192699850957E-3</v>
      </c>
      <c r="H51" s="285">
        <v>86766</v>
      </c>
      <c r="I51" s="286">
        <f t="shared" si="2"/>
        <v>1.4999891087161044E-2</v>
      </c>
      <c r="J51" s="286">
        <f t="shared" si="10"/>
        <v>1.2749907424086887E-2</v>
      </c>
      <c r="K51" s="282">
        <v>1667.4</v>
      </c>
      <c r="L51" s="319">
        <f t="shared" si="3"/>
        <v>2.5989612883515902E-2</v>
      </c>
      <c r="M51" s="287">
        <f t="shared" si="11"/>
        <v>3.8984419325273851E-3</v>
      </c>
      <c r="N51" s="291">
        <f t="shared" si="12"/>
        <v>1.6648349356614273E-2</v>
      </c>
      <c r="O51" s="288">
        <v>13606</v>
      </c>
      <c r="P51" s="288">
        <v>22970</v>
      </c>
      <c r="Q51" s="289">
        <v>1.9100372027999999</v>
      </c>
      <c r="R51" s="290">
        <f t="shared" si="13"/>
        <v>2.1356257141608628E-2</v>
      </c>
      <c r="S51" s="289">
        <f t="shared" si="4"/>
        <v>4.0791245653035664E-2</v>
      </c>
      <c r="T51" s="289">
        <f t="shared" si="14"/>
        <v>2.1156682808123412E-2</v>
      </c>
      <c r="U51" s="288">
        <f t="shared" si="15"/>
        <v>3855128.9269268611</v>
      </c>
      <c r="V51" s="290">
        <f t="shared" si="5"/>
        <v>0.59233783195472356</v>
      </c>
      <c r="W51" s="290">
        <f t="shared" si="16"/>
        <v>7.8711341578214088E-3</v>
      </c>
      <c r="X51" s="288">
        <f t="shared" si="17"/>
        <v>253105.1487558535</v>
      </c>
      <c r="Y51" s="282">
        <f t="shared" si="6"/>
        <v>4108234.0756827146</v>
      </c>
      <c r="Z51" s="291">
        <f t="shared" si="18"/>
        <v>1.9163850510578111E-2</v>
      </c>
      <c r="AB51" s="292">
        <f t="shared" si="7"/>
        <v>1030633.4033741748</v>
      </c>
      <c r="AC51" s="293">
        <f t="shared" si="8"/>
        <v>3568975.665561581</v>
      </c>
      <c r="AD51" s="293">
        <f t="shared" si="19"/>
        <v>4108234.0756827146</v>
      </c>
      <c r="AE51" s="293">
        <f t="shared" si="20"/>
        <v>8707843.1446184702</v>
      </c>
      <c r="AF51" s="316">
        <f t="shared" si="21"/>
        <v>1.0154959601790643E-2</v>
      </c>
    </row>
    <row r="52" spans="1:32">
      <c r="A52" s="18" t="s">
        <v>304</v>
      </c>
      <c r="B52" s="200" t="s">
        <v>246</v>
      </c>
      <c r="C52" s="282">
        <v>658439418</v>
      </c>
      <c r="D52" s="282">
        <v>330884619.5</v>
      </c>
      <c r="E52" s="283">
        <f t="shared" si="0"/>
        <v>0.50252857051762956</v>
      </c>
      <c r="F52" s="284">
        <f t="shared" si="9"/>
        <v>166278974.84360477</v>
      </c>
      <c r="G52" s="291">
        <f t="shared" si="1"/>
        <v>8.7853043798531136E-2</v>
      </c>
      <c r="H52" s="285">
        <v>412199</v>
      </c>
      <c r="I52" s="286">
        <f t="shared" si="2"/>
        <v>7.125994175410523E-2</v>
      </c>
      <c r="J52" s="286">
        <f t="shared" si="10"/>
        <v>6.0570950490989442E-2</v>
      </c>
      <c r="K52" s="282">
        <v>60.1</v>
      </c>
      <c r="L52" s="319">
        <f t="shared" si="3"/>
        <v>9.3677326034503157E-4</v>
      </c>
      <c r="M52" s="287">
        <f t="shared" si="11"/>
        <v>1.4051598905175474E-4</v>
      </c>
      <c r="N52" s="291">
        <f t="shared" si="12"/>
        <v>6.07114664800412E-2</v>
      </c>
      <c r="O52" s="288">
        <v>47668</v>
      </c>
      <c r="P52" s="288">
        <v>40796</v>
      </c>
      <c r="Q52" s="289">
        <v>1.7340616191</v>
      </c>
      <c r="R52" s="290">
        <f t="shared" si="13"/>
        <v>3.7929902757904463E-2</v>
      </c>
      <c r="S52" s="289">
        <f t="shared" si="4"/>
        <v>6.5772788588677369E-2</v>
      </c>
      <c r="T52" s="289">
        <f t="shared" si="14"/>
        <v>3.4113545769418024E-2</v>
      </c>
      <c r="U52" s="288">
        <f t="shared" si="15"/>
        <v>6216102.8876053719</v>
      </c>
      <c r="V52" s="290">
        <f t="shared" si="5"/>
        <v>1.1684478870477497</v>
      </c>
      <c r="W52" s="290">
        <f t="shared" si="16"/>
        <v>1.5526629533395704E-2</v>
      </c>
      <c r="X52" s="288">
        <f t="shared" si="17"/>
        <v>499276.19056297047</v>
      </c>
      <c r="Y52" s="282">
        <f t="shared" si="6"/>
        <v>6715379.0781683419</v>
      </c>
      <c r="Z52" s="291">
        <f t="shared" si="18"/>
        <v>3.1325508334014672E-2</v>
      </c>
      <c r="AB52" s="292">
        <f t="shared" si="7"/>
        <v>37666842.369319215</v>
      </c>
      <c r="AC52" s="293">
        <f t="shared" si="8"/>
        <v>13014968.742336014</v>
      </c>
      <c r="AD52" s="293">
        <f t="shared" si="19"/>
        <v>6715379.0781683419</v>
      </c>
      <c r="AE52" s="293">
        <f t="shared" si="20"/>
        <v>57397190.189823568</v>
      </c>
      <c r="AF52" s="316">
        <f t="shared" si="21"/>
        <v>6.6935765602779529E-2</v>
      </c>
    </row>
    <row r="53" spans="1:32">
      <c r="A53" s="18" t="s">
        <v>305</v>
      </c>
      <c r="B53" s="200" t="s">
        <v>247</v>
      </c>
      <c r="C53" s="282">
        <v>1139151243</v>
      </c>
      <c r="D53" s="282">
        <v>722790593.90999997</v>
      </c>
      <c r="E53" s="283">
        <f t="shared" si="0"/>
        <v>0.63449923647232498</v>
      </c>
      <c r="F53" s="284">
        <f t="shared" si="9"/>
        <v>458610079.96527326</v>
      </c>
      <c r="G53" s="291">
        <f t="shared" si="1"/>
        <v>0.24230538755445435</v>
      </c>
      <c r="H53" s="285">
        <v>132169</v>
      </c>
      <c r="I53" s="286">
        <f t="shared" si="2"/>
        <v>2.2849049225491413E-2</v>
      </c>
      <c r="J53" s="286">
        <f t="shared" si="10"/>
        <v>1.9421691841667702E-2</v>
      </c>
      <c r="K53" s="282">
        <v>70.8</v>
      </c>
      <c r="L53" s="319">
        <f t="shared" si="3"/>
        <v>1.103553191887325E-3</v>
      </c>
      <c r="M53" s="287">
        <f t="shared" si="11"/>
        <v>1.6553297878309873E-4</v>
      </c>
      <c r="N53" s="291">
        <f t="shared" si="12"/>
        <v>1.9587224820450801E-2</v>
      </c>
      <c r="O53" s="288">
        <v>4761</v>
      </c>
      <c r="P53" s="288">
        <v>6438</v>
      </c>
      <c r="Q53" s="289">
        <v>1.903799258</v>
      </c>
      <c r="R53" s="290">
        <f t="shared" si="13"/>
        <v>5.9857023716881298E-3</v>
      </c>
      <c r="S53" s="289">
        <f t="shared" si="4"/>
        <v>1.1395575733828702E-2</v>
      </c>
      <c r="T53" s="289">
        <f t="shared" si="14"/>
        <v>5.91040007131089E-3</v>
      </c>
      <c r="U53" s="288">
        <f t="shared" si="15"/>
        <v>1076981.4195953456</v>
      </c>
      <c r="V53" s="290">
        <f t="shared" si="5"/>
        <v>0.73951537744641194</v>
      </c>
      <c r="W53" s="290">
        <f t="shared" si="16"/>
        <v>9.8268664158151723E-3</v>
      </c>
      <c r="X53" s="288">
        <f t="shared" si="17"/>
        <v>315993.91347018047</v>
      </c>
      <c r="Y53" s="282">
        <f t="shared" si="6"/>
        <v>1392975.3330655261</v>
      </c>
      <c r="Z53" s="291">
        <f t="shared" si="18"/>
        <v>6.497870022986533E-3</v>
      </c>
      <c r="AB53" s="292">
        <f t="shared" si="7"/>
        <v>103888020.76318079</v>
      </c>
      <c r="AC53" s="293">
        <f t="shared" si="8"/>
        <v>4198994.5815438703</v>
      </c>
      <c r="AD53" s="293">
        <f t="shared" si="19"/>
        <v>1392975.3330655263</v>
      </c>
      <c r="AE53" s="293">
        <f t="shared" si="20"/>
        <v>109479990.67779018</v>
      </c>
      <c r="AF53" s="316">
        <f t="shared" si="21"/>
        <v>0.12767396748808651</v>
      </c>
    </row>
    <row r="54" spans="1:32">
      <c r="A54" s="18" t="s">
        <v>306</v>
      </c>
      <c r="B54" s="200" t="s">
        <v>48</v>
      </c>
      <c r="C54" s="282">
        <v>289861941.84000015</v>
      </c>
      <c r="D54" s="282">
        <v>126817695.59999999</v>
      </c>
      <c r="E54" s="283">
        <f t="shared" si="0"/>
        <v>0.43751068110211461</v>
      </c>
      <c r="F54" s="284">
        <f t="shared" si="9"/>
        <v>55484096.37775664</v>
      </c>
      <c r="G54" s="291">
        <f t="shared" si="1"/>
        <v>2.9314871310589227E-2</v>
      </c>
      <c r="H54" s="285">
        <v>306322</v>
      </c>
      <c r="I54" s="286">
        <f t="shared" si="2"/>
        <v>5.2956188341070756E-2</v>
      </c>
      <c r="J54" s="286">
        <f t="shared" si="10"/>
        <v>4.5012760089910141E-2</v>
      </c>
      <c r="K54" s="282">
        <v>915.8</v>
      </c>
      <c r="L54" s="319">
        <f t="shared" si="3"/>
        <v>1.4274491710881529E-2</v>
      </c>
      <c r="M54" s="287">
        <f t="shared" si="11"/>
        <v>2.1411737566322292E-3</v>
      </c>
      <c r="N54" s="291">
        <f t="shared" si="12"/>
        <v>4.7153933846542373E-2</v>
      </c>
      <c r="O54" s="288">
        <v>43432</v>
      </c>
      <c r="P54" s="288">
        <v>47092</v>
      </c>
      <c r="Q54" s="289">
        <v>1.8493369051999999</v>
      </c>
      <c r="R54" s="290">
        <f t="shared" si="13"/>
        <v>4.378358125000581E-2</v>
      </c>
      <c r="S54" s="289">
        <f t="shared" si="4"/>
        <v>8.0970592647458484E-2</v>
      </c>
      <c r="T54" s="289">
        <f t="shared" si="14"/>
        <v>4.1995999827981793E-2</v>
      </c>
      <c r="U54" s="288">
        <f t="shared" si="15"/>
        <v>7652428.0871623345</v>
      </c>
      <c r="V54" s="290">
        <f t="shared" si="5"/>
        <v>0.92227979274611394</v>
      </c>
      <c r="W54" s="290">
        <f t="shared" si="16"/>
        <v>1.2255485954351926E-2</v>
      </c>
      <c r="X54" s="288">
        <f t="shared" si="17"/>
        <v>394088.89917969279</v>
      </c>
      <c r="Y54" s="282">
        <f t="shared" si="6"/>
        <v>8046516.9863420269</v>
      </c>
      <c r="Z54" s="291">
        <f t="shared" si="18"/>
        <v>3.7534922746937309E-2</v>
      </c>
      <c r="AB54" s="292">
        <f t="shared" si="7"/>
        <v>12568700.969143933</v>
      </c>
      <c r="AC54" s="293">
        <f t="shared" si="8"/>
        <v>10108584.270364881</v>
      </c>
      <c r="AD54" s="293">
        <f t="shared" si="19"/>
        <v>8046516.9863420278</v>
      </c>
      <c r="AE54" s="293">
        <f t="shared" si="20"/>
        <v>30723802.225850843</v>
      </c>
      <c r="AF54" s="316">
        <f t="shared" si="21"/>
        <v>3.5829649803664536E-2</v>
      </c>
    </row>
    <row r="55" spans="1:32">
      <c r="A55" s="18" t="s">
        <v>307</v>
      </c>
      <c r="B55" s="200" t="s">
        <v>49</v>
      </c>
      <c r="C55" s="282">
        <v>198838484.40000001</v>
      </c>
      <c r="D55" s="282">
        <v>94615002.860000014</v>
      </c>
      <c r="E55" s="283">
        <f t="shared" si="0"/>
        <v>0.4758384834077925</v>
      </c>
      <c r="F55" s="284">
        <f t="shared" si="9"/>
        <v>45021459.468526356</v>
      </c>
      <c r="G55" s="291">
        <f t="shared" si="1"/>
        <v>2.3786965575668291E-2</v>
      </c>
      <c r="H55" s="285">
        <v>46784</v>
      </c>
      <c r="I55" s="286">
        <f t="shared" si="2"/>
        <v>8.0879019964242016E-3</v>
      </c>
      <c r="J55" s="286">
        <f t="shared" si="10"/>
        <v>6.8747166969605712E-3</v>
      </c>
      <c r="K55" s="282">
        <v>739.2</v>
      </c>
      <c r="L55" s="319">
        <f t="shared" si="3"/>
        <v>1.1521843494959192E-2</v>
      </c>
      <c r="M55" s="287">
        <f t="shared" si="11"/>
        <v>1.7282765242438787E-3</v>
      </c>
      <c r="N55" s="291">
        <f t="shared" si="12"/>
        <v>8.6029932212044503E-3</v>
      </c>
      <c r="O55" s="288">
        <v>7735</v>
      </c>
      <c r="P55" s="288">
        <v>5334</v>
      </c>
      <c r="Q55" s="289">
        <v>2.0438860060000001</v>
      </c>
      <c r="R55" s="290">
        <f t="shared" si="13"/>
        <v>4.9592631951824303E-3</v>
      </c>
      <c r="S55" s="289">
        <f t="shared" si="4"/>
        <v>1.0136168644704216E-2</v>
      </c>
      <c r="T55" s="289">
        <f t="shared" si="14"/>
        <v>5.2571992218554417E-3</v>
      </c>
      <c r="U55" s="288">
        <f t="shared" si="15"/>
        <v>957956.45180304092</v>
      </c>
      <c r="V55" s="290">
        <f t="shared" si="5"/>
        <v>1.4501312335958005</v>
      </c>
      <c r="W55" s="290">
        <f t="shared" si="16"/>
        <v>1.9269708720803205E-2</v>
      </c>
      <c r="X55" s="288">
        <f t="shared" si="17"/>
        <v>619639.10085491452</v>
      </c>
      <c r="Y55" s="282">
        <f t="shared" si="6"/>
        <v>1577595.5526579553</v>
      </c>
      <c r="Z55" s="291">
        <f t="shared" si="18"/>
        <v>7.3590756466976066E-3</v>
      </c>
      <c r="AB55" s="292">
        <f t="shared" si="7"/>
        <v>10198620.833648343</v>
      </c>
      <c r="AC55" s="293">
        <f t="shared" si="8"/>
        <v>1844259.3196346813</v>
      </c>
      <c r="AD55" s="293">
        <f t="shared" si="19"/>
        <v>1577595.5526579556</v>
      </c>
      <c r="AE55" s="293">
        <f t="shared" si="20"/>
        <v>13620475.70594098</v>
      </c>
      <c r="AF55" s="316">
        <f t="shared" si="21"/>
        <v>1.5884000004809662E-2</v>
      </c>
    </row>
    <row r="56" spans="1:32">
      <c r="A56" s="18" t="s">
        <v>308</v>
      </c>
      <c r="B56" s="200" t="s">
        <v>50</v>
      </c>
      <c r="C56" s="282">
        <v>4541705</v>
      </c>
      <c r="D56" s="282">
        <v>1178778</v>
      </c>
      <c r="E56" s="283">
        <f t="shared" si="0"/>
        <v>0.25954525888405344</v>
      </c>
      <c r="F56" s="284">
        <f t="shared" si="9"/>
        <v>305946.24117682676</v>
      </c>
      <c r="G56" s="291">
        <f t="shared" si="1"/>
        <v>1.6164586383446479E-4</v>
      </c>
      <c r="H56" s="285">
        <v>1552</v>
      </c>
      <c r="I56" s="286">
        <f t="shared" si="2"/>
        <v>2.6830591438206137E-4</v>
      </c>
      <c r="J56" s="286">
        <f t="shared" si="10"/>
        <v>2.2806002722475217E-4</v>
      </c>
      <c r="K56" s="282">
        <v>1764.9</v>
      </c>
      <c r="L56" s="319">
        <f t="shared" si="3"/>
        <v>2.7509336558784465E-2</v>
      </c>
      <c r="M56" s="287">
        <f t="shared" si="11"/>
        <v>4.1264004838176696E-3</v>
      </c>
      <c r="N56" s="291">
        <f t="shared" si="12"/>
        <v>4.354460511042422E-3</v>
      </c>
      <c r="O56" s="288">
        <v>549</v>
      </c>
      <c r="P56" s="288">
        <v>170</v>
      </c>
      <c r="Q56" s="289">
        <v>2.1071899398</v>
      </c>
      <c r="R56" s="290">
        <f t="shared" si="13"/>
        <v>1.5805675725178347E-4</v>
      </c>
      <c r="S56" s="289">
        <f t="shared" si="4"/>
        <v>3.3305560879836883E-4</v>
      </c>
      <c r="T56" s="289">
        <f t="shared" si="14"/>
        <v>1.7274176750444833E-4</v>
      </c>
      <c r="U56" s="288">
        <f t="shared" si="15"/>
        <v>31476.663465369693</v>
      </c>
      <c r="V56" s="290">
        <f t="shared" si="5"/>
        <v>3.2294117647058824</v>
      </c>
      <c r="W56" s="290">
        <f t="shared" si="16"/>
        <v>4.2913236129057078E-2</v>
      </c>
      <c r="X56" s="288">
        <f t="shared" si="17"/>
        <v>1379923.2481950666</v>
      </c>
      <c r="Y56" s="282">
        <f t="shared" si="6"/>
        <v>1411399.9116604363</v>
      </c>
      <c r="Z56" s="291">
        <f t="shared" si="18"/>
        <v>6.5838159217373434E-3</v>
      </c>
      <c r="AB56" s="292">
        <f t="shared" si="7"/>
        <v>69305.387832299821</v>
      </c>
      <c r="AC56" s="293">
        <f t="shared" si="8"/>
        <v>933483.75071099366</v>
      </c>
      <c r="AD56" s="293">
        <f t="shared" si="19"/>
        <v>1411399.9116604365</v>
      </c>
      <c r="AE56" s="293">
        <f t="shared" si="20"/>
        <v>2414189.0502037299</v>
      </c>
      <c r="AF56" s="316">
        <f t="shared" si="21"/>
        <v>2.8153920401121735E-3</v>
      </c>
    </row>
    <row r="57" spans="1:32">
      <c r="A57" s="18" t="s">
        <v>309</v>
      </c>
      <c r="B57" s="200" t="s">
        <v>51</v>
      </c>
      <c r="C57" s="282">
        <v>3020813</v>
      </c>
      <c r="D57" s="282">
        <v>668727</v>
      </c>
      <c r="E57" s="283">
        <f t="shared" si="0"/>
        <v>0.22137318662227684</v>
      </c>
      <c r="F57" s="284">
        <f t="shared" si="9"/>
        <v>148038.22697035532</v>
      </c>
      <c r="G57" s="291">
        <f t="shared" si="1"/>
        <v>7.8215594305389876E-5</v>
      </c>
      <c r="H57" s="285">
        <v>3573</v>
      </c>
      <c r="I57" s="286">
        <f t="shared" si="2"/>
        <v>6.1769138665406279E-4</v>
      </c>
      <c r="J57" s="286">
        <f t="shared" si="10"/>
        <v>5.2503767865595338E-4</v>
      </c>
      <c r="K57" s="282">
        <v>879.3</v>
      </c>
      <c r="L57" s="319">
        <f t="shared" si="3"/>
        <v>1.3705569514498939E-2</v>
      </c>
      <c r="M57" s="287">
        <f t="shared" si="11"/>
        <v>2.0558354271748409E-3</v>
      </c>
      <c r="N57" s="291">
        <f t="shared" si="12"/>
        <v>2.5808731058307942E-3</v>
      </c>
      <c r="O57" s="288">
        <v>1377</v>
      </c>
      <c r="P57" s="288">
        <v>417</v>
      </c>
      <c r="Q57" s="289">
        <v>1.7545098130000001</v>
      </c>
      <c r="R57" s="290">
        <f t="shared" si="13"/>
        <v>3.8770392808231595E-4</v>
      </c>
      <c r="S57" s="289">
        <f t="shared" si="4"/>
        <v>6.8023034635906966E-4</v>
      </c>
      <c r="T57" s="289">
        <f t="shared" si="14"/>
        <v>3.5280652610587192E-4</v>
      </c>
      <c r="U57" s="288">
        <f t="shared" si="15"/>
        <v>64287.707895166255</v>
      </c>
      <c r="V57" s="290">
        <f t="shared" si="5"/>
        <v>3.3021582733812949</v>
      </c>
      <c r="W57" s="290">
        <f t="shared" si="16"/>
        <v>4.3879910041151653E-2</v>
      </c>
      <c r="X57" s="288">
        <f t="shared" si="17"/>
        <v>1411007.7322622039</v>
      </c>
      <c r="Y57" s="282">
        <f t="shared" si="6"/>
        <v>1475295.4401573702</v>
      </c>
      <c r="Z57" s="291">
        <f t="shared" si="18"/>
        <v>6.8818720533627394E-3</v>
      </c>
      <c r="AB57" s="292">
        <f t="shared" si="7"/>
        <v>33534.802371559948</v>
      </c>
      <c r="AC57" s="293">
        <f t="shared" si="8"/>
        <v>553272.46643541567</v>
      </c>
      <c r="AD57" s="293">
        <f t="shared" si="19"/>
        <v>1475295.4401573704</v>
      </c>
      <c r="AE57" s="293">
        <f t="shared" si="20"/>
        <v>2062102.708964346</v>
      </c>
      <c r="AF57" s="316">
        <f t="shared" si="21"/>
        <v>2.4047940869510783E-3</v>
      </c>
    </row>
    <row r="58" spans="1:32" ht="13.5" thickBot="1">
      <c r="B58" s="206" t="s">
        <v>52</v>
      </c>
      <c r="C58" s="294">
        <f>SUM(C7:C57)</f>
        <v>8177497337.8300028</v>
      </c>
      <c r="D58" s="294">
        <f>SUM(D7:D57)</f>
        <v>3783530876.1000004</v>
      </c>
      <c r="E58" s="295">
        <f t="shared" si="0"/>
        <v>0.46267589212129367</v>
      </c>
      <c r="F58" s="296">
        <f t="shared" ref="F58:K58" si="22">SUM(F7:F57)</f>
        <v>1892694523.1963024</v>
      </c>
      <c r="G58" s="305">
        <f t="shared" si="22"/>
        <v>0.99999999999999989</v>
      </c>
      <c r="H58" s="297">
        <f t="shared" si="22"/>
        <v>5784442</v>
      </c>
      <c r="I58" s="298">
        <f t="shared" si="22"/>
        <v>1.0000000000000002</v>
      </c>
      <c r="J58" s="298">
        <f t="shared" si="22"/>
        <v>0.8500000000000002</v>
      </c>
      <c r="K58" s="299">
        <f t="shared" si="22"/>
        <v>64156.400000000016</v>
      </c>
      <c r="L58" s="320">
        <f t="shared" si="3"/>
        <v>1</v>
      </c>
      <c r="M58" s="300">
        <f>SUM(M7:M57)</f>
        <v>0.14999999999999997</v>
      </c>
      <c r="N58" s="305">
        <f>SUM(N7:N57)</f>
        <v>0.99999999999999989</v>
      </c>
      <c r="O58" s="301">
        <f>SUM(O7:O57)</f>
        <v>964355</v>
      </c>
      <c r="P58" s="302">
        <f t="shared" ref="P58:Y58" si="23">SUM(P7:P57)</f>
        <v>1075563</v>
      </c>
      <c r="Q58" s="303">
        <f t="shared" si="23"/>
        <v>98.366423307599987</v>
      </c>
      <c r="R58" s="303">
        <f>SUM(R7:R57)</f>
        <v>0.99999999999999989</v>
      </c>
      <c r="S58" s="303">
        <f t="shared" si="23"/>
        <v>1.9280548856824229</v>
      </c>
      <c r="T58" s="303">
        <f t="shared" si="23"/>
        <v>1</v>
      </c>
      <c r="U58" s="302">
        <f t="shared" si="23"/>
        <v>182218023.58574986</v>
      </c>
      <c r="V58" s="303">
        <f>SUM(V7:V57)</f>
        <v>75.254444922162563</v>
      </c>
      <c r="W58" s="303">
        <f t="shared" si="23"/>
        <v>1</v>
      </c>
      <c r="X58" s="304">
        <f t="shared" si="23"/>
        <v>32156121.809249982</v>
      </c>
      <c r="Y58" s="301">
        <f t="shared" si="23"/>
        <v>214374145.39499986</v>
      </c>
      <c r="Z58" s="305">
        <f>SUM(Z7:Z57)</f>
        <v>0.99999999999999978</v>
      </c>
      <c r="AB58" s="306">
        <f>SUM(AB7:AB57)</f>
        <v>428748290.78999966</v>
      </c>
      <c r="AC58" s="307">
        <f>SUM(AC7:AC57)</f>
        <v>214374145.39499989</v>
      </c>
      <c r="AD58" s="307">
        <f>SUM(AD7:AD57)</f>
        <v>214374145.39499995</v>
      </c>
      <c r="AE58" s="307">
        <f>SUM(AE7:AE57)</f>
        <v>857496581.57999957</v>
      </c>
      <c r="AF58" s="317">
        <f>SUM(AF7:AF57)</f>
        <v>0.99999999999999989</v>
      </c>
    </row>
    <row r="59" spans="1:32" ht="13.5" thickTop="1">
      <c r="L59" s="308"/>
      <c r="S59" s="309"/>
    </row>
    <row r="60" spans="1:32" ht="86.45" customHeight="1">
      <c r="C60" s="445" t="s">
        <v>310</v>
      </c>
      <c r="D60" s="445"/>
      <c r="E60" s="445"/>
      <c r="F60" s="445"/>
      <c r="G60" s="445"/>
      <c r="L60" s="308"/>
      <c r="S60" s="309"/>
    </row>
    <row r="61" spans="1:32" s="1" customFormat="1">
      <c r="J61" s="310"/>
      <c r="M61" s="310"/>
      <c r="N61" s="311"/>
      <c r="S61" s="312"/>
      <c r="T61" s="312"/>
      <c r="Y61" s="310"/>
    </row>
    <row r="62" spans="1:32">
      <c r="S62" s="309"/>
    </row>
    <row r="63" spans="1:32">
      <c r="S63" s="309"/>
    </row>
    <row r="64" spans="1:32">
      <c r="S64" s="309"/>
    </row>
    <row r="65" spans="19:19" s="2" customFormat="1">
      <c r="S65" s="309"/>
    </row>
    <row r="66" spans="19:19" s="2" customFormat="1">
      <c r="S66" s="309"/>
    </row>
    <row r="67" spans="19:19" s="2" customFormat="1">
      <c r="S67" s="309"/>
    </row>
    <row r="68" spans="19:19" s="2" customFormat="1">
      <c r="S68" s="309"/>
    </row>
    <row r="69" spans="19:19" s="2" customFormat="1">
      <c r="S69" s="309"/>
    </row>
    <row r="70" spans="19:19" s="2" customFormat="1">
      <c r="S70" s="309"/>
    </row>
    <row r="71" spans="19:19" s="2" customFormat="1">
      <c r="S71" s="309"/>
    </row>
    <row r="72" spans="19:19" s="2" customFormat="1">
      <c r="S72" s="309"/>
    </row>
    <row r="73" spans="19:19" s="2" customFormat="1">
      <c r="S73" s="309"/>
    </row>
    <row r="74" spans="19:19" s="2" customFormat="1">
      <c r="S74" s="309"/>
    </row>
    <row r="75" spans="19:19" s="2" customFormat="1">
      <c r="S75" s="309"/>
    </row>
    <row r="76" spans="19:19" s="2" customFormat="1">
      <c r="S76" s="309"/>
    </row>
    <row r="77" spans="19:19" s="2" customFormat="1">
      <c r="S77" s="309"/>
    </row>
    <row r="78" spans="19:19" s="2" customFormat="1">
      <c r="S78" s="309"/>
    </row>
    <row r="79" spans="19:19" s="2" customFormat="1">
      <c r="S79" s="309"/>
    </row>
    <row r="80" spans="19:19" s="2" customFormat="1">
      <c r="S80" s="309"/>
    </row>
    <row r="81" spans="19:19" s="2" customFormat="1">
      <c r="S81" s="309"/>
    </row>
    <row r="82" spans="19:19" s="2" customFormat="1">
      <c r="S82" s="309"/>
    </row>
    <row r="83" spans="19:19" s="2" customFormat="1">
      <c r="S83" s="309"/>
    </row>
    <row r="84" spans="19:19" s="2" customFormat="1">
      <c r="S84" s="309"/>
    </row>
    <row r="85" spans="19:19" s="2" customFormat="1">
      <c r="S85" s="309"/>
    </row>
    <row r="86" spans="19:19" s="2" customFormat="1">
      <c r="S86" s="309"/>
    </row>
    <row r="87" spans="19:19" s="2" customFormat="1">
      <c r="S87" s="309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showGridLines="0" topLeftCell="C1" zoomScaleSheetLayoutView="100" workbookViewId="0">
      <selection activeCell="O6" sqref="O6"/>
    </sheetView>
  </sheetViews>
  <sheetFormatPr baseColWidth="10" defaultColWidth="9.7109375" defaultRowHeight="14.25"/>
  <cols>
    <col min="1" max="1" width="26.28515625" style="2" customWidth="1"/>
    <col min="2" max="2" width="14.5703125" style="2" hidden="1" customWidth="1"/>
    <col min="3" max="3" width="12.7109375" style="2" customWidth="1"/>
    <col min="4" max="4" width="14.140625" style="2" hidden="1" customWidth="1"/>
    <col min="5" max="5" width="11.7109375" style="2" customWidth="1"/>
    <col min="6" max="6" width="14.28515625" style="2" hidden="1" customWidth="1"/>
    <col min="7" max="7" width="11.7109375" style="2" customWidth="1"/>
    <col min="8" max="8" width="14" style="2" customWidth="1"/>
    <col min="9" max="10" width="11.140625" style="2" customWidth="1"/>
    <col min="11" max="11" width="11.5703125" style="2" customWidth="1"/>
    <col min="12" max="12" width="17" style="2" customWidth="1"/>
    <col min="13" max="13" width="13.28515625" style="2" bestFit="1" customWidth="1"/>
    <col min="14" max="14" width="11.7109375" style="2" customWidth="1"/>
    <col min="15" max="15" width="13.5703125" style="2" customWidth="1"/>
    <col min="16" max="18" width="11.7109375" style="2" customWidth="1"/>
    <col min="19" max="19" width="18.7109375" style="2" customWidth="1"/>
    <col min="20" max="20" width="19.42578125" style="190" customWidth="1"/>
    <col min="21" max="21" width="5.42578125" style="2" customWidth="1"/>
    <col min="22" max="22" width="11.5703125" style="2" customWidth="1"/>
    <col min="23" max="16384" width="9.7109375" style="2"/>
  </cols>
  <sheetData>
    <row r="1" spans="1:23" ht="15.75">
      <c r="A1" s="446" t="s">
        <v>230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7"/>
      <c r="M1" s="447"/>
      <c r="N1" s="447"/>
      <c r="O1" s="447"/>
      <c r="P1" s="447"/>
      <c r="Q1" s="447"/>
      <c r="R1" s="447"/>
      <c r="S1" s="447"/>
      <c r="T1" s="447"/>
    </row>
    <row r="2" spans="1:23" ht="8.25" customHeight="1" thickBot="1">
      <c r="L2" s="189"/>
    </row>
    <row r="3" spans="1:23" ht="13.5" thickBot="1">
      <c r="A3" s="448" t="s">
        <v>0</v>
      </c>
      <c r="B3" s="343"/>
      <c r="C3" s="450" t="s">
        <v>231</v>
      </c>
      <c r="D3" s="451"/>
      <c r="E3" s="451"/>
      <c r="F3" s="451"/>
      <c r="G3" s="451"/>
      <c r="H3" s="451"/>
      <c r="I3" s="451"/>
      <c r="J3" s="451"/>
      <c r="K3" s="451"/>
      <c r="L3" s="452"/>
      <c r="M3" s="450" t="s">
        <v>232</v>
      </c>
      <c r="N3" s="451"/>
      <c r="O3" s="451"/>
      <c r="P3" s="451"/>
      <c r="Q3" s="451"/>
      <c r="R3" s="451"/>
      <c r="S3" s="452"/>
      <c r="T3" s="453" t="s">
        <v>333</v>
      </c>
    </row>
    <row r="4" spans="1:23" ht="60.75" thickBot="1">
      <c r="A4" s="449"/>
      <c r="B4" s="342" t="s">
        <v>334</v>
      </c>
      <c r="C4" s="191" t="s">
        <v>96</v>
      </c>
      <c r="D4" s="342" t="s">
        <v>334</v>
      </c>
      <c r="E4" s="192" t="s">
        <v>228</v>
      </c>
      <c r="F4" s="342" t="s">
        <v>334</v>
      </c>
      <c r="G4" s="192" t="s">
        <v>97</v>
      </c>
      <c r="H4" s="342" t="s">
        <v>334</v>
      </c>
      <c r="I4" s="192" t="s">
        <v>110</v>
      </c>
      <c r="J4" s="192" t="s">
        <v>122</v>
      </c>
      <c r="K4" s="192" t="s">
        <v>123</v>
      </c>
      <c r="L4" s="191" t="s">
        <v>233</v>
      </c>
      <c r="M4" s="191" t="s">
        <v>96</v>
      </c>
      <c r="N4" s="192" t="s">
        <v>228</v>
      </c>
      <c r="O4" s="192" t="s">
        <v>97</v>
      </c>
      <c r="P4" s="192" t="s">
        <v>110</v>
      </c>
      <c r="Q4" s="192" t="s">
        <v>122</v>
      </c>
      <c r="R4" s="192" t="s">
        <v>123</v>
      </c>
      <c r="S4" s="191" t="s">
        <v>234</v>
      </c>
      <c r="T4" s="454"/>
    </row>
    <row r="5" spans="1:23" ht="15.75" thickBot="1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4"/>
      <c r="N5" s="194"/>
      <c r="O5" s="194"/>
      <c r="P5" s="194"/>
      <c r="Q5" s="194"/>
      <c r="R5" s="194"/>
      <c r="S5" s="194"/>
      <c r="T5" s="194"/>
      <c r="V5" s="237" t="s">
        <v>97</v>
      </c>
      <c r="W5" s="238" t="s">
        <v>229</v>
      </c>
    </row>
    <row r="6" spans="1:23" ht="12.75" customHeight="1" thickTop="1">
      <c r="A6" s="195" t="s">
        <v>1</v>
      </c>
      <c r="B6" s="345">
        <f>+C6/$C$57</f>
        <v>1.2861627529993226E-3</v>
      </c>
      <c r="C6" s="196">
        <v>704723.62333333341</v>
      </c>
      <c r="D6" s="347">
        <f>+E6/$E$57</f>
        <v>1.2861627540339637E-3</v>
      </c>
      <c r="E6" s="196">
        <v>96245.346666666665</v>
      </c>
      <c r="F6" s="347">
        <f>+G6/$G$57</f>
        <v>1.2861627449722445E-3</v>
      </c>
      <c r="G6" s="196">
        <v>23664.570000000003</v>
      </c>
      <c r="H6" s="347">
        <f>+I6/$I$57</f>
        <v>1.2861627605039016E-3</v>
      </c>
      <c r="I6" s="196">
        <v>39892.542500000003</v>
      </c>
      <c r="J6" s="196">
        <v>19619.877499999999</v>
      </c>
      <c r="K6" s="196">
        <v>4204.5625</v>
      </c>
      <c r="L6" s="197">
        <f>SUM(C6:K6)</f>
        <v>888350.52635848825</v>
      </c>
      <c r="M6" s="235">
        <f>+'COEF Art 14 F I '!AF7*'PART MES'!I$4</f>
        <v>23821.52526934605</v>
      </c>
      <c r="N6" s="235">
        <f>+'COEF Art 14 F I '!AF7*'PART MES'!I$5</f>
        <v>2779.2342059600987</v>
      </c>
      <c r="O6" s="235">
        <f>+'COEF Art 14 F I '!AF7*'PART MES'!I$6</f>
        <v>831.59793489143522</v>
      </c>
      <c r="P6" s="235">
        <f>+'COEF Art 14 F I '!AF7*'PART MES'!I$7</f>
        <v>-11376.665711047672</v>
      </c>
      <c r="Q6" s="196">
        <f>+'COEF Art 14 F I '!AF7*'PART MES'!I$8</f>
        <v>7364.7665511874175</v>
      </c>
      <c r="R6" s="196">
        <f>+'COEF Art 14 F I '!AF7*'PART MES'!I$9</f>
        <v>137.04507826120656</v>
      </c>
      <c r="S6" s="198">
        <f>SUM(M6:R6)</f>
        <v>23557.503328598534</v>
      </c>
      <c r="T6" s="199">
        <f>SUM(S6,L6)</f>
        <v>911908.02968708682</v>
      </c>
      <c r="V6" s="340">
        <v>39892.542500000003</v>
      </c>
      <c r="W6" s="341">
        <f>+V6/$V$57</f>
        <v>1.2861627605039016E-3</v>
      </c>
    </row>
    <row r="7" spans="1:23" ht="12.75" customHeight="1">
      <c r="A7" s="200" t="s">
        <v>2</v>
      </c>
      <c r="B7" s="346">
        <f t="shared" ref="B7:B56" si="0">+C7/$C$57</f>
        <v>2.4745145135668814E-3</v>
      </c>
      <c r="C7" s="201">
        <v>1355853.9383333332</v>
      </c>
      <c r="D7" s="346">
        <f t="shared" ref="D7:D56" si="1">+E7/$E$57</f>
        <v>2.4745145159324432E-3</v>
      </c>
      <c r="E7" s="202">
        <v>185171.36083333334</v>
      </c>
      <c r="F7" s="346">
        <f t="shared" ref="F7:F56" si="2">+G7/$G$57</f>
        <v>2.4745145187831932E-3</v>
      </c>
      <c r="G7" s="202">
        <v>45529.480833333335</v>
      </c>
      <c r="H7" s="346">
        <f t="shared" ref="H7:H56" si="3">+I7/$I$57</f>
        <v>2.4745145203539831E-3</v>
      </c>
      <c r="I7" s="202">
        <v>76751.309166666659</v>
      </c>
      <c r="J7" s="202">
        <v>37747.688333333332</v>
      </c>
      <c r="K7" s="202">
        <v>8089.373333333333</v>
      </c>
      <c r="L7" s="203">
        <f t="shared" ref="L7:L56" si="4">SUM(C7:K7)</f>
        <v>1709143.1582568765</v>
      </c>
      <c r="M7" s="236">
        <f>+'COEF Art 14 F I '!AF8*'PART MES'!I$4</f>
        <v>43289.835671019166</v>
      </c>
      <c r="N7" s="236">
        <f>+'COEF Art 14 F I '!AF8*'PART MES'!I$5</f>
        <v>5050.5830632981515</v>
      </c>
      <c r="O7" s="236">
        <f>+'COEF Art 14 F I '!AF8*'PART MES'!I$6</f>
        <v>1511.2272425365729</v>
      </c>
      <c r="P7" s="236">
        <f>+'COEF Art 14 F I '!AF8*'PART MES'!I$7</f>
        <v>-20674.326414737257</v>
      </c>
      <c r="Q7" s="201">
        <f>+'COEF Art 14 F I '!AF8*'PART MES'!I$8</f>
        <v>13383.67422536895</v>
      </c>
      <c r="R7" s="201">
        <f>+'COEF Art 14 F I '!AF8*'PART MES'!I$9</f>
        <v>249.04614000866857</v>
      </c>
      <c r="S7" s="204">
        <f t="shared" ref="S7:S56" si="5">SUM(M7:R7)</f>
        <v>42810.039927494254</v>
      </c>
      <c r="T7" s="205">
        <f t="shared" ref="T7:T56" si="6">SUM(S7,L7)</f>
        <v>1751953.1981843708</v>
      </c>
      <c r="V7" s="340">
        <v>76751.309166666659</v>
      </c>
      <c r="W7" s="341">
        <f t="shared" ref="W7:W56" si="7">+V7/$V$57</f>
        <v>2.4745145203539831E-3</v>
      </c>
    </row>
    <row r="8" spans="1:23" ht="12.75" customHeight="1">
      <c r="A8" s="200" t="s">
        <v>211</v>
      </c>
      <c r="B8" s="346">
        <f t="shared" si="0"/>
        <v>2.5966786750418491E-3</v>
      </c>
      <c r="C8" s="201">
        <v>1422791.0116666667</v>
      </c>
      <c r="D8" s="346">
        <f t="shared" si="1"/>
        <v>2.5966786794624748E-3</v>
      </c>
      <c r="E8" s="202">
        <v>194313.07499999998</v>
      </c>
      <c r="F8" s="346">
        <f t="shared" si="2"/>
        <v>2.5966786934878581E-3</v>
      </c>
      <c r="G8" s="202">
        <v>47777.223333333335</v>
      </c>
      <c r="H8" s="346">
        <f t="shared" si="3"/>
        <v>2.5966786810491926E-3</v>
      </c>
      <c r="I8" s="202">
        <v>80540.44</v>
      </c>
      <c r="J8" s="202">
        <v>39611.251666666671</v>
      </c>
      <c r="K8" s="202">
        <v>8488.7366666666658</v>
      </c>
      <c r="L8" s="203">
        <f t="shared" si="4"/>
        <v>1793521.7461233693</v>
      </c>
      <c r="M8" s="236">
        <f>+'COEF Art 14 F I '!AF9*'PART MES'!I$4</f>
        <v>53407.038931606949</v>
      </c>
      <c r="N8" s="236">
        <f>+'COEF Art 14 F I '!AF9*'PART MES'!I$5</f>
        <v>6230.9473368931522</v>
      </c>
      <c r="O8" s="236">
        <f>+'COEF Art 14 F I '!AF9*'PART MES'!I$6</f>
        <v>1864.413919008892</v>
      </c>
      <c r="P8" s="236">
        <f>+'COEF Art 14 F I '!AF9*'PART MES'!I$7</f>
        <v>-25506.092564260078</v>
      </c>
      <c r="Q8" s="201">
        <f>+'COEF Art 14 F I '!AF9*'PART MES'!I$8</f>
        <v>16511.552869689975</v>
      </c>
      <c r="R8" s="201">
        <f>+'COEF Art 14 F I '!AF9*'PART MES'!I$9</f>
        <v>307.25034385181942</v>
      </c>
      <c r="S8" s="204">
        <f t="shared" si="5"/>
        <v>52815.1108367907</v>
      </c>
      <c r="T8" s="205">
        <f t="shared" si="6"/>
        <v>1846336.85696016</v>
      </c>
      <c r="V8" s="340">
        <v>80540.44</v>
      </c>
      <c r="W8" s="341">
        <f t="shared" si="7"/>
        <v>2.5966786810491926E-3</v>
      </c>
    </row>
    <row r="9" spans="1:23" ht="12.75" customHeight="1">
      <c r="A9" s="200" t="s">
        <v>4</v>
      </c>
      <c r="B9" s="346">
        <f t="shared" si="0"/>
        <v>7.163369161917562E-3</v>
      </c>
      <c r="C9" s="201">
        <v>3925005.1824999996</v>
      </c>
      <c r="D9" s="346">
        <f t="shared" si="1"/>
        <v>7.1633691633567736E-3</v>
      </c>
      <c r="E9" s="202">
        <v>536044.8716666667</v>
      </c>
      <c r="F9" s="346">
        <f t="shared" si="2"/>
        <v>7.1633691838468676E-3</v>
      </c>
      <c r="G9" s="202">
        <v>131801.40083333335</v>
      </c>
      <c r="H9" s="346">
        <f t="shared" si="3"/>
        <v>7.1633691596085913E-3</v>
      </c>
      <c r="I9" s="202">
        <v>222184.17249999999</v>
      </c>
      <c r="J9" s="202">
        <v>109274.21333333333</v>
      </c>
      <c r="K9" s="202">
        <v>23417.59</v>
      </c>
      <c r="L9" s="203">
        <f t="shared" si="4"/>
        <v>4947727.4523234395</v>
      </c>
      <c r="M9" s="236">
        <f>+'COEF Art 14 F I '!AF10*'PART MES'!I$4</f>
        <v>207358.45804188747</v>
      </c>
      <c r="N9" s="236">
        <f>+'COEF Art 14 F I '!AF10*'PART MES'!I$5</f>
        <v>24192.309810939998</v>
      </c>
      <c r="O9" s="236">
        <f>+'COEF Art 14 F I '!AF10*'PART MES'!I$6</f>
        <v>7238.7835598337288</v>
      </c>
      <c r="P9" s="236">
        <f>+'COEF Art 14 F I '!AF10*'PART MES'!I$7</f>
        <v>-99030.092860448436</v>
      </c>
      <c r="Q9" s="201">
        <f>+'COEF Art 14 F I '!AF10*'PART MES'!I$8</f>
        <v>64107.844423289338</v>
      </c>
      <c r="R9" s="201">
        <f>+'COEF Art 14 F I '!AF10*'PART MES'!I$9</f>
        <v>1192.9318458479086</v>
      </c>
      <c r="S9" s="204">
        <f t="shared" si="5"/>
        <v>205060.23482134999</v>
      </c>
      <c r="T9" s="205">
        <f t="shared" si="6"/>
        <v>5152787.6871447898</v>
      </c>
      <c r="V9" s="340">
        <v>222184.17249999999</v>
      </c>
      <c r="W9" s="341">
        <f t="shared" si="7"/>
        <v>7.1633691596085913E-3</v>
      </c>
    </row>
    <row r="10" spans="1:23" ht="12.75" customHeight="1">
      <c r="A10" s="200" t="s">
        <v>235</v>
      </c>
      <c r="B10" s="346">
        <f t="shared" si="0"/>
        <v>8.9925647680691445E-3</v>
      </c>
      <c r="C10" s="201">
        <v>4927271.3049999997</v>
      </c>
      <c r="D10" s="346">
        <f t="shared" si="1"/>
        <v>8.992564772006233E-3</v>
      </c>
      <c r="E10" s="202">
        <v>672926.1216666667</v>
      </c>
      <c r="F10" s="346">
        <f t="shared" si="2"/>
        <v>8.9925647521862349E-3</v>
      </c>
      <c r="G10" s="202">
        <v>165457.42666666667</v>
      </c>
      <c r="H10" s="346">
        <f t="shared" si="3"/>
        <v>8.9925647561075201E-3</v>
      </c>
      <c r="I10" s="202">
        <v>278919.80916666664</v>
      </c>
      <c r="J10" s="202">
        <v>137177.83083333334</v>
      </c>
      <c r="K10" s="202">
        <v>29397.366666666669</v>
      </c>
      <c r="L10" s="203">
        <f t="shared" si="4"/>
        <v>6211149.8869776949</v>
      </c>
      <c r="M10" s="236">
        <f>+'COEF Art 14 F I '!AF11*'PART MES'!I$4</f>
        <v>169915.92950553732</v>
      </c>
      <c r="N10" s="236">
        <f>+'COEF Art 14 F I '!AF11*'PART MES'!I$5</f>
        <v>19823.926389255004</v>
      </c>
      <c r="O10" s="236">
        <f>+'COEF Art 14 F I '!AF11*'PART MES'!I$6</f>
        <v>5931.6829835322524</v>
      </c>
      <c r="P10" s="236">
        <f>+'COEF Art 14 F I '!AF11*'PART MES'!I$7</f>
        <v>-81148.31888846161</v>
      </c>
      <c r="Q10" s="201">
        <f>+'COEF Art 14 F I '!AF11*'PART MES'!I$8</f>
        <v>52531.949150485852</v>
      </c>
      <c r="R10" s="201">
        <f>+'COEF Art 14 F I '!AF11*'PART MES'!I$9</f>
        <v>977.5252253421836</v>
      </c>
      <c r="S10" s="204">
        <f t="shared" si="5"/>
        <v>168032.69436569102</v>
      </c>
      <c r="T10" s="205">
        <f t="shared" si="6"/>
        <v>6379182.5813433863</v>
      </c>
      <c r="V10" s="340">
        <v>278919.80916666664</v>
      </c>
      <c r="W10" s="341">
        <f t="shared" si="7"/>
        <v>8.9925647561075201E-3</v>
      </c>
    </row>
    <row r="11" spans="1:23" ht="12.75" customHeight="1">
      <c r="A11" s="200" t="s">
        <v>6</v>
      </c>
      <c r="B11" s="346">
        <f t="shared" si="0"/>
        <v>6.1746187376218759E-2</v>
      </c>
      <c r="C11" s="201">
        <v>33832418.792499997</v>
      </c>
      <c r="D11" s="346">
        <f t="shared" si="1"/>
        <v>6.1746187373972854E-2</v>
      </c>
      <c r="E11" s="202">
        <v>4620553.0291666668</v>
      </c>
      <c r="F11" s="346">
        <f t="shared" si="2"/>
        <v>6.1746187391896169E-2</v>
      </c>
      <c r="G11" s="202">
        <v>1136090.2649999999</v>
      </c>
      <c r="H11" s="346">
        <f t="shared" si="3"/>
        <v>6.1746187367451855E-2</v>
      </c>
      <c r="I11" s="202">
        <v>1915163.8341666667</v>
      </c>
      <c r="J11" s="202">
        <v>941912.37749999994</v>
      </c>
      <c r="K11" s="202">
        <v>201852.905</v>
      </c>
      <c r="L11" s="203">
        <f t="shared" si="4"/>
        <v>42647991.388571896</v>
      </c>
      <c r="M11" s="236">
        <f>+'COEF Art 14 F I '!AF12*'PART MES'!I$4</f>
        <v>2836667.9103763546</v>
      </c>
      <c r="N11" s="236">
        <f>+'COEF Art 14 F I '!AF12*'PART MES'!I$5</f>
        <v>330951.288732644</v>
      </c>
      <c r="O11" s="236">
        <f>+'COEF Art 14 F I '!AF12*'PART MES'!I$6</f>
        <v>99026.705870817546</v>
      </c>
      <c r="P11" s="236">
        <f>+'COEF Art 14 F I '!AF12*'PART MES'!I$7</f>
        <v>-1354733.678247541</v>
      </c>
      <c r="Q11" s="201">
        <f>+'COEF Art 14 F I '!AF12*'PART MES'!I$8</f>
        <v>876996.61154988641</v>
      </c>
      <c r="R11" s="201">
        <f>+'COEF Art 14 F I '!AF12*'PART MES'!I$9</f>
        <v>16319.33183887401</v>
      </c>
      <c r="S11" s="204">
        <f t="shared" si="5"/>
        <v>2805228.1701210355</v>
      </c>
      <c r="T11" s="205">
        <f t="shared" si="6"/>
        <v>45453219.558692932</v>
      </c>
      <c r="V11" s="340">
        <v>1915163.8341666667</v>
      </c>
      <c r="W11" s="341">
        <f t="shared" si="7"/>
        <v>6.1746187367451855E-2</v>
      </c>
    </row>
    <row r="12" spans="1:23" ht="12.75" customHeight="1">
      <c r="A12" s="200" t="s">
        <v>7</v>
      </c>
      <c r="B12" s="346">
        <f t="shared" si="0"/>
        <v>1.0265070767424937E-2</v>
      </c>
      <c r="C12" s="201">
        <v>5624512.020833333</v>
      </c>
      <c r="D12" s="346">
        <f t="shared" si="1"/>
        <v>1.0265070768274558E-2</v>
      </c>
      <c r="E12" s="202">
        <v>768149.51416666666</v>
      </c>
      <c r="F12" s="346">
        <f t="shared" si="2"/>
        <v>1.0265070771355184E-2</v>
      </c>
      <c r="G12" s="202">
        <v>188870.72166666668</v>
      </c>
      <c r="H12" s="346">
        <f t="shared" si="3"/>
        <v>1.0265070766898993E-2</v>
      </c>
      <c r="I12" s="202">
        <v>318388.76416666666</v>
      </c>
      <c r="J12" s="202">
        <v>156589.38</v>
      </c>
      <c r="K12" s="202">
        <v>33557.284166666665</v>
      </c>
      <c r="L12" s="203">
        <f t="shared" si="4"/>
        <v>7090067.7157952134</v>
      </c>
      <c r="M12" s="236">
        <f>+'COEF Art 14 F I '!AF13*'PART MES'!I$4</f>
        <v>155873.69300831936</v>
      </c>
      <c r="N12" s="236">
        <f>+'COEF Art 14 F I '!AF13*'PART MES'!I$5</f>
        <v>18185.63230187053</v>
      </c>
      <c r="O12" s="236">
        <f>+'COEF Art 14 F I '!AF13*'PART MES'!I$6</f>
        <v>5441.4752936254099</v>
      </c>
      <c r="P12" s="236">
        <f>+'COEF Art 14 F I '!AF13*'PART MES'!I$7</f>
        <v>-74442.038385512627</v>
      </c>
      <c r="Q12" s="201">
        <f>+'COEF Art 14 F I '!AF13*'PART MES'!I$8</f>
        <v>48190.590127952819</v>
      </c>
      <c r="R12" s="201">
        <f>+'COEF Art 14 F I '!AF13*'PART MES'!I$9</f>
        <v>896.74033109361994</v>
      </c>
      <c r="S12" s="204">
        <f t="shared" si="5"/>
        <v>154146.09267734911</v>
      </c>
      <c r="T12" s="205">
        <f t="shared" si="6"/>
        <v>7244213.8084725626</v>
      </c>
      <c r="V12" s="340">
        <v>318388.76416666666</v>
      </c>
      <c r="W12" s="341">
        <f t="shared" si="7"/>
        <v>1.0265070766898993E-2</v>
      </c>
    </row>
    <row r="13" spans="1:23" ht="12.75" customHeight="1">
      <c r="A13" s="200" t="s">
        <v>8</v>
      </c>
      <c r="B13" s="346">
        <f t="shared" si="0"/>
        <v>1.6322006516159586E-3</v>
      </c>
      <c r="C13" s="201">
        <v>894327.21833333327</v>
      </c>
      <c r="D13" s="346">
        <f t="shared" si="1"/>
        <v>1.6322006488577962E-3</v>
      </c>
      <c r="E13" s="202">
        <v>122139.84333333334</v>
      </c>
      <c r="F13" s="346">
        <f t="shared" si="2"/>
        <v>1.6322006615157286E-3</v>
      </c>
      <c r="G13" s="202">
        <v>30031.445833333331</v>
      </c>
      <c r="H13" s="346">
        <f t="shared" si="3"/>
        <v>1.632200652633072E-3</v>
      </c>
      <c r="I13" s="202">
        <v>50625.500833333332</v>
      </c>
      <c r="J13" s="202">
        <v>24898.541666666668</v>
      </c>
      <c r="K13" s="202">
        <v>5335.7858333333334</v>
      </c>
      <c r="L13" s="203">
        <f t="shared" si="4"/>
        <v>1127358.3407299353</v>
      </c>
      <c r="M13" s="236">
        <f>+'COEF Art 14 F I '!AF14*'PART MES'!I$4</f>
        <v>45194.409507282297</v>
      </c>
      <c r="N13" s="236">
        <f>+'COEF Art 14 F I '!AF14*'PART MES'!I$5</f>
        <v>5272.7878421134947</v>
      </c>
      <c r="O13" s="236">
        <f>+'COEF Art 14 F I '!AF14*'PART MES'!I$6</f>
        <v>1577.714994734489</v>
      </c>
      <c r="P13" s="236">
        <f>+'COEF Art 14 F I '!AF14*'PART MES'!I$7</f>
        <v>-21583.911322176227</v>
      </c>
      <c r="Q13" s="201">
        <f>+'COEF Art 14 F I '!AF14*'PART MES'!I$8</f>
        <v>13972.500571498314</v>
      </c>
      <c r="R13" s="201">
        <f>+'COEF Art 14 F I '!AF14*'PART MES'!I$9</f>
        <v>260.00314076717171</v>
      </c>
      <c r="S13" s="204">
        <f t="shared" si="5"/>
        <v>44693.504734219539</v>
      </c>
      <c r="T13" s="205">
        <f t="shared" si="6"/>
        <v>1172051.8454641548</v>
      </c>
      <c r="V13" s="340">
        <v>50625.500833333332</v>
      </c>
      <c r="W13" s="341">
        <f t="shared" si="7"/>
        <v>1.632200652633072E-3</v>
      </c>
    </row>
    <row r="14" spans="1:23" ht="12.75" customHeight="1">
      <c r="A14" s="200" t="s">
        <v>236</v>
      </c>
      <c r="B14" s="346">
        <f t="shared" si="0"/>
        <v>1.6224393865143041E-2</v>
      </c>
      <c r="C14" s="201">
        <v>8889787.5516666677</v>
      </c>
      <c r="D14" s="346">
        <f t="shared" si="1"/>
        <v>1.6224393864622787E-2</v>
      </c>
      <c r="E14" s="202">
        <v>1214093.9450000001</v>
      </c>
      <c r="F14" s="346">
        <f t="shared" si="2"/>
        <v>1.6224393884598388E-2</v>
      </c>
      <c r="G14" s="202">
        <v>298518.44666666666</v>
      </c>
      <c r="H14" s="346">
        <f t="shared" si="3"/>
        <v>1.6224393859603142E-2</v>
      </c>
      <c r="I14" s="202">
        <v>503227.38416666671</v>
      </c>
      <c r="J14" s="202">
        <v>247496.37250000003</v>
      </c>
      <c r="K14" s="202">
        <v>53038.7575</v>
      </c>
      <c r="L14" s="203">
        <f t="shared" si="4"/>
        <v>11206162.506173184</v>
      </c>
      <c r="M14" s="236">
        <f>+'COEF Art 14 F I '!AF15*'PART MES'!I$4</f>
        <v>454647.24554890941</v>
      </c>
      <c r="N14" s="236">
        <f>+'COEF Art 14 F I '!AF15*'PART MES'!I$5</f>
        <v>53043.252360546976</v>
      </c>
      <c r="O14" s="236">
        <f>+'COEF Art 14 F I '!AF15*'PART MES'!I$6</f>
        <v>15871.515624109805</v>
      </c>
      <c r="P14" s="236">
        <f>+'COEF Art 14 F I '!AF15*'PART MES'!I$7</f>
        <v>-217130.08174646329</v>
      </c>
      <c r="Q14" s="201">
        <f>+'COEF Art 14 F I '!AF15*'PART MES'!I$8</f>
        <v>140560.72349476471</v>
      </c>
      <c r="R14" s="201">
        <f>+'COEF Art 14 F I '!AF15*'PART MES'!I$9</f>
        <v>2615.582614588925</v>
      </c>
      <c r="S14" s="204">
        <f t="shared" si="5"/>
        <v>449608.23789645656</v>
      </c>
      <c r="T14" s="205">
        <f t="shared" si="6"/>
        <v>11655770.744069641</v>
      </c>
      <c r="V14" s="340">
        <v>503227.38416666671</v>
      </c>
      <c r="W14" s="341">
        <f t="shared" si="7"/>
        <v>1.6224393859603142E-2</v>
      </c>
    </row>
    <row r="15" spans="1:23" ht="12.75" customHeight="1">
      <c r="A15" s="200" t="s">
        <v>237</v>
      </c>
      <c r="B15" s="346">
        <f t="shared" si="0"/>
        <v>2.8090677169562883E-3</v>
      </c>
      <c r="C15" s="201">
        <v>1539164.7558333334</v>
      </c>
      <c r="D15" s="346">
        <f t="shared" si="1"/>
        <v>2.8090677138504746E-3</v>
      </c>
      <c r="E15" s="202">
        <v>210206.44166666665</v>
      </c>
      <c r="F15" s="346">
        <f t="shared" si="2"/>
        <v>2.8090677054860482E-3</v>
      </c>
      <c r="G15" s="202">
        <v>51685.045000000006</v>
      </c>
      <c r="H15" s="346">
        <f t="shared" si="3"/>
        <v>2.8090677174893519E-3</v>
      </c>
      <c r="I15" s="202">
        <v>87128.05</v>
      </c>
      <c r="J15" s="202">
        <v>42851.158333333333</v>
      </c>
      <c r="K15" s="202">
        <v>9183.0524999999998</v>
      </c>
      <c r="L15" s="203">
        <f t="shared" si="4"/>
        <v>1940218.5117605366</v>
      </c>
      <c r="M15" s="236">
        <f>+'COEF Art 14 F I '!AF16*'PART MES'!I$4</f>
        <v>318316.71115875436</v>
      </c>
      <c r="N15" s="236">
        <f>+'COEF Art 14 F I '!AF16*'PART MES'!I$5</f>
        <v>37137.701384703018</v>
      </c>
      <c r="O15" s="236">
        <f>+'COEF Art 14 F I '!AF16*'PART MES'!I$6</f>
        <v>11112.282553195237</v>
      </c>
      <c r="P15" s="236">
        <f>+'COEF Art 14 F I '!AF16*'PART MES'!I$7</f>
        <v>-152021.45001828761</v>
      </c>
      <c r="Q15" s="201">
        <f>+'COEF Art 14 F I '!AF16*'PART MES'!I$8</f>
        <v>98412.181441744309</v>
      </c>
      <c r="R15" s="201">
        <f>+'COEF Art 14 F I '!AF16*'PART MES'!I$9</f>
        <v>1831.2739465401551</v>
      </c>
      <c r="S15" s="204">
        <f t="shared" si="5"/>
        <v>314788.70046664943</v>
      </c>
      <c r="T15" s="205">
        <f t="shared" si="6"/>
        <v>2255007.2122271862</v>
      </c>
      <c r="V15" s="340">
        <v>87128.05</v>
      </c>
      <c r="W15" s="341">
        <f t="shared" si="7"/>
        <v>2.8090677174893519E-3</v>
      </c>
    </row>
    <row r="16" spans="1:23" s="1" customFormat="1" ht="12.75" customHeight="1">
      <c r="A16" s="200" t="s">
        <v>226</v>
      </c>
      <c r="B16" s="346">
        <f t="shared" si="0"/>
        <v>3.9163993698195301E-3</v>
      </c>
      <c r="C16" s="201">
        <v>2145901.9458333333</v>
      </c>
      <c r="D16" s="346">
        <f t="shared" si="1"/>
        <v>3.9163993650843353E-3</v>
      </c>
      <c r="E16" s="202">
        <v>293069.60833333334</v>
      </c>
      <c r="F16" s="346">
        <f t="shared" si="2"/>
        <v>3.9163993558136443E-3</v>
      </c>
      <c r="G16" s="202">
        <v>72059.237500000003</v>
      </c>
      <c r="H16" s="346">
        <f t="shared" si="3"/>
        <v>3.9163993699225103E-3</v>
      </c>
      <c r="I16" s="202">
        <v>121473.83916666667</v>
      </c>
      <c r="J16" s="202">
        <v>59743.041666666664</v>
      </c>
      <c r="K16" s="202">
        <v>12803.002500000001</v>
      </c>
      <c r="L16" s="203">
        <f t="shared" si="4"/>
        <v>2705050.6867491985</v>
      </c>
      <c r="M16" s="236">
        <f>+'COEF Art 14 F I '!AF17*'PART MES'!I$4</f>
        <v>118418.4453591566</v>
      </c>
      <c r="N16" s="236">
        <f>+'COEF Art 14 F I '!AF17*'PART MES'!I$5</f>
        <v>13815.764953652764</v>
      </c>
      <c r="O16" s="236">
        <f>+'COEF Art 14 F I '!AF17*'PART MES'!I$6</f>
        <v>4133.9306992424281</v>
      </c>
      <c r="P16" s="236">
        <f>+'COEF Art 14 F I '!AF17*'PART MES'!I$7</f>
        <v>-56554.190029414211</v>
      </c>
      <c r="Q16" s="201">
        <f>+'COEF Art 14 F I '!AF17*'PART MES'!I$8</f>
        <v>36610.762558810449</v>
      </c>
      <c r="R16" s="201">
        <f>+'COEF Art 14 F I '!AF17*'PART MES'!I$9</f>
        <v>681.26053761550497</v>
      </c>
      <c r="S16" s="204">
        <f t="shared" si="5"/>
        <v>117105.97407906354</v>
      </c>
      <c r="T16" s="205">
        <f t="shared" si="6"/>
        <v>2822156.6608282621</v>
      </c>
      <c r="V16" s="340">
        <v>121473.83916666667</v>
      </c>
      <c r="W16" s="341">
        <f t="shared" si="7"/>
        <v>3.9163993699225103E-3</v>
      </c>
    </row>
    <row r="17" spans="1:23" ht="12.75" customHeight="1">
      <c r="A17" s="200" t="s">
        <v>12</v>
      </c>
      <c r="B17" s="346">
        <f t="shared" si="0"/>
        <v>8.2367609168836967E-3</v>
      </c>
      <c r="C17" s="201">
        <v>4513145.7774999999</v>
      </c>
      <c r="D17" s="346">
        <f t="shared" si="1"/>
        <v>8.2367609131725819E-3</v>
      </c>
      <c r="E17" s="202">
        <v>616368.26833333331</v>
      </c>
      <c r="F17" s="346">
        <f t="shared" si="2"/>
        <v>8.2367609288746951E-3</v>
      </c>
      <c r="G17" s="202">
        <v>151551.12083333332</v>
      </c>
      <c r="H17" s="346">
        <f t="shared" si="3"/>
        <v>8.2367609121972128E-3</v>
      </c>
      <c r="I17" s="202">
        <v>255477.25749999998</v>
      </c>
      <c r="J17" s="202">
        <v>125648.35833333334</v>
      </c>
      <c r="K17" s="202">
        <v>26926.587499999998</v>
      </c>
      <c r="L17" s="203">
        <f t="shared" si="4"/>
        <v>5689117.3947102847</v>
      </c>
      <c r="M17" s="236">
        <f>+'COEF Art 14 F I '!AF18*'PART MES'!I$4</f>
        <v>154331.84079061769</v>
      </c>
      <c r="N17" s="236">
        <f>+'COEF Art 14 F I '!AF18*'PART MES'!I$5</f>
        <v>18005.745901838614</v>
      </c>
      <c r="O17" s="236">
        <f>+'COEF Art 14 F I '!AF18*'PART MES'!I$6</f>
        <v>5387.6499778384959</v>
      </c>
      <c r="P17" s="236">
        <f>+'COEF Art 14 F I '!AF18*'PART MES'!I$7</f>
        <v>-73705.681789606417</v>
      </c>
      <c r="Q17" s="201">
        <f>+'COEF Art 14 F I '!AF18*'PART MES'!I$8</f>
        <v>47713.904377925894</v>
      </c>
      <c r="R17" s="201">
        <f>+'COEF Art 14 F I '!AF18*'PART MES'!I$9</f>
        <v>887.87006542200697</v>
      </c>
      <c r="S17" s="204">
        <f t="shared" si="5"/>
        <v>152621.32932403628</v>
      </c>
      <c r="T17" s="205">
        <f t="shared" si="6"/>
        <v>5841738.7240343206</v>
      </c>
      <c r="V17" s="340">
        <v>255477.25749999998</v>
      </c>
      <c r="W17" s="341">
        <f t="shared" si="7"/>
        <v>8.2367609121972128E-3</v>
      </c>
    </row>
    <row r="18" spans="1:23" ht="12.75" customHeight="1">
      <c r="A18" s="200" t="s">
        <v>238</v>
      </c>
      <c r="B18" s="346">
        <f t="shared" si="0"/>
        <v>4.2224552986780605E-3</v>
      </c>
      <c r="C18" s="201">
        <v>2313598.33</v>
      </c>
      <c r="D18" s="346">
        <f t="shared" si="1"/>
        <v>4.2224552973543043E-3</v>
      </c>
      <c r="E18" s="202">
        <v>315972.19916666666</v>
      </c>
      <c r="F18" s="346">
        <f t="shared" si="2"/>
        <v>4.22245530872465E-3</v>
      </c>
      <c r="G18" s="202">
        <v>77690.47083333334</v>
      </c>
      <c r="H18" s="346">
        <f t="shared" si="3"/>
        <v>4.2224552972740239E-3</v>
      </c>
      <c r="I18" s="202">
        <v>130966.68833333334</v>
      </c>
      <c r="J18" s="202">
        <v>64411.797499999993</v>
      </c>
      <c r="K18" s="202">
        <v>13803.522499999999</v>
      </c>
      <c r="L18" s="203">
        <f t="shared" si="4"/>
        <v>2916443.0210006996</v>
      </c>
      <c r="M18" s="236">
        <f>+'COEF Art 14 F I '!AF19*'PART MES'!I$4</f>
        <v>236896.14873477342</v>
      </c>
      <c r="N18" s="236">
        <f>+'COEF Art 14 F I '!AF19*'PART MES'!I$5</f>
        <v>27638.443482505329</v>
      </c>
      <c r="O18" s="236">
        <f>+'COEF Art 14 F I '!AF19*'PART MES'!I$6</f>
        <v>8269.930067201778</v>
      </c>
      <c r="P18" s="236">
        <f>+'COEF Art 14 F I '!AF19*'PART MES'!I$7</f>
        <v>-113136.68045673934</v>
      </c>
      <c r="Q18" s="201">
        <f>+'COEF Art 14 F I '!AF19*'PART MES'!I$8</f>
        <v>73239.845584198134</v>
      </c>
      <c r="R18" s="201">
        <f>+'COEF Art 14 F I '!AF19*'PART MES'!I$9</f>
        <v>1362.861986210117</v>
      </c>
      <c r="S18" s="204">
        <f t="shared" si="5"/>
        <v>234270.54939814942</v>
      </c>
      <c r="T18" s="205">
        <f t="shared" si="6"/>
        <v>3150713.570398849</v>
      </c>
      <c r="V18" s="340">
        <v>130966.68833333334</v>
      </c>
      <c r="W18" s="341">
        <f t="shared" si="7"/>
        <v>4.2224552972740239E-3</v>
      </c>
    </row>
    <row r="19" spans="1:23" ht="12.75" customHeight="1">
      <c r="A19" s="200" t="s">
        <v>14</v>
      </c>
      <c r="B19" s="346">
        <f t="shared" si="0"/>
        <v>2.3104377152994793E-2</v>
      </c>
      <c r="C19" s="201">
        <v>12659517.890833333</v>
      </c>
      <c r="D19" s="346">
        <f t="shared" si="1"/>
        <v>2.3104377149899193E-2</v>
      </c>
      <c r="E19" s="202">
        <v>1728932.6575</v>
      </c>
      <c r="F19" s="346">
        <f t="shared" si="2"/>
        <v>2.3104377153551708E-2</v>
      </c>
      <c r="G19" s="202">
        <v>425105.72833333333</v>
      </c>
      <c r="H19" s="346">
        <f t="shared" si="3"/>
        <v>2.310437715398651E-2</v>
      </c>
      <c r="I19" s="202">
        <v>716621.8583333334</v>
      </c>
      <c r="J19" s="202">
        <v>352447.65250000003</v>
      </c>
      <c r="K19" s="202">
        <v>75529.9375</v>
      </c>
      <c r="L19" s="203">
        <f t="shared" si="4"/>
        <v>15958155.794313133</v>
      </c>
      <c r="M19" s="236">
        <f>+'COEF Art 14 F I '!AF20*'PART MES'!I$4</f>
        <v>345097.08736057038</v>
      </c>
      <c r="N19" s="236">
        <f>+'COEF Art 14 F I '!AF20*'PART MES'!I$5</f>
        <v>40262.141853859008</v>
      </c>
      <c r="O19" s="236">
        <f>+'COEF Art 14 F I '!AF20*'PART MES'!I$6</f>
        <v>12047.17254421122</v>
      </c>
      <c r="P19" s="236">
        <f>+'COEF Art 14 F I '!AF20*'PART MES'!I$7</f>
        <v>-164811.20148127282</v>
      </c>
      <c r="Q19" s="201">
        <f>+'COEF Art 14 F I '!AF20*'PART MES'!I$8</f>
        <v>106691.71923998727</v>
      </c>
      <c r="R19" s="201">
        <f>+'COEF Art 14 F I '!AF20*'PART MES'!I$9</f>
        <v>1985.3412747630546</v>
      </c>
      <c r="S19" s="204">
        <f t="shared" si="5"/>
        <v>341272.26079211809</v>
      </c>
      <c r="T19" s="205">
        <f t="shared" si="6"/>
        <v>16299428.05510525</v>
      </c>
      <c r="V19" s="340">
        <v>716621.8583333334</v>
      </c>
      <c r="W19" s="341">
        <f t="shared" si="7"/>
        <v>2.310437715398651E-2</v>
      </c>
    </row>
    <row r="20" spans="1:23" ht="12.75" customHeight="1">
      <c r="A20" s="200" t="s">
        <v>15</v>
      </c>
      <c r="B20" s="346">
        <f t="shared" si="0"/>
        <v>2.9304992644483946E-3</v>
      </c>
      <c r="C20" s="201">
        <v>1605700.4100000001</v>
      </c>
      <c r="D20" s="346">
        <f t="shared" si="1"/>
        <v>2.9304992637007284E-3</v>
      </c>
      <c r="E20" s="202">
        <v>219293.33333333334</v>
      </c>
      <c r="F20" s="346">
        <f t="shared" si="2"/>
        <v>2.930499245969925E-3</v>
      </c>
      <c r="G20" s="202">
        <v>53919.307499999995</v>
      </c>
      <c r="H20" s="346">
        <f t="shared" si="3"/>
        <v>2.9304992624299281E-3</v>
      </c>
      <c r="I20" s="202">
        <v>90894.457500000004</v>
      </c>
      <c r="J20" s="202">
        <v>44703.545833333337</v>
      </c>
      <c r="K20" s="202">
        <v>9580.0216666666656</v>
      </c>
      <c r="L20" s="203">
        <f t="shared" si="4"/>
        <v>2024091.0846248309</v>
      </c>
      <c r="M20" s="236">
        <f>+'COEF Art 14 F I '!AF21*'PART MES'!I$4</f>
        <v>49979.018037093934</v>
      </c>
      <c r="N20" s="236">
        <f>+'COEF Art 14 F I '!AF21*'PART MES'!I$5</f>
        <v>5831.0034701149671</v>
      </c>
      <c r="O20" s="236">
        <f>+'COEF Art 14 F I '!AF21*'PART MES'!I$6</f>
        <v>1744.7433662458373</v>
      </c>
      <c r="P20" s="236">
        <f>+'COEF Art 14 F I '!AF21*'PART MES'!I$7</f>
        <v>-23868.940982805871</v>
      </c>
      <c r="Q20" s="201">
        <f>+'COEF Art 14 F I '!AF21*'PART MES'!I$8</f>
        <v>15451.730992827675</v>
      </c>
      <c r="R20" s="201">
        <f>+'COEF Art 14 F I '!AF21*'PART MES'!I$9</f>
        <v>287.52896218302573</v>
      </c>
      <c r="S20" s="204">
        <f t="shared" si="5"/>
        <v>49425.083845659567</v>
      </c>
      <c r="T20" s="205">
        <f t="shared" si="6"/>
        <v>2073516.1684704905</v>
      </c>
      <c r="V20" s="340">
        <v>90894.457500000004</v>
      </c>
      <c r="W20" s="341">
        <f t="shared" si="7"/>
        <v>2.9304992624299281E-3</v>
      </c>
    </row>
    <row r="21" spans="1:23" ht="12.75" customHeight="1">
      <c r="A21" s="200" t="s">
        <v>239</v>
      </c>
      <c r="B21" s="346">
        <f t="shared" si="0"/>
        <v>2.0540740478368438E-3</v>
      </c>
      <c r="C21" s="201">
        <v>1125483.1491666667</v>
      </c>
      <c r="D21" s="346">
        <f t="shared" si="1"/>
        <v>2.0540740430941801E-3</v>
      </c>
      <c r="E21" s="202">
        <v>153709.21583333335</v>
      </c>
      <c r="F21" s="346">
        <f t="shared" si="2"/>
        <v>2.0540740553286548E-3</v>
      </c>
      <c r="G21" s="202">
        <v>37793.645833333336</v>
      </c>
      <c r="H21" s="346">
        <f t="shared" si="3"/>
        <v>2.0540740550401317E-3</v>
      </c>
      <c r="I21" s="202">
        <v>63710.627500000002</v>
      </c>
      <c r="J21" s="202">
        <v>31334.04416666667</v>
      </c>
      <c r="K21" s="202">
        <v>6714.9216666666662</v>
      </c>
      <c r="L21" s="203">
        <f t="shared" si="4"/>
        <v>1418745.6103288888</v>
      </c>
      <c r="M21" s="236">
        <f>+'COEF Art 14 F I '!AF22*'PART MES'!I$4</f>
        <v>36082.945057148543</v>
      </c>
      <c r="N21" s="236">
        <f>+'COEF Art 14 F I '!AF22*'PART MES'!I$5</f>
        <v>4209.7621382645857</v>
      </c>
      <c r="O21" s="236">
        <f>+'COEF Art 14 F I '!AF22*'PART MES'!I$6</f>
        <v>1259.6381740903357</v>
      </c>
      <c r="P21" s="236">
        <f>+'COEF Art 14 F I '!AF22*'PART MES'!I$7</f>
        <v>-17232.465139985055</v>
      </c>
      <c r="Q21" s="201">
        <f>+'COEF Art 14 F I '!AF22*'PART MES'!I$8</f>
        <v>11155.560520181423</v>
      </c>
      <c r="R21" s="201">
        <f>+'COEF Art 14 F I '!AF22*'PART MES'!I$9</f>
        <v>207.58494568838702</v>
      </c>
      <c r="S21" s="204">
        <f t="shared" si="5"/>
        <v>35683.025695388227</v>
      </c>
      <c r="T21" s="205">
        <f t="shared" si="6"/>
        <v>1454428.636024277</v>
      </c>
      <c r="V21" s="340">
        <v>63710.627500000002</v>
      </c>
      <c r="W21" s="341">
        <f t="shared" si="7"/>
        <v>2.0540740550401317E-3</v>
      </c>
    </row>
    <row r="22" spans="1:23" ht="12.75" customHeight="1">
      <c r="A22" s="200" t="s">
        <v>17</v>
      </c>
      <c r="B22" s="346">
        <f t="shared" si="0"/>
        <v>1.7897398190793959E-2</v>
      </c>
      <c r="C22" s="201">
        <v>9806472.2149999999</v>
      </c>
      <c r="D22" s="346">
        <f t="shared" si="1"/>
        <v>1.7897398190023586E-2</v>
      </c>
      <c r="E22" s="202">
        <v>1339287.1841666668</v>
      </c>
      <c r="F22" s="346">
        <f t="shared" si="2"/>
        <v>1.7897398186924731E-2</v>
      </c>
      <c r="G22" s="202">
        <v>329300.65333333332</v>
      </c>
      <c r="H22" s="346">
        <f t="shared" si="3"/>
        <v>1.7897398184518628E-2</v>
      </c>
      <c r="I22" s="202">
        <v>555118.48083333333</v>
      </c>
      <c r="J22" s="202">
        <v>273017.35666666663</v>
      </c>
      <c r="K22" s="202">
        <v>58507.933333333327</v>
      </c>
      <c r="L22" s="203">
        <f t="shared" si="4"/>
        <v>12361703.877025524</v>
      </c>
      <c r="M22" s="236">
        <f>+'COEF Art 14 F I '!AF23*'PART MES'!I$4</f>
        <v>322160.7350900548</v>
      </c>
      <c r="N22" s="236">
        <f>+'COEF Art 14 F I '!AF23*'PART MES'!I$5</f>
        <v>37586.179921555864</v>
      </c>
      <c r="O22" s="236">
        <f>+'COEF Art 14 F I '!AF23*'PART MES'!I$6</f>
        <v>11246.475570930179</v>
      </c>
      <c r="P22" s="236">
        <f>+'COEF Art 14 F I '!AF23*'PART MES'!I$7</f>
        <v>-153857.27600999892</v>
      </c>
      <c r="Q22" s="201">
        <f>+'COEF Art 14 F I '!AF23*'PART MES'!I$8</f>
        <v>99600.616630134027</v>
      </c>
      <c r="R22" s="201">
        <f>+'COEF Art 14 F I '!AF23*'PART MES'!I$9</f>
        <v>1853.3885909445974</v>
      </c>
      <c r="S22" s="204">
        <f t="shared" si="5"/>
        <v>318590.11979362054</v>
      </c>
      <c r="T22" s="205">
        <f t="shared" si="6"/>
        <v>12680293.996819144</v>
      </c>
      <c r="V22" s="340">
        <v>555118.48083333333</v>
      </c>
      <c r="W22" s="341">
        <f t="shared" si="7"/>
        <v>1.7897398184518628E-2</v>
      </c>
    </row>
    <row r="23" spans="1:23" ht="12.75" customHeight="1">
      <c r="A23" s="200" t="s">
        <v>240</v>
      </c>
      <c r="B23" s="346">
        <f t="shared" si="0"/>
        <v>2.2157092195119417E-2</v>
      </c>
      <c r="C23" s="201">
        <v>12140474.646666666</v>
      </c>
      <c r="D23" s="346">
        <f t="shared" si="1"/>
        <v>2.2157092193837855E-2</v>
      </c>
      <c r="E23" s="202">
        <v>1658046.0075000001</v>
      </c>
      <c r="F23" s="346">
        <f t="shared" si="2"/>
        <v>2.2157092202474311E-2</v>
      </c>
      <c r="G23" s="202">
        <v>407676.29249999998</v>
      </c>
      <c r="H23" s="346">
        <f t="shared" si="3"/>
        <v>2.2157092194442868E-2</v>
      </c>
      <c r="I23" s="202">
        <v>687240.19166666665</v>
      </c>
      <c r="J23" s="202">
        <v>337997.21500000003</v>
      </c>
      <c r="K23" s="202">
        <v>72433.191666666666</v>
      </c>
      <c r="L23" s="203">
        <f t="shared" si="4"/>
        <v>15303867.611471275</v>
      </c>
      <c r="M23" s="236">
        <f>+'COEF Art 14 F I '!AF24*'PART MES'!I$4</f>
        <v>1293044.0004832721</v>
      </c>
      <c r="N23" s="236">
        <f>+'COEF Art 14 F I '!AF24*'PART MES'!I$5</f>
        <v>150858.18709429976</v>
      </c>
      <c r="O23" s="236">
        <f>+'COEF Art 14 F I '!AF24*'PART MES'!I$6</f>
        <v>45139.541165710078</v>
      </c>
      <c r="P23" s="236">
        <f>+'COEF Art 14 F I '!AF24*'PART MES'!I$7</f>
        <v>-617530.95894760825</v>
      </c>
      <c r="Q23" s="201">
        <f>+'COEF Art 14 F I '!AF24*'PART MES'!I$8</f>
        <v>399763.11744517414</v>
      </c>
      <c r="R23" s="201">
        <f>+'COEF Art 14 F I '!AF24*'PART MES'!I$9</f>
        <v>7438.8736337317778</v>
      </c>
      <c r="S23" s="204">
        <f t="shared" si="5"/>
        <v>1278712.7608745799</v>
      </c>
      <c r="T23" s="205">
        <f t="shared" si="6"/>
        <v>16582580.372345855</v>
      </c>
      <c r="V23" s="340">
        <v>687240.19166666665</v>
      </c>
      <c r="W23" s="341">
        <f t="shared" si="7"/>
        <v>2.2157092194442868E-2</v>
      </c>
    </row>
    <row r="24" spans="1:23" ht="12.75" customHeight="1">
      <c r="A24" s="200" t="s">
        <v>19</v>
      </c>
      <c r="B24" s="346">
        <f t="shared" si="0"/>
        <v>3.4398861364585672E-3</v>
      </c>
      <c r="C24" s="201">
        <v>1884807.3591666666</v>
      </c>
      <c r="D24" s="346">
        <f t="shared" si="1"/>
        <v>3.4398861332167515E-3</v>
      </c>
      <c r="E24" s="202">
        <v>257411.46083333332</v>
      </c>
      <c r="F24" s="346">
        <f t="shared" si="2"/>
        <v>3.4398861507291194E-3</v>
      </c>
      <c r="G24" s="202">
        <v>63291.700000000004</v>
      </c>
      <c r="H24" s="346">
        <f t="shared" si="3"/>
        <v>3.4398861261275677E-3</v>
      </c>
      <c r="I24" s="202">
        <v>106693.96416666667</v>
      </c>
      <c r="J24" s="202">
        <v>52474.030833333331</v>
      </c>
      <c r="K24" s="202">
        <v>11245.245000000001</v>
      </c>
      <c r="L24" s="203">
        <f t="shared" si="4"/>
        <v>2375923.7703196583</v>
      </c>
      <c r="M24" s="236">
        <f>+'COEF Art 14 F I '!AF25*'PART MES'!I$4</f>
        <v>110599.45063864898</v>
      </c>
      <c r="N24" s="236">
        <f>+'COEF Art 14 F I '!AF25*'PART MES'!I$5</f>
        <v>12903.530437275269</v>
      </c>
      <c r="O24" s="236">
        <f>+'COEF Art 14 F I '!AF25*'PART MES'!I$6</f>
        <v>3860.9733722458905</v>
      </c>
      <c r="P24" s="236">
        <f>+'COEF Art 14 F I '!AF25*'PART MES'!I$7</f>
        <v>-52820.000546336509</v>
      </c>
      <c r="Q24" s="201">
        <f>+'COEF Art 14 F I '!AF25*'PART MES'!I$8</f>
        <v>34193.408080858237</v>
      </c>
      <c r="R24" s="201">
        <f>+'COEF Art 14 F I '!AF25*'PART MES'!I$9</f>
        <v>636.27791239398653</v>
      </c>
      <c r="S24" s="204">
        <f t="shared" si="5"/>
        <v>109373.63989508586</v>
      </c>
      <c r="T24" s="205">
        <f t="shared" si="6"/>
        <v>2485297.410214744</v>
      </c>
      <c r="V24" s="340">
        <v>106693.96416666667</v>
      </c>
      <c r="W24" s="341">
        <f t="shared" si="7"/>
        <v>3.4398861261275677E-3</v>
      </c>
    </row>
    <row r="25" spans="1:23" ht="12.75" customHeight="1">
      <c r="A25" s="200" t="s">
        <v>20</v>
      </c>
      <c r="B25" s="346">
        <f t="shared" si="0"/>
        <v>4.7021207699974518E-2</v>
      </c>
      <c r="C25" s="201">
        <v>25764201.137499999</v>
      </c>
      <c r="D25" s="346">
        <f t="shared" si="1"/>
        <v>4.7021207703241037E-2</v>
      </c>
      <c r="E25" s="202">
        <v>3518662.3325</v>
      </c>
      <c r="F25" s="346">
        <f t="shared" si="2"/>
        <v>4.7021207703736086E-2</v>
      </c>
      <c r="G25" s="202">
        <v>865160.07833333325</v>
      </c>
      <c r="H25" s="346">
        <f t="shared" si="3"/>
        <v>4.70212076892908E-2</v>
      </c>
      <c r="I25" s="202">
        <v>1458443.3508333333</v>
      </c>
      <c r="J25" s="202">
        <v>717288.94416666671</v>
      </c>
      <c r="K25" s="202">
        <v>153715.845</v>
      </c>
      <c r="L25" s="203">
        <f t="shared" si="4"/>
        <v>32477471.829396952</v>
      </c>
      <c r="M25" s="236">
        <f>+'COEF Art 14 F I '!AF26*'PART MES'!I$4</f>
        <v>1854454.9153767615</v>
      </c>
      <c r="N25" s="236">
        <f>+'COEF Art 14 F I '!AF26*'PART MES'!I$5</f>
        <v>216357.45301574565</v>
      </c>
      <c r="O25" s="236">
        <f>+'COEF Art 14 F I '!AF26*'PART MES'!I$6</f>
        <v>64738.124890813153</v>
      </c>
      <c r="P25" s="236">
        <f>+'COEF Art 14 F I '!AF26*'PART MES'!I$7</f>
        <v>-885649.15176104428</v>
      </c>
      <c r="Q25" s="201">
        <f>+'COEF Art 14 F I '!AF26*'PART MES'!I$8</f>
        <v>573331.36216204998</v>
      </c>
      <c r="R25" s="201">
        <f>+'COEF Art 14 F I '!AF26*'PART MES'!I$9</f>
        <v>10668.666936148049</v>
      </c>
      <c r="S25" s="204">
        <f t="shared" si="5"/>
        <v>1833901.3706204738</v>
      </c>
      <c r="T25" s="205">
        <f t="shared" si="6"/>
        <v>34311373.200017422</v>
      </c>
      <c r="V25" s="340">
        <v>1458443.3508333333</v>
      </c>
      <c r="W25" s="341">
        <f t="shared" si="7"/>
        <v>4.70212076892908E-2</v>
      </c>
    </row>
    <row r="26" spans="1:23" s="1" customFormat="1" ht="12.75" customHeight="1">
      <c r="A26" s="200" t="s">
        <v>241</v>
      </c>
      <c r="B26" s="346">
        <f t="shared" si="0"/>
        <v>6.9425035917534987E-3</v>
      </c>
      <c r="C26" s="201">
        <v>3803986.9175</v>
      </c>
      <c r="D26" s="346">
        <f t="shared" si="1"/>
        <v>6.9425035948134234E-3</v>
      </c>
      <c r="E26" s="202">
        <v>519517.19416666665</v>
      </c>
      <c r="F26" s="346">
        <f t="shared" si="2"/>
        <v>6.9425036084074217E-3</v>
      </c>
      <c r="G26" s="202">
        <v>127737.61583333333</v>
      </c>
      <c r="H26" s="346">
        <f t="shared" si="3"/>
        <v>6.9425035912357887E-3</v>
      </c>
      <c r="I26" s="202">
        <v>215333.64833333332</v>
      </c>
      <c r="J26" s="202">
        <v>105905.00166666666</v>
      </c>
      <c r="K26" s="202">
        <v>22695.563333333335</v>
      </c>
      <c r="L26" s="203">
        <f t="shared" si="4"/>
        <v>4795175.9616608443</v>
      </c>
      <c r="M26" s="236">
        <f>+'COEF Art 14 F I '!AF27*'PART MES'!I$4</f>
        <v>149140.76670445371</v>
      </c>
      <c r="N26" s="236">
        <f>+'COEF Art 14 F I '!AF27*'PART MES'!I$5</f>
        <v>17400.108332337342</v>
      </c>
      <c r="O26" s="236">
        <f>+'COEF Art 14 F I '!AF27*'PART MES'!I$6</f>
        <v>5206.4320901880592</v>
      </c>
      <c r="P26" s="236">
        <f>+'COEF Art 14 F I '!AF27*'PART MES'!I$7</f>
        <v>-71226.53262128825</v>
      </c>
      <c r="Q26" s="201">
        <f>+'COEF Art 14 F I '!AF27*'PART MES'!I$8</f>
        <v>46109.009294078664</v>
      </c>
      <c r="R26" s="201">
        <f>+'COEF Art 14 F I '!AF27*'PART MES'!I$9</f>
        <v>858.0058503327441</v>
      </c>
      <c r="S26" s="204">
        <f t="shared" si="5"/>
        <v>147487.78965010226</v>
      </c>
      <c r="T26" s="205">
        <f t="shared" si="6"/>
        <v>4942663.7513109464</v>
      </c>
      <c r="V26" s="340">
        <v>215333.64833333332</v>
      </c>
      <c r="W26" s="341">
        <f t="shared" si="7"/>
        <v>6.9425035912357887E-3</v>
      </c>
    </row>
    <row r="27" spans="1:23" ht="12.75" customHeight="1">
      <c r="A27" s="200" t="s">
        <v>22</v>
      </c>
      <c r="B27" s="346">
        <f t="shared" si="0"/>
        <v>1.130412546866887E-3</v>
      </c>
      <c r="C27" s="201">
        <v>619383.84083333332</v>
      </c>
      <c r="D27" s="346">
        <f t="shared" si="1"/>
        <v>1.1304125512818862E-3</v>
      </c>
      <c r="E27" s="202">
        <v>84590.342499999999</v>
      </c>
      <c r="F27" s="346">
        <f t="shared" si="2"/>
        <v>1.1304125269341223E-3</v>
      </c>
      <c r="G27" s="202">
        <v>20798.865833333333</v>
      </c>
      <c r="H27" s="346">
        <f t="shared" si="3"/>
        <v>1.1304125414445905E-3</v>
      </c>
      <c r="I27" s="202">
        <v>35061.682500000003</v>
      </c>
      <c r="J27" s="202">
        <v>17243.9725</v>
      </c>
      <c r="K27" s="202">
        <v>3695.4033333333332</v>
      </c>
      <c r="L27" s="203">
        <f t="shared" si="4"/>
        <v>780774.11089123774</v>
      </c>
      <c r="M27" s="236">
        <f>+'COEF Art 14 F I '!AF28*'PART MES'!I$4</f>
        <v>29234.267447754188</v>
      </c>
      <c r="N27" s="236">
        <f>+'COEF Art 14 F I '!AF28*'PART MES'!I$5</f>
        <v>3410.7335763901197</v>
      </c>
      <c r="O27" s="236">
        <f>+'COEF Art 14 F I '!AF28*'PART MES'!I$6</f>
        <v>1020.5541485162709</v>
      </c>
      <c r="P27" s="236">
        <f>+'COEF Art 14 F I '!AF28*'PART MES'!I$7</f>
        <v>-13961.678956319509</v>
      </c>
      <c r="Q27" s="201">
        <f>+'COEF Art 14 F I '!AF28*'PART MES'!I$8</f>
        <v>9038.1935083201206</v>
      </c>
      <c r="R27" s="201">
        <f>+'COEF Art 14 F I '!AF28*'PART MES'!I$9</f>
        <v>168.18454842780517</v>
      </c>
      <c r="S27" s="204">
        <f t="shared" si="5"/>
        <v>28910.254273088995</v>
      </c>
      <c r="T27" s="205">
        <f t="shared" si="6"/>
        <v>809684.36516432674</v>
      </c>
      <c r="V27" s="340">
        <v>35061.682500000003</v>
      </c>
      <c r="W27" s="341">
        <f t="shared" si="7"/>
        <v>1.1304125414445905E-3</v>
      </c>
    </row>
    <row r="28" spans="1:23" ht="12.75" customHeight="1">
      <c r="A28" s="200" t="s">
        <v>23</v>
      </c>
      <c r="B28" s="346">
        <f t="shared" si="0"/>
        <v>5.1639461677341339E-3</v>
      </c>
      <c r="C28" s="201">
        <v>2829466.8350000004</v>
      </c>
      <c r="D28" s="346">
        <f t="shared" si="1"/>
        <v>5.1639461719934724E-3</v>
      </c>
      <c r="E28" s="202">
        <v>386425.27</v>
      </c>
      <c r="F28" s="346">
        <f t="shared" si="2"/>
        <v>5.1639461720652041E-3</v>
      </c>
      <c r="G28" s="202">
        <v>95013.299166666679</v>
      </c>
      <c r="H28" s="346">
        <f t="shared" si="3"/>
        <v>5.1639461764604305E-3</v>
      </c>
      <c r="I28" s="202">
        <v>160168.64166666666</v>
      </c>
      <c r="J28" s="202">
        <v>78773.848333333342</v>
      </c>
      <c r="K28" s="202">
        <v>16881.326666666668</v>
      </c>
      <c r="L28" s="203">
        <f t="shared" si="4"/>
        <v>3566729.2363251722</v>
      </c>
      <c r="M28" s="236">
        <f>+'COEF Art 14 F I '!AF29*'PART MES'!I$4</f>
        <v>83623.168977538051</v>
      </c>
      <c r="N28" s="236">
        <f>+'COEF Art 14 F I '!AF29*'PART MES'!I$5</f>
        <v>9756.2338685433479</v>
      </c>
      <c r="O28" s="236">
        <f>+'COEF Art 14 F I '!AF29*'PART MES'!I$6</f>
        <v>2919.2444163214245</v>
      </c>
      <c r="P28" s="236">
        <f>+'COEF Art 14 F I '!AF29*'PART MES'!I$7</f>
        <v>-39936.688704821085</v>
      </c>
      <c r="Q28" s="201">
        <f>+'COEF Art 14 F I '!AF29*'PART MES'!I$8</f>
        <v>25853.303297189428</v>
      </c>
      <c r="R28" s="201">
        <f>+'COEF Art 14 F I '!AF29*'PART MES'!I$9</f>
        <v>481.0835413517334</v>
      </c>
      <c r="S28" s="204">
        <f t="shared" si="5"/>
        <v>82696.34539612291</v>
      </c>
      <c r="T28" s="205">
        <f t="shared" si="6"/>
        <v>3649425.5817212951</v>
      </c>
      <c r="V28" s="340">
        <v>160168.64166666666</v>
      </c>
      <c r="W28" s="341">
        <f t="shared" si="7"/>
        <v>5.1639461764604305E-3</v>
      </c>
    </row>
    <row r="29" spans="1:23" ht="12.75" customHeight="1">
      <c r="A29" s="200" t="s">
        <v>24</v>
      </c>
      <c r="B29" s="346">
        <f t="shared" si="0"/>
        <v>5.1356521485919748E-3</v>
      </c>
      <c r="C29" s="201">
        <v>2813963.7708333335</v>
      </c>
      <c r="D29" s="346">
        <f t="shared" si="1"/>
        <v>5.1356521521579504E-3</v>
      </c>
      <c r="E29" s="202">
        <v>384307.9891666667</v>
      </c>
      <c r="F29" s="346">
        <f t="shared" si="2"/>
        <v>5.1356521609333865E-3</v>
      </c>
      <c r="G29" s="202">
        <v>94492.707500000004</v>
      </c>
      <c r="H29" s="346">
        <f t="shared" si="3"/>
        <v>5.1356521573067571E-3</v>
      </c>
      <c r="I29" s="202">
        <v>159291.05416666667</v>
      </c>
      <c r="J29" s="202">
        <v>78342.235000000001</v>
      </c>
      <c r="K29" s="202">
        <v>16788.830833333333</v>
      </c>
      <c r="L29" s="203">
        <f t="shared" si="4"/>
        <v>3547186.6029069568</v>
      </c>
      <c r="M29" s="236">
        <f>+'COEF Art 14 F I '!AF30*'PART MES'!I$4</f>
        <v>309589.04754557536</v>
      </c>
      <c r="N29" s="236">
        <f>+'COEF Art 14 F I '!AF30*'PART MES'!I$5</f>
        <v>36119.453351564945</v>
      </c>
      <c r="O29" s="236">
        <f>+'COEF Art 14 F I '!AF30*'PART MES'!I$6</f>
        <v>10807.604034289212</v>
      </c>
      <c r="P29" s="236">
        <f>+'COEF Art 14 F I '!AF30*'PART MES'!I$7</f>
        <v>-147853.29914453218</v>
      </c>
      <c r="Q29" s="201">
        <f>+'COEF Art 14 F I '!AF30*'PART MES'!I$8</f>
        <v>95713.898929538031</v>
      </c>
      <c r="R29" s="201">
        <f>+'COEF Art 14 F I '!AF30*'PART MES'!I$9</f>
        <v>1781.0637551530929</v>
      </c>
      <c r="S29" s="204">
        <f t="shared" si="5"/>
        <v>306157.76847158844</v>
      </c>
      <c r="T29" s="205">
        <f t="shared" si="6"/>
        <v>3853344.3713785452</v>
      </c>
      <c r="V29" s="340">
        <v>159291.05416666667</v>
      </c>
      <c r="W29" s="341">
        <f t="shared" si="7"/>
        <v>5.1356521573067571E-3</v>
      </c>
    </row>
    <row r="30" spans="1:23" ht="12.75" customHeight="1">
      <c r="A30" s="200" t="s">
        <v>25</v>
      </c>
      <c r="B30" s="346">
        <f t="shared" si="0"/>
        <v>8.0421059107526963E-2</v>
      </c>
      <c r="C30" s="201">
        <v>44064889.94833333</v>
      </c>
      <c r="D30" s="346">
        <f t="shared" si="1"/>
        <v>8.042105910582982E-2</v>
      </c>
      <c r="E30" s="202">
        <v>6018019.6391666671</v>
      </c>
      <c r="F30" s="346">
        <f t="shared" si="2"/>
        <v>8.0421059088268451E-2</v>
      </c>
      <c r="G30" s="202">
        <v>1479695.9325000001</v>
      </c>
      <c r="H30" s="346">
        <f t="shared" si="3"/>
        <v>8.0421059110259083E-2</v>
      </c>
      <c r="I30" s="202">
        <v>2494396.9899999998</v>
      </c>
      <c r="J30" s="202">
        <v>1226789.7691666668</v>
      </c>
      <c r="K30" s="202">
        <v>262902.45750000002</v>
      </c>
      <c r="L30" s="203">
        <f t="shared" si="4"/>
        <v>55546694.977929845</v>
      </c>
      <c r="M30" s="236">
        <f>+'COEF Art 14 F I '!AF31*'PART MES'!I$4</f>
        <v>2186804.8906339644</v>
      </c>
      <c r="N30" s="236">
        <f>+'COEF Art 14 F I '!AF31*'PART MES'!I$5</f>
        <v>255132.40168678711</v>
      </c>
      <c r="O30" s="236">
        <f>+'COEF Art 14 F I '!AF31*'PART MES'!I$6</f>
        <v>76340.301911810297</v>
      </c>
      <c r="P30" s="236">
        <f>+'COEF Art 14 F I '!AF31*'PART MES'!I$7</f>
        <v>-1044372.5972509795</v>
      </c>
      <c r="Q30" s="201">
        <f>+'COEF Art 14 F I '!AF31*'PART MES'!I$8</f>
        <v>676082.12868042779</v>
      </c>
      <c r="R30" s="201">
        <f>+'COEF Art 14 F I '!AF31*'PART MES'!I$9</f>
        <v>12580.674158785636</v>
      </c>
      <c r="S30" s="204">
        <f t="shared" si="5"/>
        <v>2162567.7998207957</v>
      </c>
      <c r="T30" s="205">
        <f t="shared" si="6"/>
        <v>57709262.777750641</v>
      </c>
      <c r="V30" s="340">
        <v>2494396.9899999998</v>
      </c>
      <c r="W30" s="341">
        <f t="shared" si="7"/>
        <v>8.0421059110259083E-2</v>
      </c>
    </row>
    <row r="31" spans="1:23" ht="12.75" customHeight="1">
      <c r="A31" s="200" t="s">
        <v>212</v>
      </c>
      <c r="B31" s="346">
        <f t="shared" si="0"/>
        <v>2.0708092454272318E-3</v>
      </c>
      <c r="C31" s="201">
        <v>1134652.82</v>
      </c>
      <c r="D31" s="346">
        <f t="shared" si="1"/>
        <v>2.0708092438317862E-3</v>
      </c>
      <c r="E31" s="202">
        <v>154961.53416666665</v>
      </c>
      <c r="F31" s="346">
        <f t="shared" si="2"/>
        <v>2.0708092398353966E-3</v>
      </c>
      <c r="G31" s="202">
        <v>38101.5625</v>
      </c>
      <c r="H31" s="346">
        <f t="shared" si="3"/>
        <v>2.0708092524995832E-3</v>
      </c>
      <c r="I31" s="202">
        <v>64229.698333333334</v>
      </c>
      <c r="J31" s="202">
        <v>31589.3325</v>
      </c>
      <c r="K31" s="202">
        <v>6769.63</v>
      </c>
      <c r="L31" s="203">
        <f t="shared" si="4"/>
        <v>1430304.5837124276</v>
      </c>
      <c r="M31" s="236">
        <f>+'COEF Art 14 F I '!AF32*'PART MES'!I$4</f>
        <v>30470.4962505859</v>
      </c>
      <c r="N31" s="236">
        <f>+'COEF Art 14 F I '!AF32*'PART MES'!I$5</f>
        <v>3554.9631895813541</v>
      </c>
      <c r="O31" s="236">
        <f>+'COEF Art 14 F I '!AF32*'PART MES'!I$6</f>
        <v>1063.7102985891242</v>
      </c>
      <c r="P31" s="236">
        <f>+'COEF Art 14 F I '!AF32*'PART MES'!I$7</f>
        <v>-14552.07615688345</v>
      </c>
      <c r="Q31" s="201">
        <f>+'COEF Art 14 F I '!AF32*'PART MES'!I$8</f>
        <v>9420.3913916951769</v>
      </c>
      <c r="R31" s="201">
        <f>+'COEF Art 14 F I '!AF32*'PART MES'!I$9</f>
        <v>175.29656460297602</v>
      </c>
      <c r="S31" s="204">
        <f t="shared" si="5"/>
        <v>30132.781538171083</v>
      </c>
      <c r="T31" s="205">
        <f t="shared" si="6"/>
        <v>1460437.3652505986</v>
      </c>
      <c r="V31" s="340">
        <v>64229.698333333334</v>
      </c>
      <c r="W31" s="341">
        <f t="shared" si="7"/>
        <v>2.0708092524995832E-3</v>
      </c>
    </row>
    <row r="32" spans="1:23" ht="12.75" customHeight="1">
      <c r="A32" s="200" t="s">
        <v>27</v>
      </c>
      <c r="B32" s="346">
        <f t="shared" si="0"/>
        <v>3.5645779099368535E-3</v>
      </c>
      <c r="C32" s="201">
        <v>1953129.38</v>
      </c>
      <c r="D32" s="346">
        <f t="shared" si="1"/>
        <v>3.5645779124969176E-3</v>
      </c>
      <c r="E32" s="202">
        <v>266742.32</v>
      </c>
      <c r="F32" s="346">
        <f t="shared" si="2"/>
        <v>3.5645779044372154E-3</v>
      </c>
      <c r="G32" s="202">
        <v>65585.948333333334</v>
      </c>
      <c r="H32" s="346">
        <f t="shared" si="3"/>
        <v>3.5645779025248567E-3</v>
      </c>
      <c r="I32" s="202">
        <v>110561.49333333333</v>
      </c>
      <c r="J32" s="202">
        <v>54376.151666666665</v>
      </c>
      <c r="K32" s="202">
        <v>11652.871666666666</v>
      </c>
      <c r="L32" s="203">
        <f t="shared" si="4"/>
        <v>2462048.1756937336</v>
      </c>
      <c r="M32" s="236">
        <f>+'COEF Art 14 F I '!AF33*'PART MES'!I$4</f>
        <v>57858.05863062077</v>
      </c>
      <c r="N32" s="236">
        <f>+'COEF Art 14 F I '!AF33*'PART MES'!I$5</f>
        <v>6750.2434801514482</v>
      </c>
      <c r="O32" s="236">
        <f>+'COEF Art 14 F I '!AF33*'PART MES'!I$6</f>
        <v>2019.7968656510236</v>
      </c>
      <c r="P32" s="236">
        <f>+'COEF Art 14 F I '!AF33*'PART MES'!I$7</f>
        <v>-27631.807127723812</v>
      </c>
      <c r="Q32" s="201">
        <f>+'COEF Art 14 F I '!AF33*'PART MES'!I$8</f>
        <v>17887.649514523884</v>
      </c>
      <c r="R32" s="201">
        <f>+'COEF Art 14 F I '!AF33*'PART MES'!I$9</f>
        <v>332.85703091725549</v>
      </c>
      <c r="S32" s="204">
        <f t="shared" si="5"/>
        <v>57216.798394140562</v>
      </c>
      <c r="T32" s="205">
        <f t="shared" si="6"/>
        <v>2519264.9740878744</v>
      </c>
      <c r="V32" s="340">
        <v>110561.49333333333</v>
      </c>
      <c r="W32" s="341">
        <f t="shared" si="7"/>
        <v>3.5645779025248567E-3</v>
      </c>
    </row>
    <row r="33" spans="1:23" ht="12.75" customHeight="1">
      <c r="A33" s="200" t="s">
        <v>28</v>
      </c>
      <c r="B33" s="346">
        <f t="shared" si="0"/>
        <v>2.045796338559747E-3</v>
      </c>
      <c r="C33" s="201">
        <v>1120947.5666666667</v>
      </c>
      <c r="D33" s="346">
        <f t="shared" si="1"/>
        <v>2.0457963337011491E-3</v>
      </c>
      <c r="E33" s="202">
        <v>153089.78333333333</v>
      </c>
      <c r="F33" s="346">
        <f t="shared" si="2"/>
        <v>2.0457963212784269E-3</v>
      </c>
      <c r="G33" s="202">
        <v>37641.340833333335</v>
      </c>
      <c r="H33" s="346">
        <f t="shared" si="3"/>
        <v>2.0457963406439513E-3</v>
      </c>
      <c r="I33" s="202">
        <v>63453.880000000005</v>
      </c>
      <c r="J33" s="202">
        <v>31207.771666666667</v>
      </c>
      <c r="K33" s="202">
        <v>6687.8616666666667</v>
      </c>
      <c r="L33" s="203">
        <f t="shared" si="4"/>
        <v>1413028.2103040554</v>
      </c>
      <c r="M33" s="236">
        <f>+'COEF Art 14 F I '!AF34*'PART MES'!I$4</f>
        <v>43705.552592879605</v>
      </c>
      <c r="N33" s="236">
        <f>+'COEF Art 14 F I '!AF34*'PART MES'!I$5</f>
        <v>5099.0843526222961</v>
      </c>
      <c r="O33" s="236">
        <f>+'COEF Art 14 F I '!AF34*'PART MES'!I$6</f>
        <v>1525.7397193746297</v>
      </c>
      <c r="P33" s="236">
        <f>+'COEF Art 14 F I '!AF34*'PART MES'!I$7</f>
        <v>-20872.864182447618</v>
      </c>
      <c r="Q33" s="201">
        <f>+'COEF Art 14 F I '!AF34*'PART MES'!I$8</f>
        <v>13512.199080358825</v>
      </c>
      <c r="R33" s="201">
        <f>+'COEF Art 14 F I '!AF34*'PART MES'!I$9</f>
        <v>251.43775672702304</v>
      </c>
      <c r="S33" s="204">
        <f t="shared" si="5"/>
        <v>43221.149319514756</v>
      </c>
      <c r="T33" s="205">
        <f t="shared" si="6"/>
        <v>1456249.3596235702</v>
      </c>
      <c r="V33" s="340">
        <v>63453.880000000005</v>
      </c>
      <c r="W33" s="341">
        <f t="shared" si="7"/>
        <v>2.0457963406439513E-3</v>
      </c>
    </row>
    <row r="34" spans="1:23" ht="12.75" customHeight="1">
      <c r="A34" s="200" t="s">
        <v>29</v>
      </c>
      <c r="B34" s="346">
        <f t="shared" si="0"/>
        <v>2.8536600265404799E-3</v>
      </c>
      <c r="C34" s="201">
        <v>1563598.0975000001</v>
      </c>
      <c r="D34" s="346">
        <f t="shared" si="1"/>
        <v>2.8536600299820152E-3</v>
      </c>
      <c r="E34" s="202">
        <v>213543.34666666668</v>
      </c>
      <c r="F34" s="346">
        <f t="shared" si="2"/>
        <v>2.8536600199615442E-3</v>
      </c>
      <c r="G34" s="202">
        <v>52505.515000000007</v>
      </c>
      <c r="H34" s="346">
        <f t="shared" si="3"/>
        <v>2.8536600191324808E-3</v>
      </c>
      <c r="I34" s="202">
        <v>88511.156666666662</v>
      </c>
      <c r="J34" s="202">
        <v>43531.395833333336</v>
      </c>
      <c r="K34" s="202">
        <v>9328.8283333333329</v>
      </c>
      <c r="L34" s="203">
        <f t="shared" si="4"/>
        <v>1971018.3485609801</v>
      </c>
      <c r="M34" s="236">
        <f>+'COEF Art 14 F I '!AF35*'PART MES'!I$4</f>
        <v>51084.77599068026</v>
      </c>
      <c r="N34" s="236">
        <f>+'COEF Art 14 F I '!AF35*'PART MES'!I$5</f>
        <v>5960.0111761023818</v>
      </c>
      <c r="O34" s="236">
        <f>+'COEF Art 14 F I '!AF35*'PART MES'!I$6</f>
        <v>1783.3448420243619</v>
      </c>
      <c r="P34" s="236">
        <f>+'COEF Art 14 F I '!AF35*'PART MES'!I$7</f>
        <v>-24397.028015564927</v>
      </c>
      <c r="Q34" s="201">
        <f>+'COEF Art 14 F I '!AF35*'PART MES'!I$8</f>
        <v>15793.591939941814</v>
      </c>
      <c r="R34" s="201">
        <f>+'COEF Art 14 F I '!AF35*'PART MES'!I$9</f>
        <v>293.89038042026147</v>
      </c>
      <c r="S34" s="204">
        <f t="shared" si="5"/>
        <v>50518.586313604144</v>
      </c>
      <c r="T34" s="205">
        <f t="shared" si="6"/>
        <v>2021536.9348745842</v>
      </c>
      <c r="V34" s="340">
        <v>88511.156666666662</v>
      </c>
      <c r="W34" s="341">
        <f t="shared" si="7"/>
        <v>2.8536600191324808E-3</v>
      </c>
    </row>
    <row r="35" spans="1:23" ht="12.75" customHeight="1">
      <c r="A35" s="200" t="s">
        <v>30</v>
      </c>
      <c r="B35" s="346">
        <f t="shared" si="0"/>
        <v>2.7195745105938825E-3</v>
      </c>
      <c r="C35" s="201">
        <v>1490128.9891666668</v>
      </c>
      <c r="D35" s="346">
        <f t="shared" si="1"/>
        <v>2.7195745100998207E-3</v>
      </c>
      <c r="E35" s="202">
        <v>203509.54083333336</v>
      </c>
      <c r="F35" s="346">
        <f t="shared" si="2"/>
        <v>2.7195745060017837E-3</v>
      </c>
      <c r="G35" s="202">
        <v>50038.427499999998</v>
      </c>
      <c r="H35" s="346">
        <f t="shared" si="3"/>
        <v>2.7195745171458207E-3</v>
      </c>
      <c r="I35" s="202">
        <v>84352.264999999999</v>
      </c>
      <c r="J35" s="202">
        <v>41485.976666666662</v>
      </c>
      <c r="K35" s="202">
        <v>8890.4925000000003</v>
      </c>
      <c r="L35" s="203">
        <f t="shared" si="4"/>
        <v>1878405.6998253902</v>
      </c>
      <c r="M35" s="236">
        <f>+'COEF Art 14 F I '!AF36*'PART MES'!I$4</f>
        <v>53295.275473920752</v>
      </c>
      <c r="N35" s="236">
        <f>+'COEF Art 14 F I '!AF36*'PART MES'!I$5</f>
        <v>6217.9080028846975</v>
      </c>
      <c r="O35" s="236">
        <f>+'COEF Art 14 F I '!AF36*'PART MES'!I$6</f>
        <v>1860.5123107131474</v>
      </c>
      <c r="P35" s="236">
        <f>+'COEF Art 14 F I '!AF36*'PART MES'!I$7</f>
        <v>-25452.7166581235</v>
      </c>
      <c r="Q35" s="201">
        <f>+'COEF Art 14 F I '!AF36*'PART MES'!I$8</f>
        <v>16476.9995921183</v>
      </c>
      <c r="R35" s="201">
        <f>+'COEF Art 14 F I '!AF36*'PART MES'!I$9</f>
        <v>306.60736941453359</v>
      </c>
      <c r="S35" s="204">
        <f t="shared" si="5"/>
        <v>52704.586090927922</v>
      </c>
      <c r="T35" s="205">
        <f t="shared" si="6"/>
        <v>1931110.2859163182</v>
      </c>
      <c r="V35" s="340">
        <v>84352.264999999999</v>
      </c>
      <c r="W35" s="341">
        <f t="shared" si="7"/>
        <v>2.7195745171458207E-3</v>
      </c>
    </row>
    <row r="36" spans="1:23" ht="12.75" customHeight="1">
      <c r="A36" s="200" t="s">
        <v>242</v>
      </c>
      <c r="B36" s="346">
        <f t="shared" si="0"/>
        <v>2.522123925925621E-2</v>
      </c>
      <c r="C36" s="201">
        <v>13819404.328333333</v>
      </c>
      <c r="D36" s="346">
        <f t="shared" si="1"/>
        <v>2.5221239260040482E-2</v>
      </c>
      <c r="E36" s="202">
        <v>1887340.3916666666</v>
      </c>
      <c r="F36" s="346">
        <f t="shared" si="2"/>
        <v>2.5221239265995142E-2</v>
      </c>
      <c r="G36" s="202">
        <v>464054.63416666671</v>
      </c>
      <c r="H36" s="346">
        <f t="shared" si="3"/>
        <v>2.5221239264739653E-2</v>
      </c>
      <c r="I36" s="202">
        <v>782279.96499999997</v>
      </c>
      <c r="J36" s="202">
        <v>384739.5025</v>
      </c>
      <c r="K36" s="202">
        <v>82450.117500000008</v>
      </c>
      <c r="L36" s="203">
        <f t="shared" si="4"/>
        <v>17420269.014830388</v>
      </c>
      <c r="M36" s="236">
        <f>+'COEF Art 14 F I '!AF37*'PART MES'!I$4</f>
        <v>1592135.1628153569</v>
      </c>
      <c r="N36" s="236">
        <f>+'COEF Art 14 F I '!AF37*'PART MES'!I$5</f>
        <v>185752.86237873061</v>
      </c>
      <c r="O36" s="236">
        <f>+'COEF Art 14 F I '!AF37*'PART MES'!I$6</f>
        <v>55580.669100523839</v>
      </c>
      <c r="P36" s="236">
        <f>+'COEF Art 14 F I '!AF37*'PART MES'!I$7</f>
        <v>-760370.68614842801</v>
      </c>
      <c r="Q36" s="201">
        <f>+'COEF Art 14 F I '!AF37*'PART MES'!I$8</f>
        <v>492231.44443906419</v>
      </c>
      <c r="R36" s="201">
        <f>+'COEF Art 14 F I '!AF37*'PART MES'!I$9</f>
        <v>9159.5431242694449</v>
      </c>
      <c r="S36" s="204">
        <f t="shared" si="5"/>
        <v>1574488.9957095173</v>
      </c>
      <c r="T36" s="205">
        <f t="shared" si="6"/>
        <v>18994758.010539904</v>
      </c>
      <c r="V36" s="340">
        <v>782279.96499999997</v>
      </c>
      <c r="W36" s="341">
        <f t="shared" si="7"/>
        <v>2.5221239264739653E-2</v>
      </c>
    </row>
    <row r="37" spans="1:23" ht="12.75" customHeight="1">
      <c r="A37" s="200" t="s">
        <v>32</v>
      </c>
      <c r="B37" s="346">
        <f t="shared" si="0"/>
        <v>4.8624005988842384E-3</v>
      </c>
      <c r="C37" s="201">
        <v>2664241.8000000003</v>
      </c>
      <c r="D37" s="346">
        <f t="shared" si="1"/>
        <v>4.8624006018403937E-3</v>
      </c>
      <c r="E37" s="202">
        <v>363860.1958333333</v>
      </c>
      <c r="F37" s="346">
        <f t="shared" si="2"/>
        <v>4.862400611804504E-3</v>
      </c>
      <c r="G37" s="202">
        <v>89465.054166666654</v>
      </c>
      <c r="H37" s="346">
        <f t="shared" si="3"/>
        <v>4.8624005861269944E-3</v>
      </c>
      <c r="I37" s="202">
        <v>150815.68833333332</v>
      </c>
      <c r="J37" s="202">
        <v>74173.896666666667</v>
      </c>
      <c r="K37" s="202">
        <v>15895.551666666666</v>
      </c>
      <c r="L37" s="203">
        <f t="shared" si="4"/>
        <v>3358452.2012538691</v>
      </c>
      <c r="M37" s="236">
        <f>+'COEF Art 14 F I '!AF38*'PART MES'!I$4</f>
        <v>126733.89243953497</v>
      </c>
      <c r="N37" s="236">
        <f>+'COEF Art 14 F I '!AF38*'PART MES'!I$5</f>
        <v>14785.920084456991</v>
      </c>
      <c r="O37" s="236">
        <f>+'COEF Art 14 F I '!AF38*'PART MES'!I$6</f>
        <v>4424.2189382008355</v>
      </c>
      <c r="P37" s="236">
        <f>+'COEF Art 14 F I '!AF38*'PART MES'!I$7</f>
        <v>-60525.474848573445</v>
      </c>
      <c r="Q37" s="201">
        <f>+'COEF Art 14 F I '!AF38*'PART MES'!I$8</f>
        <v>39181.602411561027</v>
      </c>
      <c r="R37" s="201">
        <f>+'COEF Art 14 F I '!AF38*'PART MES'!I$9</f>
        <v>729.09924999946065</v>
      </c>
      <c r="S37" s="204">
        <f t="shared" si="5"/>
        <v>125329.25827517985</v>
      </c>
      <c r="T37" s="205">
        <f t="shared" si="6"/>
        <v>3483781.4595290488</v>
      </c>
      <c r="V37" s="340">
        <v>150815.68833333332</v>
      </c>
      <c r="W37" s="341">
        <f t="shared" si="7"/>
        <v>4.8624005861269944E-3</v>
      </c>
    </row>
    <row r="38" spans="1:23" s="1" customFormat="1" ht="12.75" customHeight="1">
      <c r="A38" s="200" t="s">
        <v>33</v>
      </c>
      <c r="B38" s="346">
        <f t="shared" si="0"/>
        <v>1.7827541222552108E-2</v>
      </c>
      <c r="C38" s="201">
        <v>9768195.6783333328</v>
      </c>
      <c r="D38" s="346">
        <f t="shared" si="1"/>
        <v>1.7827541220030194E-2</v>
      </c>
      <c r="E38" s="202">
        <v>1334059.69</v>
      </c>
      <c r="F38" s="346">
        <f t="shared" si="2"/>
        <v>1.7827541224107457E-2</v>
      </c>
      <c r="G38" s="202">
        <v>328015.33</v>
      </c>
      <c r="H38" s="346">
        <f t="shared" si="3"/>
        <v>1.7827541225031125E-2</v>
      </c>
      <c r="I38" s="202">
        <v>552951.74749999994</v>
      </c>
      <c r="J38" s="202">
        <v>271951.71833333332</v>
      </c>
      <c r="K38" s="202">
        <v>58279.565833333334</v>
      </c>
      <c r="L38" s="203">
        <f t="shared" si="4"/>
        <v>12313453.783482622</v>
      </c>
      <c r="M38" s="236">
        <f>+'COEF Art 14 F I '!AF39*'PART MES'!I$4</f>
        <v>354718.17436429881</v>
      </c>
      <c r="N38" s="236">
        <f>+'COEF Art 14 F I '!AF39*'PART MES'!I$5</f>
        <v>41384.624725839029</v>
      </c>
      <c r="O38" s="236">
        <f>+'COEF Art 14 F I '!AF39*'PART MES'!I$6</f>
        <v>12383.040041915368</v>
      </c>
      <c r="P38" s="236">
        <f>+'COEF Art 14 F I '!AF39*'PART MES'!I$7</f>
        <v>-169406.03281053173</v>
      </c>
      <c r="Q38" s="201">
        <f>+'COEF Art 14 F I '!AF39*'PART MES'!I$8</f>
        <v>109666.21642058146</v>
      </c>
      <c r="R38" s="201">
        <f>+'COEF Art 14 F I '!AF39*'PART MES'!I$9</f>
        <v>2040.6913250421835</v>
      </c>
      <c r="S38" s="204">
        <f t="shared" si="5"/>
        <v>350786.71406714508</v>
      </c>
      <c r="T38" s="205">
        <f t="shared" si="6"/>
        <v>12664240.497549767</v>
      </c>
      <c r="V38" s="340">
        <v>552951.74749999994</v>
      </c>
      <c r="W38" s="341">
        <f t="shared" si="7"/>
        <v>1.7827541225031125E-2</v>
      </c>
    </row>
    <row r="39" spans="1:23" ht="12.75" customHeight="1">
      <c r="A39" s="200" t="s">
        <v>243</v>
      </c>
      <c r="B39" s="346">
        <f t="shared" si="0"/>
        <v>3.8037956441703239E-3</v>
      </c>
      <c r="C39" s="201">
        <v>2084203.2958333334</v>
      </c>
      <c r="D39" s="346">
        <f t="shared" si="1"/>
        <v>3.8037956391355618E-3</v>
      </c>
      <c r="E39" s="202">
        <v>284643.315</v>
      </c>
      <c r="F39" s="346">
        <f t="shared" si="2"/>
        <v>3.8037956591256469E-3</v>
      </c>
      <c r="G39" s="202">
        <v>69987.401666666658</v>
      </c>
      <c r="H39" s="346">
        <f t="shared" si="3"/>
        <v>3.8037956460077195E-3</v>
      </c>
      <c r="I39" s="202">
        <v>117981.24166666665</v>
      </c>
      <c r="J39" s="202">
        <v>58025.318333333329</v>
      </c>
      <c r="K39" s="202">
        <v>12434.8925</v>
      </c>
      <c r="L39" s="203">
        <f t="shared" si="4"/>
        <v>2627275.4764113873</v>
      </c>
      <c r="M39" s="236">
        <f>+'COEF Art 14 F I '!AF40*'PART MES'!I$4</f>
        <v>64536.097359292718</v>
      </c>
      <c r="N39" s="236">
        <f>+'COEF Art 14 F I '!AF40*'PART MES'!I$5</f>
        <v>7529.3637696206733</v>
      </c>
      <c r="O39" s="236">
        <f>+'COEF Art 14 F I '!AF40*'PART MES'!I$6</f>
        <v>2252.9239703639569</v>
      </c>
      <c r="P39" s="236">
        <f>+'COEF Art 14 F I '!AF40*'PART MES'!I$7</f>
        <v>-30821.099726014945</v>
      </c>
      <c r="Q39" s="201">
        <f>+'COEF Art 14 F I '!AF40*'PART MES'!I$8</f>
        <v>19952.261066486335</v>
      </c>
      <c r="R39" s="201">
        <f>+'COEF Art 14 F I '!AF40*'PART MES'!I$9</f>
        <v>371.27574381889747</v>
      </c>
      <c r="S39" s="204">
        <f t="shared" si="5"/>
        <v>63820.822183567638</v>
      </c>
      <c r="T39" s="205">
        <f t="shared" si="6"/>
        <v>2691096.2985949549</v>
      </c>
      <c r="V39" s="340">
        <v>117981.24166666665</v>
      </c>
      <c r="W39" s="341">
        <f t="shared" si="7"/>
        <v>3.8037956460077195E-3</v>
      </c>
    </row>
    <row r="40" spans="1:23" ht="12.75" customHeight="1">
      <c r="A40" s="200" t="s">
        <v>35</v>
      </c>
      <c r="B40" s="346">
        <f t="shared" si="0"/>
        <v>3.6562210002390257E-3</v>
      </c>
      <c r="C40" s="201">
        <v>2003343.1266666667</v>
      </c>
      <c r="D40" s="346">
        <f t="shared" si="1"/>
        <v>3.6562210050394253E-3</v>
      </c>
      <c r="E40" s="202">
        <v>273600.10000000003</v>
      </c>
      <c r="F40" s="346">
        <f t="shared" si="2"/>
        <v>3.6562209976648244E-3</v>
      </c>
      <c r="G40" s="202">
        <v>67272.122499999998</v>
      </c>
      <c r="H40" s="346">
        <f t="shared" si="3"/>
        <v>3.6562209921184221E-3</v>
      </c>
      <c r="I40" s="202">
        <v>113403.96083333333</v>
      </c>
      <c r="J40" s="202">
        <v>55774.129166666673</v>
      </c>
      <c r="K40" s="202">
        <v>11952.46</v>
      </c>
      <c r="L40" s="203">
        <f t="shared" si="4"/>
        <v>2525345.9101353302</v>
      </c>
      <c r="M40" s="236">
        <f>+'COEF Art 14 F I '!AF41*'PART MES'!I$4</f>
        <v>11824.984112130644</v>
      </c>
      <c r="N40" s="236">
        <f>+'COEF Art 14 F I '!AF41*'PART MES'!I$5</f>
        <v>1379.609406105438</v>
      </c>
      <c r="O40" s="236">
        <f>+'COEF Art 14 F I '!AF41*'PART MES'!I$6</f>
        <v>412.80448067806816</v>
      </c>
      <c r="P40" s="236">
        <f>+'COEF Art 14 F I '!AF41*'PART MES'!I$7</f>
        <v>-5647.3668147217377</v>
      </c>
      <c r="Q40" s="201">
        <f>+'COEF Art 14 F I '!AF41*'PART MES'!I$8</f>
        <v>3655.8636137967646</v>
      </c>
      <c r="R40" s="201">
        <f>+'COEF Art 14 F I '!AF41*'PART MES'!I$9</f>
        <v>68.02905585436325</v>
      </c>
      <c r="S40" s="204">
        <f t="shared" si="5"/>
        <v>11693.92385384354</v>
      </c>
      <c r="T40" s="205">
        <f t="shared" si="6"/>
        <v>2537039.8339891736</v>
      </c>
      <c r="V40" s="340">
        <v>113403.96083333333</v>
      </c>
      <c r="W40" s="341">
        <f t="shared" si="7"/>
        <v>3.6562209921184221E-3</v>
      </c>
    </row>
    <row r="41" spans="1:23" ht="12.75" customHeight="1">
      <c r="A41" s="200" t="s">
        <v>36</v>
      </c>
      <c r="B41" s="346">
        <f t="shared" si="0"/>
        <v>3.9344779604671204E-3</v>
      </c>
      <c r="C41" s="201">
        <v>2155807.6983333332</v>
      </c>
      <c r="D41" s="346">
        <f t="shared" si="1"/>
        <v>3.9344779637371288E-3</v>
      </c>
      <c r="E41" s="202">
        <v>294422.45500000002</v>
      </c>
      <c r="F41" s="346">
        <f t="shared" si="2"/>
        <v>3.934477974807094E-3</v>
      </c>
      <c r="G41" s="202">
        <v>72391.872499999998</v>
      </c>
      <c r="H41" s="346">
        <f t="shared" si="3"/>
        <v>3.9344779559820561E-3</v>
      </c>
      <c r="I41" s="202">
        <v>122034.5775</v>
      </c>
      <c r="J41" s="202">
        <v>60018.823333333334</v>
      </c>
      <c r="K41" s="202">
        <v>12862.102500000001</v>
      </c>
      <c r="L41" s="203">
        <f t="shared" si="4"/>
        <v>2717537.5409701006</v>
      </c>
      <c r="M41" s="236">
        <f>+'COEF Art 14 F I '!AF42*'PART MES'!I$4</f>
        <v>92091.038128152111</v>
      </c>
      <c r="N41" s="236">
        <f>+'COEF Art 14 F I '!AF42*'PART MES'!I$5</f>
        <v>10744.171934174479</v>
      </c>
      <c r="O41" s="236">
        <f>+'COEF Art 14 F I '!AF42*'PART MES'!I$6</f>
        <v>3214.8536360905355</v>
      </c>
      <c r="P41" s="236">
        <f>+'COEF Art 14 F I '!AF42*'PART MES'!I$7</f>
        <v>-43980.767139017589</v>
      </c>
      <c r="Q41" s="201">
        <f>+'COEF Art 14 F I '!AF42*'PART MES'!I$8</f>
        <v>28471.266621331615</v>
      </c>
      <c r="R41" s="201">
        <f>+'COEF Art 14 F I '!AF42*'PART MES'!I$9</f>
        <v>529.79913690366413</v>
      </c>
      <c r="S41" s="204">
        <f t="shared" si="5"/>
        <v>91070.362317634819</v>
      </c>
      <c r="T41" s="205">
        <f t="shared" si="6"/>
        <v>2808607.9032877353</v>
      </c>
      <c r="V41" s="340">
        <v>122034.5775</v>
      </c>
      <c r="W41" s="341">
        <f t="shared" si="7"/>
        <v>3.9344779559820561E-3</v>
      </c>
    </row>
    <row r="42" spans="1:23" ht="12.75" customHeight="1">
      <c r="A42" s="200" t="s">
        <v>37</v>
      </c>
      <c r="B42" s="346">
        <f t="shared" si="0"/>
        <v>5.4073805596657433E-3</v>
      </c>
      <c r="C42" s="201">
        <v>2962851.1724999999</v>
      </c>
      <c r="D42" s="346">
        <f t="shared" si="1"/>
        <v>5.407380556017213E-3</v>
      </c>
      <c r="E42" s="202">
        <v>404641.80333333329</v>
      </c>
      <c r="F42" s="346">
        <f t="shared" si="2"/>
        <v>5.4073805591692723E-3</v>
      </c>
      <c r="G42" s="202">
        <v>99492.335833333331</v>
      </c>
      <c r="H42" s="346">
        <f t="shared" si="3"/>
        <v>5.4073805712193338E-3</v>
      </c>
      <c r="I42" s="202">
        <v>167719.17666666667</v>
      </c>
      <c r="J42" s="202">
        <v>82487.339166666658</v>
      </c>
      <c r="K42" s="202">
        <v>17677.131666666664</v>
      </c>
      <c r="L42" s="203">
        <f t="shared" si="4"/>
        <v>3734868.9753888082</v>
      </c>
      <c r="M42" s="236">
        <f>+'COEF Art 14 F I '!AF43*'PART MES'!I$4</f>
        <v>120246.85375225272</v>
      </c>
      <c r="N42" s="236">
        <f>+'COEF Art 14 F I '!AF43*'PART MES'!I$5</f>
        <v>14029.083584223257</v>
      </c>
      <c r="O42" s="236">
        <f>+'COEF Art 14 F I '!AF43*'PART MES'!I$6</f>
        <v>4197.7595526279629</v>
      </c>
      <c r="P42" s="236">
        <f>+'COEF Art 14 F I '!AF43*'PART MES'!I$7</f>
        <v>-57427.399903103353</v>
      </c>
      <c r="Q42" s="201">
        <f>+'COEF Art 14 F I '!AF43*'PART MES'!I$8</f>
        <v>37176.041264650186</v>
      </c>
      <c r="R42" s="201">
        <f>+'COEF Art 14 F I '!AF43*'PART MES'!I$9</f>
        <v>691.77935908021402</v>
      </c>
      <c r="S42" s="204">
        <f t="shared" si="5"/>
        <v>118914.11760973098</v>
      </c>
      <c r="T42" s="205">
        <f t="shared" si="6"/>
        <v>3853783.0929985391</v>
      </c>
      <c r="V42" s="340">
        <v>167719.17666666667</v>
      </c>
      <c r="W42" s="341">
        <f t="shared" si="7"/>
        <v>5.4073805712193338E-3</v>
      </c>
    </row>
    <row r="43" spans="1:23" s="1" customFormat="1" ht="12.75" customHeight="1">
      <c r="A43" s="200" t="s">
        <v>38</v>
      </c>
      <c r="B43" s="346">
        <f t="shared" si="0"/>
        <v>1.2686214131127917E-2</v>
      </c>
      <c r="C43" s="201">
        <v>6951122.4516666671</v>
      </c>
      <c r="D43" s="346">
        <f t="shared" si="1"/>
        <v>1.2686214132083101E-2</v>
      </c>
      <c r="E43" s="202">
        <v>949327.03749999998</v>
      </c>
      <c r="F43" s="346">
        <f t="shared" si="2"/>
        <v>1.2686214137197546E-2</v>
      </c>
      <c r="G43" s="202">
        <v>233418.20750000002</v>
      </c>
      <c r="H43" s="346">
        <f t="shared" si="3"/>
        <v>1.2686214143552841E-2</v>
      </c>
      <c r="I43" s="202">
        <v>393484.67583333334</v>
      </c>
      <c r="J43" s="202">
        <v>193522.91416666668</v>
      </c>
      <c r="K43" s="202">
        <v>41472.183333333334</v>
      </c>
      <c r="L43" s="203">
        <f t="shared" si="4"/>
        <v>8762347.5080586448</v>
      </c>
      <c r="M43" s="236">
        <f>+'COEF Art 14 F I '!AF44*'PART MES'!I$4</f>
        <v>275378.50171251193</v>
      </c>
      <c r="N43" s="236">
        <f>+'COEF Art 14 F I '!AF44*'PART MES'!I$5</f>
        <v>32128.142211376751</v>
      </c>
      <c r="O43" s="236">
        <f>+'COEF Art 14 F I '!AF44*'PART MES'!I$6</f>
        <v>9613.330412234729</v>
      </c>
      <c r="P43" s="236">
        <f>+'COEF Art 14 F I '!AF44*'PART MES'!I$7</f>
        <v>-131515.05298545567</v>
      </c>
      <c r="Q43" s="201">
        <f>+'COEF Art 14 F I '!AF44*'PART MES'!I$8</f>
        <v>85137.217512188727</v>
      </c>
      <c r="R43" s="201">
        <f>+'COEF Art 14 F I '!AF44*'PART MES'!I$9</f>
        <v>1584.2507098908793</v>
      </c>
      <c r="S43" s="204">
        <f t="shared" si="5"/>
        <v>272326.38957274728</v>
      </c>
      <c r="T43" s="205">
        <f t="shared" si="6"/>
        <v>9034673.8976313919</v>
      </c>
      <c r="V43" s="340">
        <v>393484.67583333334</v>
      </c>
      <c r="W43" s="341">
        <f t="shared" si="7"/>
        <v>1.2686214143552841E-2</v>
      </c>
    </row>
    <row r="44" spans="1:23" ht="12.75" customHeight="1">
      <c r="A44" s="200" t="s">
        <v>39</v>
      </c>
      <c r="B44" s="346">
        <f t="shared" si="0"/>
        <v>0.26254387381838923</v>
      </c>
      <c r="C44" s="201">
        <v>143854943.40416667</v>
      </c>
      <c r="D44" s="346">
        <f t="shared" si="1"/>
        <v>0.26254387382378169</v>
      </c>
      <c r="E44" s="202">
        <v>19646523.017500002</v>
      </c>
      <c r="F44" s="346">
        <f t="shared" si="2"/>
        <v>0.26254387380665273</v>
      </c>
      <c r="G44" s="202">
        <v>4830638.9716666667</v>
      </c>
      <c r="H44" s="346">
        <f t="shared" si="3"/>
        <v>0.26254387384492123</v>
      </c>
      <c r="I44" s="202">
        <v>8143248.2474999996</v>
      </c>
      <c r="J44" s="202">
        <v>4004997.4716666662</v>
      </c>
      <c r="K44" s="202">
        <v>858275.56166666665</v>
      </c>
      <c r="L44" s="203">
        <f t="shared" si="4"/>
        <v>181338627.46179834</v>
      </c>
      <c r="M44" s="236">
        <f>+'COEF Art 14 F I '!AF45*'PART MES'!I$4</f>
        <v>9407455.2217861116</v>
      </c>
      <c r="N44" s="236">
        <f>+'COEF Art 14 F I '!AF45*'PART MES'!I$5</f>
        <v>1097558.6595653642</v>
      </c>
      <c r="O44" s="236">
        <f>+'COEF Art 14 F I '!AF45*'PART MES'!I$6</f>
        <v>328409.71543866815</v>
      </c>
      <c r="P44" s="236">
        <f>+'COEF Art 14 F I '!AF45*'PART MES'!I$7</f>
        <v>-4492805.2271964569</v>
      </c>
      <c r="Q44" s="201">
        <f>+'COEF Art 14 F I '!AF45*'PART MES'!I$8</f>
        <v>2908449.8480187259</v>
      </c>
      <c r="R44" s="201">
        <f>+'COEF Art 14 F I '!AF45*'PART MES'!I$9</f>
        <v>54121.028042125297</v>
      </c>
      <c r="S44" s="204">
        <f t="shared" si="5"/>
        <v>9303189.2456545383</v>
      </c>
      <c r="T44" s="205">
        <f t="shared" si="6"/>
        <v>190641816.70745289</v>
      </c>
      <c r="V44" s="340">
        <v>8143248.2474999996</v>
      </c>
      <c r="W44" s="341">
        <f t="shared" si="7"/>
        <v>0.26254387384492123</v>
      </c>
    </row>
    <row r="45" spans="1:23" ht="12.75" customHeight="1">
      <c r="A45" s="200" t="s">
        <v>244</v>
      </c>
      <c r="B45" s="346">
        <f t="shared" si="0"/>
        <v>1.394574012118E-3</v>
      </c>
      <c r="C45" s="201">
        <v>764125.10666666657</v>
      </c>
      <c r="D45" s="346">
        <f t="shared" si="1"/>
        <v>1.3945740103081671E-3</v>
      </c>
      <c r="E45" s="202">
        <v>104357.91166666667</v>
      </c>
      <c r="F45" s="346">
        <f t="shared" si="2"/>
        <v>1.3945739948698454E-3</v>
      </c>
      <c r="G45" s="202">
        <v>25659.267500000002</v>
      </c>
      <c r="H45" s="346">
        <f t="shared" si="3"/>
        <v>1.394574013653843E-3</v>
      </c>
      <c r="I45" s="202">
        <v>43255.103333333333</v>
      </c>
      <c r="J45" s="202">
        <v>21273.645833333332</v>
      </c>
      <c r="K45" s="202">
        <v>4558.9666666666662</v>
      </c>
      <c r="L45" s="203">
        <f t="shared" si="4"/>
        <v>963230.00585038867</v>
      </c>
      <c r="M45" s="236">
        <f>+'COEF Art 14 F I '!AF46*'PART MES'!I$4</f>
        <v>60462.207606756507</v>
      </c>
      <c r="N45" s="236">
        <f>+'COEF Art 14 F I '!AF46*'PART MES'!I$5</f>
        <v>7054.0670107633105</v>
      </c>
      <c r="O45" s="236">
        <f>+'COEF Art 14 F I '!AF46*'PART MES'!I$6</f>
        <v>2110.7064478972479</v>
      </c>
      <c r="P45" s="236">
        <f>+'COEF Art 14 F I '!AF46*'PART MES'!I$7</f>
        <v>-28875.494592245122</v>
      </c>
      <c r="Q45" s="201">
        <f>+'COEF Art 14 F I '!AF46*'PART MES'!I$8</f>
        <v>18692.759559195678</v>
      </c>
      <c r="R45" s="201">
        <f>+'COEF Art 14 F I '!AF46*'PART MES'!I$9</f>
        <v>347.83868285612647</v>
      </c>
      <c r="S45" s="204">
        <f t="shared" si="5"/>
        <v>59792.08471522374</v>
      </c>
      <c r="T45" s="205">
        <f t="shared" si="6"/>
        <v>1023022.0905656124</v>
      </c>
      <c r="V45" s="340">
        <v>43255.103333333333</v>
      </c>
      <c r="W45" s="341">
        <f t="shared" si="7"/>
        <v>1.394574013653843E-3</v>
      </c>
    </row>
    <row r="46" spans="1:23" s="1" customFormat="1" ht="12.75" customHeight="1">
      <c r="A46" s="200" t="s">
        <v>245</v>
      </c>
      <c r="B46" s="346">
        <f t="shared" si="0"/>
        <v>5.8189583540360574E-3</v>
      </c>
      <c r="C46" s="201">
        <v>3188365.8625000003</v>
      </c>
      <c r="D46" s="346">
        <f t="shared" si="1"/>
        <v>5.8189583488149777E-3</v>
      </c>
      <c r="E46" s="202">
        <v>435440.7416666667</v>
      </c>
      <c r="F46" s="346">
        <f t="shared" si="2"/>
        <v>5.8189583497159246E-3</v>
      </c>
      <c r="G46" s="202">
        <v>107065.10333333333</v>
      </c>
      <c r="H46" s="346">
        <f t="shared" si="3"/>
        <v>5.8189583418368149E-3</v>
      </c>
      <c r="I46" s="202">
        <v>180484.96666666667</v>
      </c>
      <c r="J46" s="202">
        <v>88765.786666666667</v>
      </c>
      <c r="K46" s="202">
        <v>19022.61</v>
      </c>
      <c r="L46" s="203">
        <f t="shared" si="4"/>
        <v>4019145.088290209</v>
      </c>
      <c r="M46" s="236">
        <f>+'COEF Art 14 F I '!AF47*'PART MES'!I$4</f>
        <v>443071.02069036628</v>
      </c>
      <c r="N46" s="236">
        <f>+'COEF Art 14 F I '!AF47*'PART MES'!I$5</f>
        <v>51692.665454839909</v>
      </c>
      <c r="O46" s="236">
        <f>+'COEF Art 14 F I '!AF47*'PART MES'!I$6</f>
        <v>15467.395208756247</v>
      </c>
      <c r="P46" s="236">
        <f>+'COEF Art 14 F I '!AF47*'PART MES'!I$7</f>
        <v>-211601.51718468696</v>
      </c>
      <c r="Q46" s="201">
        <f>+'COEF Art 14 F I '!AF47*'PART MES'!I$8</f>
        <v>136981.76737574019</v>
      </c>
      <c r="R46" s="201">
        <f>+'COEF Art 14 F I '!AF47*'PART MES'!I$9</f>
        <v>2548.9846690849963</v>
      </c>
      <c r="S46" s="204">
        <f t="shared" si="5"/>
        <v>438160.31621410069</v>
      </c>
      <c r="T46" s="205">
        <f t="shared" si="6"/>
        <v>4457305.4045043094</v>
      </c>
      <c r="V46" s="340">
        <v>180484.96666666667</v>
      </c>
      <c r="W46" s="341">
        <f t="shared" si="7"/>
        <v>5.8189583418368149E-3</v>
      </c>
    </row>
    <row r="47" spans="1:23" ht="12.75" customHeight="1">
      <c r="A47" s="200" t="s">
        <v>213</v>
      </c>
      <c r="B47" s="346">
        <f t="shared" si="0"/>
        <v>2.8758962509314889E-3</v>
      </c>
      <c r="C47" s="201">
        <v>1575781.9308333334</v>
      </c>
      <c r="D47" s="346">
        <f t="shared" si="1"/>
        <v>2.8758962533065057E-3</v>
      </c>
      <c r="E47" s="202">
        <v>215207.31416666668</v>
      </c>
      <c r="F47" s="346">
        <f t="shared" si="2"/>
        <v>2.8758962566333849E-3</v>
      </c>
      <c r="G47" s="202">
        <v>52914.647499999999</v>
      </c>
      <c r="H47" s="346">
        <f t="shared" si="3"/>
        <v>2.8758962560207599E-3</v>
      </c>
      <c r="I47" s="202">
        <v>89200.851666666669</v>
      </c>
      <c r="J47" s="202">
        <v>43870.6</v>
      </c>
      <c r="K47" s="202">
        <v>9401.52</v>
      </c>
      <c r="L47" s="203">
        <f t="shared" si="4"/>
        <v>1986376.8727943553</v>
      </c>
      <c r="M47" s="236">
        <f>+'COEF Art 14 F I '!AF48*'PART MES'!I$4</f>
        <v>67733.753875618931</v>
      </c>
      <c r="N47" s="236">
        <f>+'COEF Art 14 F I '!AF48*'PART MES'!I$5</f>
        <v>7902.4312482393079</v>
      </c>
      <c r="O47" s="236">
        <f>+'COEF Art 14 F I '!AF48*'PART MES'!I$6</f>
        <v>2364.5526140130214</v>
      </c>
      <c r="P47" s="236">
        <f>+'COEF Art 14 F I '!AF48*'PART MES'!I$7</f>
        <v>-32348.234064965491</v>
      </c>
      <c r="Q47" s="201">
        <f>+'COEF Art 14 F I '!AF48*'PART MES'!I$8</f>
        <v>20940.862488408311</v>
      </c>
      <c r="R47" s="201">
        <f>+'COEF Art 14 F I '!AF48*'PART MES'!I$9</f>
        <v>389.67184073450073</v>
      </c>
      <c r="S47" s="204">
        <f t="shared" si="5"/>
        <v>66983.03800204859</v>
      </c>
      <c r="T47" s="205">
        <f t="shared" si="6"/>
        <v>2053359.9107964039</v>
      </c>
      <c r="V47" s="340">
        <v>89200.851666666669</v>
      </c>
      <c r="W47" s="341">
        <f t="shared" si="7"/>
        <v>2.8758962560207599E-3</v>
      </c>
    </row>
    <row r="48" spans="1:23" ht="12.75" customHeight="1">
      <c r="A48" s="200" t="s">
        <v>43</v>
      </c>
      <c r="B48" s="346">
        <f t="shared" si="0"/>
        <v>3.2226555439758839E-3</v>
      </c>
      <c r="C48" s="201">
        <v>1765780.7975000001</v>
      </c>
      <c r="D48" s="346">
        <f t="shared" si="1"/>
        <v>3.2226555477104383E-3</v>
      </c>
      <c r="E48" s="202">
        <v>241155.79416666666</v>
      </c>
      <c r="F48" s="346">
        <f t="shared" si="2"/>
        <v>3.2226555298308316E-3</v>
      </c>
      <c r="G48" s="202">
        <v>59294.795833333337</v>
      </c>
      <c r="H48" s="346">
        <f t="shared" si="3"/>
        <v>3.2226555334004762E-3</v>
      </c>
      <c r="I48" s="202">
        <v>99956.184999999998</v>
      </c>
      <c r="J48" s="202">
        <v>49160.268333333333</v>
      </c>
      <c r="K48" s="202">
        <v>10535.101666666667</v>
      </c>
      <c r="L48" s="203">
        <f t="shared" si="4"/>
        <v>2225882.9521679669</v>
      </c>
      <c r="M48" s="236">
        <f>+'COEF Art 14 F I '!AF49*'PART MES'!I$4</f>
        <v>62506.684854351392</v>
      </c>
      <c r="N48" s="236">
        <f>+'COEF Art 14 F I '!AF49*'PART MES'!I$5</f>
        <v>7292.5941846355336</v>
      </c>
      <c r="O48" s="236">
        <f>+'COEF Art 14 F I '!AF49*'PART MES'!I$6</f>
        <v>2182.078160573441</v>
      </c>
      <c r="P48" s="236">
        <f>+'COEF Art 14 F I '!AF49*'PART MES'!I$7</f>
        <v>-29851.89446323325</v>
      </c>
      <c r="Q48" s="201">
        <f>+'COEF Art 14 F I '!AF49*'PART MES'!I$8</f>
        <v>19324.839053581632</v>
      </c>
      <c r="R48" s="201">
        <f>+'COEF Art 14 F I '!AF49*'PART MES'!I$9</f>
        <v>359.60054702023376</v>
      </c>
      <c r="S48" s="204">
        <f t="shared" si="5"/>
        <v>61813.902336928979</v>
      </c>
      <c r="T48" s="205">
        <f t="shared" si="6"/>
        <v>2287696.8545048959</v>
      </c>
      <c r="V48" s="340">
        <v>99956.184999999998</v>
      </c>
      <c r="W48" s="341">
        <f t="shared" si="7"/>
        <v>3.2226555334004762E-3</v>
      </c>
    </row>
    <row r="49" spans="1:23" ht="12.75" customHeight="1">
      <c r="A49" s="200" t="s">
        <v>44</v>
      </c>
      <c r="B49" s="346">
        <f t="shared" si="0"/>
        <v>9.2720853114895158E-3</v>
      </c>
      <c r="C49" s="201">
        <v>5080428.2283333335</v>
      </c>
      <c r="D49" s="346">
        <f t="shared" si="1"/>
        <v>9.2720853158560698E-3</v>
      </c>
      <c r="E49" s="202">
        <v>693843.03249999997</v>
      </c>
      <c r="F49" s="346">
        <f t="shared" si="2"/>
        <v>9.2720853150187726E-3</v>
      </c>
      <c r="G49" s="202">
        <v>170600.42583333334</v>
      </c>
      <c r="H49" s="346">
        <f t="shared" si="3"/>
        <v>9.2720853128843185E-3</v>
      </c>
      <c r="I49" s="202">
        <v>287589.61833333335</v>
      </c>
      <c r="J49" s="202">
        <v>141441.80083333334</v>
      </c>
      <c r="K49" s="202">
        <v>30311.140833333335</v>
      </c>
      <c r="L49" s="203">
        <f t="shared" si="4"/>
        <v>6404214.2744829226</v>
      </c>
      <c r="M49" s="236">
        <f>+'COEF Art 14 F I '!AF50*'PART MES'!I$4</f>
        <v>165203.20141216871</v>
      </c>
      <c r="N49" s="236">
        <f>+'COEF Art 14 F I '!AF50*'PART MES'!I$5</f>
        <v>19274.096981927607</v>
      </c>
      <c r="O49" s="236">
        <f>+'COEF Art 14 F I '!AF50*'PART MES'!I$6</f>
        <v>5767.1639233193719</v>
      </c>
      <c r="P49" s="236">
        <f>+'COEF Art 14 F I '!AF50*'PART MES'!I$7</f>
        <v>-78897.617831367228</v>
      </c>
      <c r="Q49" s="201">
        <f>+'COEF Art 14 F I '!AF50*'PART MES'!I$8</f>
        <v>51074.941598096018</v>
      </c>
      <c r="R49" s="201">
        <f>+'COEF Art 14 F I '!AF50*'PART MES'!I$9</f>
        <v>950.41293160461225</v>
      </c>
      <c r="S49" s="204">
        <f t="shared" si="5"/>
        <v>163372.19901574909</v>
      </c>
      <c r="T49" s="205">
        <f t="shared" si="6"/>
        <v>6567586.4734986713</v>
      </c>
      <c r="V49" s="340">
        <v>287589.61833333335</v>
      </c>
      <c r="W49" s="341">
        <f t="shared" si="7"/>
        <v>9.2720853128843185E-3</v>
      </c>
    </row>
    <row r="50" spans="1:23" ht="12.75" customHeight="1">
      <c r="A50" s="200" t="s">
        <v>45</v>
      </c>
      <c r="B50" s="346">
        <f t="shared" si="0"/>
        <v>8.0282653571620618E-3</v>
      </c>
      <c r="C50" s="201">
        <v>4398905.3783333329</v>
      </c>
      <c r="D50" s="346">
        <f t="shared" si="1"/>
        <v>8.0282653540577013E-3</v>
      </c>
      <c r="E50" s="202">
        <v>600766.25583333336</v>
      </c>
      <c r="F50" s="346">
        <f t="shared" si="2"/>
        <v>8.028265349625998E-3</v>
      </c>
      <c r="G50" s="202">
        <v>147714.93583333332</v>
      </c>
      <c r="H50" s="346">
        <f t="shared" si="3"/>
        <v>8.0282653679346373E-3</v>
      </c>
      <c r="I50" s="202">
        <v>249010.41083333336</v>
      </c>
      <c r="J50" s="202">
        <v>122467.84499999999</v>
      </c>
      <c r="K50" s="202">
        <v>26245</v>
      </c>
      <c r="L50" s="203">
        <f t="shared" si="4"/>
        <v>5545109.849918128</v>
      </c>
      <c r="M50" s="236">
        <f>+'COEF Art 14 F I '!AF51*'PART MES'!I$4</f>
        <v>339302.07227139227</v>
      </c>
      <c r="N50" s="236">
        <f>+'COEF Art 14 F I '!AF51*'PART MES'!I$5</f>
        <v>39586.04307438145</v>
      </c>
      <c r="O50" s="236">
        <f>+'COEF Art 14 F I '!AF51*'PART MES'!I$6</f>
        <v>11844.871368012962</v>
      </c>
      <c r="P50" s="236">
        <f>+'COEF Art 14 F I '!AF51*'PART MES'!I$7</f>
        <v>-162043.62263337706</v>
      </c>
      <c r="Q50" s="201">
        <f>+'COEF Art 14 F I '!AF51*'PART MES'!I$8</f>
        <v>104900.10712406095</v>
      </c>
      <c r="R50" s="201">
        <f>+'COEF Art 14 F I '!AF51*'PART MES'!I$9</f>
        <v>1952.0025910540289</v>
      </c>
      <c r="S50" s="204">
        <f t="shared" si="5"/>
        <v>335541.47379552462</v>
      </c>
      <c r="T50" s="205">
        <f t="shared" si="6"/>
        <v>5880651.3237136528</v>
      </c>
      <c r="V50" s="340">
        <v>249010.41083333336</v>
      </c>
      <c r="W50" s="341">
        <f t="shared" si="7"/>
        <v>8.0282653679346373E-3</v>
      </c>
    </row>
    <row r="51" spans="1:23" ht="12.75" customHeight="1">
      <c r="A51" s="200" t="s">
        <v>246</v>
      </c>
      <c r="B51" s="346">
        <f t="shared" si="0"/>
        <v>7.2199427408614625E-2</v>
      </c>
      <c r="C51" s="201">
        <v>39560033.881666668</v>
      </c>
      <c r="D51" s="346">
        <f t="shared" si="1"/>
        <v>7.2199427405141597E-2</v>
      </c>
      <c r="E51" s="202">
        <v>5402783.5108333332</v>
      </c>
      <c r="F51" s="346">
        <f t="shared" si="2"/>
        <v>7.2199427400267899E-2</v>
      </c>
      <c r="G51" s="202">
        <v>1328423.18</v>
      </c>
      <c r="H51" s="346">
        <f t="shared" si="3"/>
        <v>7.2199427406569691E-2</v>
      </c>
      <c r="I51" s="202">
        <v>2239388.9908333332</v>
      </c>
      <c r="J51" s="202">
        <v>1101372.2016666667</v>
      </c>
      <c r="K51" s="202">
        <v>236025.32833333334</v>
      </c>
      <c r="L51" s="203">
        <f t="shared" si="4"/>
        <v>49868027.309931614</v>
      </c>
      <c r="M51" s="236">
        <f>+'COEF Art 14 F I '!AF52*'PART MES'!I$4</f>
        <v>2236487.8708223044</v>
      </c>
      <c r="N51" s="236">
        <f>+'COEF Art 14 F I '!AF52*'PART MES'!I$5</f>
        <v>260928.86670874595</v>
      </c>
      <c r="O51" s="236">
        <f>+'COEF Art 14 F I '!AF52*'PART MES'!I$6</f>
        <v>78074.710739822753</v>
      </c>
      <c r="P51" s="236">
        <f>+'COEF Art 14 F I '!AF52*'PART MES'!I$7</f>
        <v>-1068100.1567057343</v>
      </c>
      <c r="Q51" s="201">
        <f>+'COEF Art 14 F I '!AF52*'PART MES'!I$8</f>
        <v>691442.33532199182</v>
      </c>
      <c r="R51" s="201">
        <f>+'COEF Art 14 F I '!AF52*'PART MES'!I$9</f>
        <v>12866.500017171065</v>
      </c>
      <c r="S51" s="204">
        <f t="shared" si="5"/>
        <v>2211700.1269043013</v>
      </c>
      <c r="T51" s="205">
        <f t="shared" si="6"/>
        <v>52079727.436835915</v>
      </c>
      <c r="V51" s="340">
        <v>2239388.9908333332</v>
      </c>
      <c r="W51" s="341">
        <f t="shared" si="7"/>
        <v>7.2199427406569691E-2</v>
      </c>
    </row>
    <row r="52" spans="1:23" ht="12.75" customHeight="1">
      <c r="A52" s="200" t="s">
        <v>247</v>
      </c>
      <c r="B52" s="346">
        <f t="shared" si="0"/>
        <v>0.13950769392075885</v>
      </c>
      <c r="C52" s="201">
        <v>76440067.412500009</v>
      </c>
      <c r="D52" s="346">
        <f t="shared" si="1"/>
        <v>0.13950769391814699</v>
      </c>
      <c r="E52" s="202">
        <v>10439554.653333334</v>
      </c>
      <c r="F52" s="346">
        <f t="shared" si="2"/>
        <v>0.13950769390229639</v>
      </c>
      <c r="G52" s="202">
        <v>2566852.1350000002</v>
      </c>
      <c r="H52" s="346">
        <f t="shared" si="3"/>
        <v>0.13950769392700124</v>
      </c>
      <c r="I52" s="202">
        <v>4327070.2433333332</v>
      </c>
      <c r="J52" s="202">
        <v>2128131.7799999998</v>
      </c>
      <c r="K52" s="202">
        <v>456061.08666666667</v>
      </c>
      <c r="L52" s="203">
        <f t="shared" si="4"/>
        <v>96357737.729356453</v>
      </c>
      <c r="M52" s="236">
        <f>+'COEF Art 14 F I '!AF53*'PART MES'!I$4</f>
        <v>4265899.9584970688</v>
      </c>
      <c r="N52" s="236">
        <f>+'COEF Art 14 F I '!AF53*'PART MES'!I$5</f>
        <v>497698.40301180212</v>
      </c>
      <c r="O52" s="236">
        <f>+'COEF Art 14 F I '!AF53*'PART MES'!I$6</f>
        <v>148920.50596376476</v>
      </c>
      <c r="P52" s="236">
        <f>+'COEF Art 14 F I '!AF53*'PART MES'!I$7</f>
        <v>-2037305.2202095867</v>
      </c>
      <c r="Q52" s="201">
        <f>+'COEF Art 14 F I '!AF53*'PART MES'!I$8</f>
        <v>1318864.2192227466</v>
      </c>
      <c r="R52" s="201">
        <f>+'COEF Art 14 F I '!AF53*'PART MES'!I$9</f>
        <v>24541.694415302973</v>
      </c>
      <c r="S52" s="204">
        <f t="shared" si="5"/>
        <v>4218619.5609010989</v>
      </c>
      <c r="T52" s="205">
        <f t="shared" si="6"/>
        <v>100576357.29025756</v>
      </c>
      <c r="V52" s="340">
        <v>4327070.2433333332</v>
      </c>
      <c r="W52" s="341">
        <f t="shared" si="7"/>
        <v>0.13950769392700124</v>
      </c>
    </row>
    <row r="53" spans="1:23" s="1" customFormat="1" ht="12.75" customHeight="1">
      <c r="A53" s="200" t="s">
        <v>48</v>
      </c>
      <c r="B53" s="346">
        <f t="shared" si="0"/>
        <v>3.7592415872311255E-2</v>
      </c>
      <c r="C53" s="201">
        <v>20597909.138333332</v>
      </c>
      <c r="D53" s="346">
        <f t="shared" si="1"/>
        <v>3.7592415868039158E-2</v>
      </c>
      <c r="E53" s="202">
        <v>2813092.7333333329</v>
      </c>
      <c r="F53" s="346">
        <f t="shared" si="2"/>
        <v>3.7592415887362077E-2</v>
      </c>
      <c r="G53" s="202">
        <v>691676.35333333339</v>
      </c>
      <c r="H53" s="346">
        <f t="shared" si="3"/>
        <v>3.7592415871864023E-2</v>
      </c>
      <c r="I53" s="202">
        <v>1165993.2116666667</v>
      </c>
      <c r="J53" s="202">
        <v>573456.65083333326</v>
      </c>
      <c r="K53" s="202">
        <v>122892.41916666667</v>
      </c>
      <c r="L53" s="203">
        <f t="shared" si="4"/>
        <v>25965020.619443908</v>
      </c>
      <c r="M53" s="236">
        <f>+'COEF Art 14 F I '!AF54*'PART MES'!I$4</f>
        <v>1197156.3555012054</v>
      </c>
      <c r="N53" s="236">
        <f>+'COEF Art 14 F I '!AF54*'PART MES'!I$5</f>
        <v>139671.06872761622</v>
      </c>
      <c r="O53" s="236">
        <f>+'COEF Art 14 F I '!AF54*'PART MES'!I$6</f>
        <v>41792.149819140832</v>
      </c>
      <c r="P53" s="236">
        <f>+'COEF Art 14 F I '!AF54*'PART MES'!I$7</f>
        <v>-571737.01122821716</v>
      </c>
      <c r="Q53" s="201">
        <f>+'COEF Art 14 F I '!AF54*'PART MES'!I$8</f>
        <v>370118.07530571066</v>
      </c>
      <c r="R53" s="201">
        <f>+'COEF Art 14 F I '!AF54*'PART MES'!I$9</f>
        <v>6887.2326425581323</v>
      </c>
      <c r="S53" s="204">
        <f t="shared" si="5"/>
        <v>1183887.8707680141</v>
      </c>
      <c r="T53" s="205">
        <f t="shared" si="6"/>
        <v>27148908.490211923</v>
      </c>
      <c r="V53" s="340">
        <v>1165993.2116666667</v>
      </c>
      <c r="W53" s="341">
        <f t="shared" si="7"/>
        <v>3.7592415871864023E-2</v>
      </c>
    </row>
    <row r="54" spans="1:23" s="1" customFormat="1" ht="12.75" customHeight="1">
      <c r="A54" s="200" t="s">
        <v>49</v>
      </c>
      <c r="B54" s="346">
        <f t="shared" si="0"/>
        <v>1.216049401573883E-2</v>
      </c>
      <c r="C54" s="201">
        <v>6663066.0733333332</v>
      </c>
      <c r="D54" s="346">
        <f t="shared" si="1"/>
        <v>1.2160494021042868E-2</v>
      </c>
      <c r="E54" s="202">
        <v>909986.6708333334</v>
      </c>
      <c r="F54" s="346">
        <f t="shared" si="2"/>
        <v>1.2160494009399801E-2</v>
      </c>
      <c r="G54" s="202">
        <v>223745.29416666666</v>
      </c>
      <c r="H54" s="346">
        <f t="shared" si="3"/>
        <v>1.2160494016226223E-2</v>
      </c>
      <c r="I54" s="202">
        <v>377178.565</v>
      </c>
      <c r="J54" s="202">
        <v>185503.27249999999</v>
      </c>
      <c r="K54" s="202">
        <v>39753.564166666671</v>
      </c>
      <c r="L54" s="203">
        <f t="shared" si="4"/>
        <v>8399233.4764814824</v>
      </c>
      <c r="M54" s="236">
        <f>+'COEF Art 14 F I '!AF55*'PART MES'!I$4</f>
        <v>530723.3439550451</v>
      </c>
      <c r="N54" s="236">
        <f>+'COEF Art 14 F I '!AF55*'PART MES'!I$5</f>
        <v>61918.976838962073</v>
      </c>
      <c r="O54" s="236">
        <f>+'COEF Art 14 F I '!AF55*'PART MES'!I$6</f>
        <v>18527.295454066792</v>
      </c>
      <c r="P54" s="236">
        <f>+'COEF Art 14 F I '!AF55*'PART MES'!I$7</f>
        <v>-253462.44629413151</v>
      </c>
      <c r="Q54" s="201">
        <f>+'COEF Art 14 F I '!AF55*'PART MES'!I$8</f>
        <v>164080.74156881019</v>
      </c>
      <c r="R54" s="201">
        <f>+'COEF Art 14 F I '!AF55*'PART MES'!I$9</f>
        <v>3053.2479085611913</v>
      </c>
      <c r="S54" s="204">
        <f t="shared" si="5"/>
        <v>524841.15943131386</v>
      </c>
      <c r="T54" s="205">
        <f t="shared" si="6"/>
        <v>8924074.6359127965</v>
      </c>
      <c r="V54" s="340">
        <v>377178.565</v>
      </c>
      <c r="W54" s="341">
        <f t="shared" si="7"/>
        <v>1.2160494016226223E-2</v>
      </c>
    </row>
    <row r="55" spans="1:23" ht="12.75" customHeight="1">
      <c r="A55" s="200" t="s">
        <v>50</v>
      </c>
      <c r="B55" s="346">
        <f t="shared" si="0"/>
        <v>2.4490768696581208E-3</v>
      </c>
      <c r="C55" s="201">
        <v>1341915.96</v>
      </c>
      <c r="D55" s="346">
        <f t="shared" si="1"/>
        <v>2.4490768731685081E-3</v>
      </c>
      <c r="E55" s="202">
        <v>183267.82666666666</v>
      </c>
      <c r="F55" s="346">
        <f t="shared" si="2"/>
        <v>2.4490768571672132E-3</v>
      </c>
      <c r="G55" s="202">
        <v>45061.444166666661</v>
      </c>
      <c r="H55" s="346">
        <f t="shared" si="3"/>
        <v>2.4490768643856561E-3</v>
      </c>
      <c r="I55" s="202">
        <v>75962.316666666666</v>
      </c>
      <c r="J55" s="202">
        <v>37359.647499999999</v>
      </c>
      <c r="K55" s="202">
        <v>8006.2158333333327</v>
      </c>
      <c r="L55" s="203">
        <f t="shared" si="4"/>
        <v>1691573.4181805637</v>
      </c>
      <c r="M55" s="236">
        <f>+'COEF Art 14 F I '!AF56*'PART MES'!I$4</f>
        <v>94069.143642678682</v>
      </c>
      <c r="N55" s="236">
        <f>+'COEF Art 14 F I '!AF56*'PART MES'!I$5</f>
        <v>10974.955582442586</v>
      </c>
      <c r="O55" s="236">
        <f>+'COEF Art 14 F I '!AF56*'PART MES'!I$6</f>
        <v>3283.9083436408723</v>
      </c>
      <c r="P55" s="236">
        <f>+'COEF Art 14 F I '!AF56*'PART MES'!I$7</f>
        <v>-44925.469248790032</v>
      </c>
      <c r="Q55" s="201">
        <f>+'COEF Art 14 F I '!AF56*'PART MES'!I$8</f>
        <v>29082.82634151676</v>
      </c>
      <c r="R55" s="201">
        <f>+'COEF Art 14 F I '!AF56*'PART MES'!I$9</f>
        <v>541.17916492378686</v>
      </c>
      <c r="S55" s="204">
        <f t="shared" si="5"/>
        <v>93026.543826412657</v>
      </c>
      <c r="T55" s="205">
        <f t="shared" si="6"/>
        <v>1784599.9620069764</v>
      </c>
      <c r="V55" s="340">
        <v>75962.316666666666</v>
      </c>
      <c r="W55" s="341">
        <f t="shared" si="7"/>
        <v>2.4490768643856561E-3</v>
      </c>
    </row>
    <row r="56" spans="1:23" ht="12.75" customHeight="1">
      <c r="A56" s="200" t="s">
        <v>51</v>
      </c>
      <c r="B56" s="346">
        <f t="shared" si="0"/>
        <v>3.3169607729599004E-3</v>
      </c>
      <c r="C56" s="201">
        <v>1817453.2024999999</v>
      </c>
      <c r="D56" s="346">
        <f t="shared" si="1"/>
        <v>3.3169607695184861E-3</v>
      </c>
      <c r="E56" s="202">
        <v>248212.785</v>
      </c>
      <c r="F56" s="346">
        <f t="shared" si="2"/>
        <v>3.3169607629094208E-3</v>
      </c>
      <c r="G56" s="202">
        <v>61029.951666666668</v>
      </c>
      <c r="H56" s="346">
        <f t="shared" si="3"/>
        <v>3.3169607629400509E-3</v>
      </c>
      <c r="I56" s="202">
        <v>102881.22333333333</v>
      </c>
      <c r="J56" s="202">
        <v>50598.855000000003</v>
      </c>
      <c r="K56" s="202">
        <v>10843.3925</v>
      </c>
      <c r="L56" s="203">
        <f t="shared" si="4"/>
        <v>2291019.419950882</v>
      </c>
      <c r="M56" s="236">
        <f>+'COEF Art 14 F I '!AF57*'PART MES'!I$4</f>
        <v>80350.060372924898</v>
      </c>
      <c r="N56" s="236">
        <f>+'COEF Art 14 F I '!AF57*'PART MES'!I$5</f>
        <v>9374.3634681005569</v>
      </c>
      <c r="O56" s="236">
        <f>+'COEF Art 14 F I '!AF57*'PART MES'!I$6</f>
        <v>2804.9817767340974</v>
      </c>
      <c r="P56" s="236">
        <f>+'COEF Art 14 F I '!AF57*'PART MES'!I$7</f>
        <v>-38373.52001559551</v>
      </c>
      <c r="Q56" s="201">
        <f>+'COEF Art 14 F I '!AF57*'PART MES'!I$8</f>
        <v>24841.374778880894</v>
      </c>
      <c r="R56" s="201">
        <f>+'COEF Art 14 F I '!AF57*'PART MES'!I$9</f>
        <v>462.25336906827101</v>
      </c>
      <c r="S56" s="204">
        <f t="shared" si="5"/>
        <v>79459.513750113212</v>
      </c>
      <c r="T56" s="205">
        <f t="shared" si="6"/>
        <v>2370478.9337009951</v>
      </c>
      <c r="V56" s="340">
        <v>102881.22333333333</v>
      </c>
      <c r="W56" s="341">
        <f t="shared" si="7"/>
        <v>3.3169607629400509E-3</v>
      </c>
    </row>
    <row r="57" spans="1:23" s="209" customFormat="1" ht="16.5" customHeight="1" thickBot="1">
      <c r="A57" s="206" t="s">
        <v>52</v>
      </c>
      <c r="B57" s="344">
        <f>SUM(B6:B56)</f>
        <v>0.99999999999999978</v>
      </c>
      <c r="C57" s="207">
        <f>SUM(C6:C56)</f>
        <v>547927252.35583353</v>
      </c>
      <c r="D57" s="344">
        <f t="shared" ref="D57:L57" si="8">SUM(D6:D56)</f>
        <v>0.99999999999999989</v>
      </c>
      <c r="E57" s="207">
        <f t="shared" si="8"/>
        <v>74831390.012500018</v>
      </c>
      <c r="F57" s="344">
        <f t="shared" si="8"/>
        <v>1.0000000000000002</v>
      </c>
      <c r="G57" s="207">
        <f t="shared" si="8"/>
        <v>18399358.939999998</v>
      </c>
      <c r="H57" s="344">
        <f t="shared" si="8"/>
        <v>1.0000000000000002</v>
      </c>
      <c r="I57" s="207">
        <f t="shared" si="8"/>
        <v>31016713.999999993</v>
      </c>
      <c r="J57" s="207">
        <f t="shared" si="8"/>
        <v>15254583.600833332</v>
      </c>
      <c r="K57" s="207">
        <f t="shared" si="8"/>
        <v>3269074.8008333319</v>
      </c>
      <c r="L57" s="207">
        <f t="shared" si="8"/>
        <v>690698376.70999992</v>
      </c>
      <c r="M57" s="313">
        <f>SUM(M6:M56)</f>
        <v>33412449.244166605</v>
      </c>
      <c r="N57" s="313">
        <f t="shared" ref="N57:S57" si="9">SUM(N6:N56)</f>
        <v>3898197.9866666496</v>
      </c>
      <c r="O57" s="313">
        <f t="shared" si="9"/>
        <v>1166412.4558333382</v>
      </c>
      <c r="P57" s="313">
        <f t="shared" si="9"/>
        <v>-15957091.804166669</v>
      </c>
      <c r="Q57" s="207">
        <f t="shared" si="9"/>
        <v>10329938.398333333</v>
      </c>
      <c r="R57" s="207">
        <f t="shared" si="9"/>
        <v>192221.60083333356</v>
      </c>
      <c r="S57" s="207">
        <f t="shared" si="9"/>
        <v>33042127.881666601</v>
      </c>
      <c r="T57" s="208">
        <f>SUM(T6:T56)</f>
        <v>723740504.59166682</v>
      </c>
      <c r="V57" s="353">
        <f t="shared" ref="V57:W57" si="10">SUM(V6:V56)</f>
        <v>31016713.999999993</v>
      </c>
      <c r="W57" s="353">
        <f t="shared" si="10"/>
        <v>1.0000000000000002</v>
      </c>
    </row>
    <row r="58" spans="1:23" ht="15" thickTop="1">
      <c r="M58" s="210"/>
      <c r="N58" s="211"/>
      <c r="O58" s="211"/>
      <c r="P58" s="211"/>
      <c r="Q58" s="212"/>
      <c r="R58" s="211"/>
      <c r="S58" s="211"/>
      <c r="T58" s="213"/>
      <c r="V58" s="314"/>
      <c r="W58" s="314"/>
    </row>
    <row r="59" spans="1:23">
      <c r="A59" s="214"/>
      <c r="B59" s="214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6"/>
    </row>
    <row r="60" spans="1:23">
      <c r="A60" s="214"/>
      <c r="B60" s="214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7"/>
    </row>
    <row r="64" spans="1:23">
      <c r="P64" s="218"/>
    </row>
  </sheetData>
  <mergeCells count="5">
    <mergeCell ref="A1:T1"/>
    <mergeCell ref="A3:A4"/>
    <mergeCell ref="C3:L3"/>
    <mergeCell ref="M3:S3"/>
    <mergeCell ref="T3:T4"/>
  </mergeCells>
  <conditionalFormatting sqref="S7:S56">
    <cfRule type="cellIs" dxfId="0" priority="1" operator="lessThan">
      <formula>#REF!-0.00001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0" orientation="landscape" horizontalDpi="300" verticalDpi="300" r:id="rId1"/>
  <headerFooter alignWithMargins="0">
    <oddHeader>&amp;LANEXO 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showGridLines="0" zoomScaleNormal="100" zoomScaleSheetLayoutView="100" workbookViewId="0">
      <selection activeCell="B33" sqref="B33"/>
    </sheetView>
  </sheetViews>
  <sheetFormatPr baseColWidth="10" defaultColWidth="11.42578125" defaultRowHeight="12.75"/>
  <cols>
    <col min="1" max="1" width="59" style="11" customWidth="1"/>
    <col min="2" max="5" width="17.28515625" style="11" customWidth="1"/>
    <col min="6" max="6" width="17.140625" style="11" customWidth="1"/>
    <col min="7" max="16384" width="11.42578125" style="11"/>
  </cols>
  <sheetData>
    <row r="1" spans="1:6" ht="18.75" customHeight="1">
      <c r="A1" s="430" t="s">
        <v>248</v>
      </c>
      <c r="B1" s="430"/>
      <c r="C1" s="430"/>
      <c r="D1" s="430"/>
      <c r="E1" s="430"/>
      <c r="F1" s="430"/>
    </row>
    <row r="3" spans="1:6" ht="25.5">
      <c r="A3" s="219" t="s">
        <v>103</v>
      </c>
      <c r="B3" s="219" t="s">
        <v>104</v>
      </c>
      <c r="C3" s="219" t="s">
        <v>105</v>
      </c>
      <c r="D3" s="219" t="s">
        <v>116</v>
      </c>
      <c r="E3" s="219" t="s">
        <v>249</v>
      </c>
      <c r="F3" s="219" t="s">
        <v>250</v>
      </c>
    </row>
    <row r="4" spans="1:6" ht="25.5" customHeight="1">
      <c r="A4" s="182" t="s">
        <v>106</v>
      </c>
      <c r="B4" s="220">
        <v>36165566160</v>
      </c>
      <c r="C4" s="221">
        <v>20</v>
      </c>
      <c r="D4" s="221">
        <f>+C4/100*B4</f>
        <v>7233113232</v>
      </c>
      <c r="E4" s="221">
        <v>6575127028.2700005</v>
      </c>
      <c r="F4" s="221">
        <f>+D4-E4</f>
        <v>657986203.72999954</v>
      </c>
    </row>
    <row r="5" spans="1:6" ht="25.5" customHeight="1">
      <c r="A5" s="182" t="s">
        <v>127</v>
      </c>
      <c r="B5" s="220">
        <v>1008332033</v>
      </c>
      <c r="C5" s="221">
        <v>100</v>
      </c>
      <c r="D5" s="221">
        <f t="shared" ref="D5:D9" si="0">+C5/100*B5</f>
        <v>1008332033</v>
      </c>
      <c r="E5" s="221">
        <v>897976680.16000021</v>
      </c>
      <c r="F5" s="221">
        <f t="shared" ref="F5:F9" si="1">+D5-E5</f>
        <v>110355352.83999979</v>
      </c>
    </row>
    <row r="6" spans="1:6" ht="25.5" customHeight="1">
      <c r="A6" s="182" t="s">
        <v>107</v>
      </c>
      <c r="B6" s="220">
        <v>1197376503</v>
      </c>
      <c r="C6" s="221">
        <v>20</v>
      </c>
      <c r="D6" s="221">
        <f t="shared" si="0"/>
        <v>239475300.60000002</v>
      </c>
      <c r="E6" s="221">
        <v>220792307.32999998</v>
      </c>
      <c r="F6" s="221">
        <f t="shared" si="1"/>
        <v>18682993.270000041</v>
      </c>
    </row>
    <row r="7" spans="1:6" ht="25.5" customHeight="1">
      <c r="A7" s="182" t="s">
        <v>115</v>
      </c>
      <c r="B7" s="220">
        <v>2189235910</v>
      </c>
      <c r="C7" s="221">
        <v>20</v>
      </c>
      <c r="D7" s="221">
        <f t="shared" si="0"/>
        <v>437847182</v>
      </c>
      <c r="E7" s="221">
        <v>372200568.05000001</v>
      </c>
      <c r="F7" s="221">
        <f t="shared" si="1"/>
        <v>65646613.949999988</v>
      </c>
    </row>
    <row r="8" spans="1:6" ht="25.5" customHeight="1">
      <c r="A8" s="182" t="s">
        <v>121</v>
      </c>
      <c r="B8" s="220">
        <v>927868809</v>
      </c>
      <c r="C8" s="221">
        <v>20</v>
      </c>
      <c r="D8" s="221">
        <f t="shared" si="0"/>
        <v>185573761.80000001</v>
      </c>
      <c r="E8" s="221">
        <v>183055003.22</v>
      </c>
      <c r="F8" s="221">
        <f t="shared" si="1"/>
        <v>2518758.5800000131</v>
      </c>
    </row>
    <row r="9" spans="1:6" ht="25.5" customHeight="1">
      <c r="A9" s="182" t="s">
        <v>120</v>
      </c>
      <c r="B9" s="220">
        <v>207677784</v>
      </c>
      <c r="C9" s="221">
        <v>20</v>
      </c>
      <c r="D9" s="221">
        <f t="shared" si="0"/>
        <v>41535556.800000004</v>
      </c>
      <c r="E9" s="221">
        <v>39228897.590000004</v>
      </c>
      <c r="F9" s="221">
        <f t="shared" si="1"/>
        <v>2306659.2100000009</v>
      </c>
    </row>
    <row r="10" spans="1:6" ht="25.5" customHeight="1">
      <c r="A10" s="222" t="s">
        <v>224</v>
      </c>
      <c r="B10" s="223">
        <f>SUM(B4:B9)</f>
        <v>41696057199</v>
      </c>
      <c r="C10" s="224"/>
      <c r="D10" s="225">
        <f>SUM(D4:D9)</f>
        <v>9145877066.1999989</v>
      </c>
      <c r="E10" s="225">
        <f>SUM(E4:E9)</f>
        <v>8288380484.6200008</v>
      </c>
      <c r="F10" s="224">
        <f>SUM(F4:F9)</f>
        <v>857496581.57999957</v>
      </c>
    </row>
    <row r="11" spans="1:6" ht="25.5" customHeight="1">
      <c r="A11" s="182" t="s">
        <v>126</v>
      </c>
      <c r="B11" s="220">
        <v>339287460</v>
      </c>
      <c r="C11" s="221">
        <v>100</v>
      </c>
      <c r="D11" s="221">
        <f>+C11/100*B11</f>
        <v>339287460</v>
      </c>
      <c r="E11" s="221"/>
      <c r="F11" s="221"/>
    </row>
    <row r="12" spans="1:6" ht="25.5" customHeight="1">
      <c r="A12" s="182" t="s">
        <v>114</v>
      </c>
      <c r="B12" s="220">
        <v>1270773990</v>
      </c>
      <c r="C12" s="221">
        <v>20</v>
      </c>
      <c r="D12" s="221">
        <f>+C12/100*B12</f>
        <v>254154798</v>
      </c>
      <c r="E12" s="221"/>
      <c r="F12" s="221"/>
    </row>
    <row r="13" spans="1:6" ht="25.5" customHeight="1">
      <c r="A13" s="182" t="s">
        <v>251</v>
      </c>
      <c r="B13" s="220">
        <v>530000000</v>
      </c>
      <c r="C13" s="221">
        <v>20</v>
      </c>
      <c r="D13" s="221">
        <f t="shared" ref="D13" si="2">+C13/100*B13</f>
        <v>106000000</v>
      </c>
      <c r="E13" s="221"/>
      <c r="F13" s="221"/>
    </row>
    <row r="14" spans="1:6" ht="25.5" customHeight="1">
      <c r="A14" s="222" t="s">
        <v>224</v>
      </c>
      <c r="B14" s="223">
        <f>SUM(B11:B13)</f>
        <v>2140061450</v>
      </c>
      <c r="C14" s="224"/>
      <c r="D14" s="225">
        <f>SUM(D11:D13)</f>
        <v>699442258</v>
      </c>
      <c r="E14" s="225"/>
      <c r="F14" s="224"/>
    </row>
    <row r="15" spans="1:6" ht="21.75" customHeight="1">
      <c r="A15" s="226" t="s">
        <v>53</v>
      </c>
      <c r="B15" s="227">
        <f>SUM(B14,B10)</f>
        <v>43836118649</v>
      </c>
      <c r="C15" s="228"/>
      <c r="D15" s="228">
        <f>SUM(D14,D10)</f>
        <v>9845319324.1999989</v>
      </c>
      <c r="E15" s="228"/>
      <c r="F15" s="228">
        <f>SUM(F14,F10)</f>
        <v>857496581.57999957</v>
      </c>
    </row>
    <row r="16" spans="1:6">
      <c r="A16" s="12"/>
      <c r="B16" s="13"/>
      <c r="C16" s="14"/>
      <c r="D16" s="13"/>
      <c r="E16" s="13"/>
    </row>
    <row r="17" spans="1:3">
      <c r="A17" s="15"/>
    </row>
    <row r="20" spans="1:3">
      <c r="B20" s="383"/>
    </row>
    <row r="22" spans="1:3" hidden="1">
      <c r="A22" s="182" t="s">
        <v>252</v>
      </c>
      <c r="B22" s="229"/>
      <c r="C22" s="230">
        <f>+B5+B11</f>
        <v>1347619493</v>
      </c>
    </row>
    <row r="23" spans="1:3" hidden="1">
      <c r="A23" s="11" t="s">
        <v>253</v>
      </c>
    </row>
    <row r="24" spans="1:3" hidden="1"/>
    <row r="25" spans="1:3" hidden="1">
      <c r="A25" s="231"/>
      <c r="B25" s="232"/>
    </row>
    <row r="26" spans="1:3" hidden="1">
      <c r="A26" s="233"/>
      <c r="B26" s="234"/>
    </row>
    <row r="27" spans="1:3" hidden="1"/>
    <row r="31" spans="1:3">
      <c r="B31" s="230"/>
    </row>
    <row r="32" spans="1:3">
      <c r="B32" s="11" t="s">
        <v>154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&amp;LANEXO I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topLeftCell="A10" zoomScale="89" zoomScaleNormal="89" workbookViewId="0">
      <selection activeCell="G8" sqref="G8:G58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55" t="s">
        <v>117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</row>
    <row r="2" spans="1:54" ht="26.25" customHeight="1">
      <c r="A2" s="59"/>
      <c r="B2" s="59"/>
      <c r="C2" s="62"/>
      <c r="D2" s="59"/>
      <c r="E2" s="62"/>
      <c r="F2" s="59"/>
      <c r="G2" s="62"/>
      <c r="H2" s="59"/>
      <c r="I2" s="59"/>
      <c r="J2" s="59"/>
      <c r="K2" s="59"/>
      <c r="L2" s="62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</row>
    <row r="3" spans="1:54" ht="37.5" customHeight="1" thickBot="1">
      <c r="A3" s="59"/>
      <c r="B3" s="457" t="s">
        <v>91</v>
      </c>
      <c r="C3" s="458"/>
      <c r="D3" s="459" t="s">
        <v>93</v>
      </c>
      <c r="E3" s="459"/>
      <c r="F3" s="59"/>
      <c r="G3" s="96" t="s">
        <v>92</v>
      </c>
      <c r="H3" s="59"/>
      <c r="I3" s="59"/>
      <c r="J3" s="59"/>
      <c r="K3" s="59"/>
      <c r="L3" s="62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 ht="39" customHeight="1" thickBot="1">
      <c r="A4" s="63" t="s">
        <v>0</v>
      </c>
      <c r="B4" s="63" t="s">
        <v>220</v>
      </c>
      <c r="C4" s="361" t="s">
        <v>79</v>
      </c>
      <c r="D4" s="97" t="s">
        <v>227</v>
      </c>
      <c r="E4" s="361" t="s">
        <v>80</v>
      </c>
      <c r="F4" s="59"/>
      <c r="G4" s="361" t="s">
        <v>86</v>
      </c>
      <c r="H4" s="362" t="s">
        <v>83</v>
      </c>
      <c r="I4" s="362" t="s">
        <v>84</v>
      </c>
      <c r="J4" s="362" t="s">
        <v>85</v>
      </c>
      <c r="K4" s="362" t="s">
        <v>118</v>
      </c>
      <c r="L4" s="363" t="s">
        <v>78</v>
      </c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</row>
    <row r="5" spans="1:54">
      <c r="A5" s="112"/>
      <c r="B5" s="111"/>
      <c r="C5" s="355"/>
      <c r="D5" s="98"/>
      <c r="E5" s="355"/>
      <c r="F5" s="61"/>
      <c r="G5" s="355"/>
      <c r="H5" s="356" t="s">
        <v>94</v>
      </c>
      <c r="I5" s="356" t="s">
        <v>94</v>
      </c>
      <c r="J5" s="356" t="s">
        <v>94</v>
      </c>
      <c r="K5" s="356" t="s">
        <v>94</v>
      </c>
      <c r="L5" s="364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</row>
    <row r="6" spans="1:54" s="3" customFormat="1" ht="11.25">
      <c r="A6" s="99"/>
      <c r="B6" s="64" t="s">
        <v>57</v>
      </c>
      <c r="C6" s="365" t="s">
        <v>66</v>
      </c>
      <c r="D6" s="100" t="s">
        <v>56</v>
      </c>
      <c r="E6" s="365" t="s">
        <v>67</v>
      </c>
      <c r="F6" s="65"/>
      <c r="G6" s="101" t="s">
        <v>63</v>
      </c>
      <c r="H6" s="66">
        <f>+K6*0.35</f>
        <v>88954179.299999997</v>
      </c>
      <c r="I6" s="66">
        <f>+K6*0.35</f>
        <v>88954179.299999997</v>
      </c>
      <c r="J6" s="66">
        <f>+K6*0.3</f>
        <v>76246439.399999991</v>
      </c>
      <c r="K6" s="66">
        <f>+'[5]PART PEF2022'!D12</f>
        <v>254154798</v>
      </c>
      <c r="L6" s="102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</row>
    <row r="7" spans="1:54" s="4" customFormat="1" ht="23.25" customHeight="1" thickBot="1">
      <c r="A7" s="67"/>
      <c r="B7" s="67"/>
      <c r="C7" s="103"/>
      <c r="D7" s="104"/>
      <c r="E7" s="105"/>
      <c r="F7" s="68"/>
      <c r="G7" s="357"/>
      <c r="H7" s="66" t="s">
        <v>81</v>
      </c>
      <c r="I7" s="66" t="s">
        <v>62</v>
      </c>
      <c r="J7" s="66" t="s">
        <v>82</v>
      </c>
      <c r="K7" s="69" t="s">
        <v>95</v>
      </c>
      <c r="L7" s="106" t="s">
        <v>64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</row>
    <row r="8" spans="1:54" ht="13.5" thickTop="1">
      <c r="A8" s="57" t="s">
        <v>1</v>
      </c>
      <c r="B8" s="358">
        <v>2974</v>
      </c>
      <c r="C8" s="155">
        <f t="shared" ref="C8:C58" si="0">+B8/$B$59</f>
        <v>5.141377508841821E-4</v>
      </c>
      <c r="D8" s="107">
        <v>2926</v>
      </c>
      <c r="E8" s="366">
        <f t="shared" ref="E8:E59" si="1">(D8/D$59)</f>
        <v>5.1460739289975466E-4</v>
      </c>
      <c r="F8" s="59"/>
      <c r="G8" s="158">
        <f>+'COEF Art 14 F I '!AF7</f>
        <v>7.1295357892702178E-4</v>
      </c>
      <c r="H8" s="70">
        <f t="shared" ref="H8:H58" si="2">+C8*H$6</f>
        <v>45734.701677050267</v>
      </c>
      <c r="I8" s="108">
        <f t="shared" ref="I8:I58" si="3">+E8*I$6</f>
        <v>45776.47829711032</v>
      </c>
      <c r="J8" s="108">
        <f t="shared" ref="J8:J58" si="4">+G8*J$6</f>
        <v>54360.171850672275</v>
      </c>
      <c r="K8" s="108">
        <f>SUM(H8:J8)</f>
        <v>145871.35182483288</v>
      </c>
      <c r="L8" s="180">
        <f>+K8/K$59</f>
        <v>5.739468740024843E-4</v>
      </c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</row>
    <row r="9" spans="1:54">
      <c r="A9" s="58" t="s">
        <v>2</v>
      </c>
      <c r="B9" s="359">
        <v>3382</v>
      </c>
      <c r="C9" s="156">
        <f t="shared" si="0"/>
        <v>5.8467177992276519E-4</v>
      </c>
      <c r="D9" s="109">
        <v>2595</v>
      </c>
      <c r="E9" s="367">
        <f t="shared" si="1"/>
        <v>4.5639309110555819E-4</v>
      </c>
      <c r="F9" s="59"/>
      <c r="G9" s="159">
        <f>+'COEF Art 14 F I '!AF8</f>
        <v>1.2956199455679538E-3</v>
      </c>
      <c r="H9" s="71">
        <f t="shared" si="2"/>
        <v>52008.998342899795</v>
      </c>
      <c r="I9" s="72">
        <f t="shared" si="3"/>
        <v>40598.072857485058</v>
      </c>
      <c r="J9" s="72">
        <f t="shared" si="4"/>
        <v>98786.407665178282</v>
      </c>
      <c r="K9" s="72">
        <f t="shared" ref="K9:K58" si="5">SUM(H9:J9)</f>
        <v>191393.47886556311</v>
      </c>
      <c r="L9" s="181">
        <f t="shared" ref="L9:L58" si="6">+K9/K$59</f>
        <v>7.530586885302991E-4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</row>
    <row r="10" spans="1:54">
      <c r="A10" s="58" t="s">
        <v>3</v>
      </c>
      <c r="B10" s="359">
        <v>1407</v>
      </c>
      <c r="C10" s="156">
        <f t="shared" si="0"/>
        <v>2.4323867366981983E-4</v>
      </c>
      <c r="D10" s="109">
        <v>1535</v>
      </c>
      <c r="E10" s="367">
        <f t="shared" si="1"/>
        <v>2.6996662614529166E-4</v>
      </c>
      <c r="F10" s="59"/>
      <c r="G10" s="159">
        <f>+'COEF Art 14 F I '!AF9</f>
        <v>1.5984173605869715E-3</v>
      </c>
      <c r="H10" s="71">
        <f t="shared" si="2"/>
        <v>21637.096590319343</v>
      </c>
      <c r="I10" s="72">
        <f t="shared" si="3"/>
        <v>24014.65966714434</v>
      </c>
      <c r="J10" s="72">
        <f t="shared" si="4"/>
        <v>121873.63241990245</v>
      </c>
      <c r="K10" s="72">
        <f t="shared" si="5"/>
        <v>167525.38867736614</v>
      </c>
      <c r="L10" s="181">
        <f t="shared" si="6"/>
        <v>6.5914706311138028E-4</v>
      </c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</row>
    <row r="11" spans="1:54" ht="13.5" customHeight="1">
      <c r="A11" s="58" t="s">
        <v>4</v>
      </c>
      <c r="B11" s="359">
        <v>35289</v>
      </c>
      <c r="C11" s="156">
        <f t="shared" si="0"/>
        <v>6.1006748792709828E-3</v>
      </c>
      <c r="D11" s="109">
        <v>38797</v>
      </c>
      <c r="E11" s="367">
        <f t="shared" si="1"/>
        <v>6.8233844915693027E-3</v>
      </c>
      <c r="F11" s="59"/>
      <c r="G11" s="159">
        <f>+'COEF Art 14 F I '!AF10</f>
        <v>6.2060238842888658E-3</v>
      </c>
      <c r="H11" s="71">
        <f t="shared" si="2"/>
        <v>542680.52706167684</v>
      </c>
      <c r="I11" s="72">
        <f t="shared" si="3"/>
        <v>606968.56749589508</v>
      </c>
      <c r="J11" s="72">
        <f t="shared" si="4"/>
        <v>473187.22400838358</v>
      </c>
      <c r="K11" s="72">
        <f t="shared" si="5"/>
        <v>1622836.3185659554</v>
      </c>
      <c r="L11" s="181">
        <f t="shared" si="6"/>
        <v>6.3852279450807578E-3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</row>
    <row r="12" spans="1:54" ht="14.25">
      <c r="A12" s="58" t="s">
        <v>5</v>
      </c>
      <c r="B12" s="359">
        <v>18030</v>
      </c>
      <c r="C12" s="156">
        <f t="shared" si="0"/>
        <v>3.1169817244256232E-3</v>
      </c>
      <c r="D12" s="368">
        <v>20134</v>
      </c>
      <c r="E12" s="367">
        <f t="shared" si="1"/>
        <v>3.5410475901037799E-3</v>
      </c>
      <c r="F12" s="59"/>
      <c r="G12" s="159">
        <f>+'COEF Art 14 F I '!AF11</f>
        <v>5.0854077850998151E-3</v>
      </c>
      <c r="H12" s="71">
        <f t="shared" si="2"/>
        <v>277268.55118938006</v>
      </c>
      <c r="I12" s="72">
        <f t="shared" si="3"/>
        <v>314990.98223992455</v>
      </c>
      <c r="J12" s="72">
        <f t="shared" si="4"/>
        <v>387744.23651090125</v>
      </c>
      <c r="K12" s="72">
        <f t="shared" si="5"/>
        <v>980003.76994020585</v>
      </c>
      <c r="L12" s="181">
        <f t="shared" si="6"/>
        <v>3.8559325956152349E-3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</row>
    <row r="13" spans="1:54">
      <c r="A13" s="58" t="s">
        <v>6</v>
      </c>
      <c r="B13" s="359">
        <v>656464</v>
      </c>
      <c r="C13" s="156">
        <f t="shared" si="0"/>
        <v>0.11348786970290306</v>
      </c>
      <c r="D13" s="109">
        <v>676062</v>
      </c>
      <c r="E13" s="367">
        <f t="shared" si="1"/>
        <v>0.11890174410751672</v>
      </c>
      <c r="F13" s="59"/>
      <c r="G13" s="159">
        <f>+'COEF Art 14 F I '!AF12</f>
        <v>8.4898532569311735E-2</v>
      </c>
      <c r="H13" s="71">
        <f t="shared" si="2"/>
        <v>10095220.309927076</v>
      </c>
      <c r="I13" s="72">
        <f t="shared" si="3"/>
        <v>10576807.06442276</v>
      </c>
      <c r="J13" s="72">
        <f t="shared" si="4"/>
        <v>6473210.8186949529</v>
      </c>
      <c r="K13" s="72">
        <f t="shared" si="5"/>
        <v>27145238.193044789</v>
      </c>
      <c r="L13" s="181">
        <f t="shared" si="6"/>
        <v>0.10680592460444042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</row>
    <row r="14" spans="1:54">
      <c r="A14" s="58" t="s">
        <v>7</v>
      </c>
      <c r="B14" s="359">
        <v>14992</v>
      </c>
      <c r="C14" s="156">
        <f t="shared" si="0"/>
        <v>2.5917798121236242E-3</v>
      </c>
      <c r="D14" s="109">
        <v>18031</v>
      </c>
      <c r="E14" s="367">
        <f t="shared" si="1"/>
        <v>3.1711845185835529E-3</v>
      </c>
      <c r="F14" s="59"/>
      <c r="G14" s="159">
        <f>+'COEF Art 14 F I '!AF13</f>
        <v>4.6651381905363585E-3</v>
      </c>
      <c r="H14" s="71">
        <f t="shared" si="2"/>
        <v>230549.64611376516</v>
      </c>
      <c r="I14" s="72">
        <f t="shared" si="3"/>
        <v>282090.11625946552</v>
      </c>
      <c r="J14" s="72">
        <f t="shared" si="4"/>
        <v>355700.1763373561</v>
      </c>
      <c r="K14" s="72">
        <f t="shared" si="5"/>
        <v>868339.93871058675</v>
      </c>
      <c r="L14" s="181">
        <f t="shared" si="6"/>
        <v>3.4165789729084187E-3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</row>
    <row r="15" spans="1:54">
      <c r="A15" s="58" t="s">
        <v>8</v>
      </c>
      <c r="B15" s="359">
        <v>3661</v>
      </c>
      <c r="C15" s="156">
        <f t="shared" si="0"/>
        <v>6.329046086035611E-4</v>
      </c>
      <c r="D15" s="109">
        <v>4441</v>
      </c>
      <c r="E15" s="367">
        <f t="shared" si="1"/>
        <v>7.8105653857409789E-4</v>
      </c>
      <c r="F15" s="59"/>
      <c r="G15" s="159">
        <f>+'COEF Art 14 F I '!AF14</f>
        <v>1.3526218678857451E-3</v>
      </c>
      <c r="H15" s="71">
        <f t="shared" si="2"/>
        <v>56299.510033517494</v>
      </c>
      <c r="I15" s="72">
        <f t="shared" si="3"/>
        <v>69478.243375757665</v>
      </c>
      <c r="J15" s="72">
        <f t="shared" si="4"/>
        <v>103132.60128086526</v>
      </c>
      <c r="K15" s="72">
        <f t="shared" si="5"/>
        <v>228910.3546901404</v>
      </c>
      <c r="L15" s="181">
        <f t="shared" si="6"/>
        <v>9.0067296187790397E-4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</row>
    <row r="16" spans="1:54">
      <c r="A16" s="58" t="s">
        <v>9</v>
      </c>
      <c r="B16" s="359">
        <v>122337</v>
      </c>
      <c r="C16" s="156">
        <f t="shared" si="0"/>
        <v>2.1149317427679282E-2</v>
      </c>
      <c r="D16" s="109">
        <v>106525</v>
      </c>
      <c r="E16" s="367">
        <f t="shared" si="1"/>
        <v>1.8734980358389049E-2</v>
      </c>
      <c r="F16" s="59"/>
      <c r="G16" s="159">
        <f>+'COEF Art 14 F I '!AF15</f>
        <v>1.3607121172904888E-2</v>
      </c>
      <c r="H16" s="71">
        <f t="shared" si="2"/>
        <v>1881320.1745343974</v>
      </c>
      <c r="I16" s="72">
        <f t="shared" si="3"/>
        <v>1666554.8019821178</v>
      </c>
      <c r="J16" s="72">
        <f t="shared" si="4"/>
        <v>1037494.5399183494</v>
      </c>
      <c r="K16" s="72">
        <f t="shared" si="5"/>
        <v>4585369.5164348641</v>
      </c>
      <c r="L16" s="181">
        <f t="shared" si="6"/>
        <v>1.8041640576995376E-2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>
      <c r="A17" s="58" t="s">
        <v>10</v>
      </c>
      <c r="B17" s="359">
        <v>104478</v>
      </c>
      <c r="C17" s="156">
        <f t="shared" si="0"/>
        <v>1.8061897759541888E-2</v>
      </c>
      <c r="D17" s="109">
        <v>48695</v>
      </c>
      <c r="E17" s="367">
        <f t="shared" si="1"/>
        <v>8.5641855766416791E-3</v>
      </c>
      <c r="F17" s="59"/>
      <c r="G17" s="159">
        <f>+'COEF Art 14 F I '!AF16</f>
        <v>9.52688947860739E-3</v>
      </c>
      <c r="H17" s="71">
        <f t="shared" si="2"/>
        <v>1606681.2918005574</v>
      </c>
      <c r="I17" s="72">
        <f t="shared" si="3"/>
        <v>761820.09934305784</v>
      </c>
      <c r="J17" s="72">
        <f t="shared" si="4"/>
        <v>726391.40130113589</v>
      </c>
      <c r="K17" s="72">
        <f t="shared" si="5"/>
        <v>3094892.7924447511</v>
      </c>
      <c r="L17" s="181">
        <f t="shared" si="6"/>
        <v>1.2177196011246463E-2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>
      <c r="A18" s="58" t="s">
        <v>11</v>
      </c>
      <c r="B18" s="359">
        <v>7340</v>
      </c>
      <c r="C18" s="156">
        <f t="shared" si="0"/>
        <v>1.2689210126058832E-3</v>
      </c>
      <c r="D18" s="109">
        <v>8352</v>
      </c>
      <c r="E18" s="367">
        <f t="shared" si="1"/>
        <v>1.4688998446680623E-3</v>
      </c>
      <c r="F18" s="59"/>
      <c r="G18" s="159">
        <f>+'COEF Art 14 F I '!AF17</f>
        <v>3.5441414214742411E-3</v>
      </c>
      <c r="H18" s="71">
        <f t="shared" si="2"/>
        <v>112875.82727288129</v>
      </c>
      <c r="I18" s="72">
        <f t="shared" si="3"/>
        <v>130664.78015634496</v>
      </c>
      <c r="J18" s="72">
        <f t="shared" si="4"/>
        <v>270228.16411746555</v>
      </c>
      <c r="K18" s="72">
        <f t="shared" si="5"/>
        <v>513768.77154669177</v>
      </c>
      <c r="L18" s="181">
        <f t="shared" si="6"/>
        <v>2.0214797264881527E-3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>
      <c r="A19" s="58" t="s">
        <v>12</v>
      </c>
      <c r="B19" s="359">
        <v>9930</v>
      </c>
      <c r="C19" s="156">
        <f t="shared" si="0"/>
        <v>1.7166737949831634E-3</v>
      </c>
      <c r="D19" s="109">
        <v>12086</v>
      </c>
      <c r="E19" s="367">
        <f t="shared" si="1"/>
        <v>2.1256134485941333E-3</v>
      </c>
      <c r="F19" s="59"/>
      <c r="G19" s="159">
        <f>+'COEF Art 14 F I '!AF18</f>
        <v>4.6189921505847718E-3</v>
      </c>
      <c r="H19" s="71">
        <f t="shared" si="2"/>
        <v>152705.30855854377</v>
      </c>
      <c r="I19" s="72">
        <f t="shared" si="3"/>
        <v>189082.19982873386</v>
      </c>
      <c r="J19" s="72">
        <f t="shared" si="4"/>
        <v>352181.70509863744</v>
      </c>
      <c r="K19" s="72">
        <f t="shared" si="5"/>
        <v>693969.21348591498</v>
      </c>
      <c r="L19" s="181">
        <f t="shared" si="6"/>
        <v>2.7304981804274846E-3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>
      <c r="A20" s="58" t="s">
        <v>13</v>
      </c>
      <c r="B20" s="359">
        <v>68747</v>
      </c>
      <c r="C20" s="156">
        <f t="shared" si="0"/>
        <v>1.1884811015479108E-2</v>
      </c>
      <c r="D20" s="109">
        <v>51865</v>
      </c>
      <c r="E20" s="367">
        <f t="shared" si="1"/>
        <v>9.1217062312870037E-3</v>
      </c>
      <c r="F20" s="59"/>
      <c r="G20" s="159">
        <f>+'COEF Art 14 F I '!AF19</f>
        <v>7.0900563740065375E-3</v>
      </c>
      <c r="H20" s="71">
        <f t="shared" si="2"/>
        <v>1057203.6100175437</v>
      </c>
      <c r="I20" s="72">
        <f t="shared" si="3"/>
        <v>811413.89161983132</v>
      </c>
      <c r="J20" s="72">
        <f t="shared" si="4"/>
        <v>540591.55366327311</v>
      </c>
      <c r="K20" s="72">
        <f t="shared" si="5"/>
        <v>2409209.0553006483</v>
      </c>
      <c r="L20" s="181">
        <f t="shared" si="6"/>
        <v>9.4792979485701003E-3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>
      <c r="A21" s="58" t="s">
        <v>14</v>
      </c>
      <c r="B21" s="359">
        <v>36088</v>
      </c>
      <c r="C21" s="156">
        <f t="shared" si="0"/>
        <v>6.2388040194715413E-3</v>
      </c>
      <c r="D21" s="109">
        <v>38266</v>
      </c>
      <c r="E21" s="367">
        <f t="shared" si="1"/>
        <v>6.7299953850656225E-3</v>
      </c>
      <c r="F21" s="59"/>
      <c r="G21" s="159">
        <f>+'COEF Art 14 F I '!AF20</f>
        <v>1.0328398401407821E-2</v>
      </c>
      <c r="H21" s="71">
        <f t="shared" si="2"/>
        <v>554967.69136563211</v>
      </c>
      <c r="I21" s="72">
        <f t="shared" si="3"/>
        <v>598661.21617129992</v>
      </c>
      <c r="J21" s="72">
        <f t="shared" si="4"/>
        <v>787503.60281199822</v>
      </c>
      <c r="K21" s="72">
        <f t="shared" si="5"/>
        <v>1941132.5103489303</v>
      </c>
      <c r="L21" s="181">
        <f t="shared" si="6"/>
        <v>7.6375993120103526E-3</v>
      </c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</row>
    <row r="22" spans="1:54">
      <c r="A22" s="58" t="s">
        <v>15</v>
      </c>
      <c r="B22" s="359">
        <v>1360</v>
      </c>
      <c r="C22" s="156">
        <f t="shared" si="0"/>
        <v>2.351134301286105E-4</v>
      </c>
      <c r="D22" s="109">
        <v>1874</v>
      </c>
      <c r="E22" s="367">
        <f t="shared" si="1"/>
        <v>3.2958792012786745E-4</v>
      </c>
      <c r="F22" s="59"/>
      <c r="G22" s="159">
        <f>+'COEF Art 14 F I '!AF21</f>
        <v>1.4958202456774291E-3</v>
      </c>
      <c r="H22" s="71">
        <f t="shared" si="2"/>
        <v>20914.322219498441</v>
      </c>
      <c r="I22" s="72">
        <f t="shared" si="3"/>
        <v>29318.222942168399</v>
      </c>
      <c r="J22" s="72">
        <f t="shared" si="4"/>
        <v>114050.96771533719</v>
      </c>
      <c r="K22" s="72">
        <f t="shared" si="5"/>
        <v>164283.51287700405</v>
      </c>
      <c r="L22" s="181">
        <f t="shared" si="6"/>
        <v>6.4639154629299593E-4</v>
      </c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</row>
    <row r="23" spans="1:54">
      <c r="A23" s="58" t="s">
        <v>16</v>
      </c>
      <c r="B23" s="359">
        <v>3256</v>
      </c>
      <c r="C23" s="156">
        <f t="shared" si="0"/>
        <v>5.6288921213143808E-4</v>
      </c>
      <c r="D23" s="109">
        <v>3314</v>
      </c>
      <c r="E23" s="367">
        <f t="shared" si="1"/>
        <v>5.8284651403615407E-4</v>
      </c>
      <c r="F23" s="59"/>
      <c r="G23" s="159">
        <f>+'COEF Art 14 F I '!AF22</f>
        <v>1.079925173801743E-3</v>
      </c>
      <c r="H23" s="71">
        <f t="shared" si="2"/>
        <v>50071.347901975678</v>
      </c>
      <c r="I23" s="72">
        <f t="shared" si="3"/>
        <v>51846.633313952014</v>
      </c>
      <c r="J23" s="72">
        <f t="shared" si="4"/>
        <v>82340.449320809057</v>
      </c>
      <c r="K23" s="72">
        <f t="shared" si="5"/>
        <v>184258.43053673673</v>
      </c>
      <c r="L23" s="181">
        <f t="shared" si="6"/>
        <v>7.2498505629917998E-4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</row>
    <row r="24" spans="1:54">
      <c r="A24" s="58" t="s">
        <v>17</v>
      </c>
      <c r="B24" s="359">
        <v>40903</v>
      </c>
      <c r="C24" s="156">
        <f t="shared" si="0"/>
        <v>7.0712092886401146E-3</v>
      </c>
      <c r="D24" s="109">
        <v>45483</v>
      </c>
      <c r="E24" s="367">
        <f t="shared" si="1"/>
        <v>7.999278213007362E-3</v>
      </c>
      <c r="F24" s="59"/>
      <c r="G24" s="159">
        <f>+'COEF Art 14 F I '!AF23</f>
        <v>9.6419371335461131E-3</v>
      </c>
      <c r="H24" s="71">
        <f t="shared" si="2"/>
        <v>629013.61892951815</v>
      </c>
      <c r="I24" s="72">
        <f t="shared" si="3"/>
        <v>711569.22843044042</v>
      </c>
      <c r="J24" s="72">
        <f t="shared" si="4"/>
        <v>735163.37535153329</v>
      </c>
      <c r="K24" s="72">
        <f t="shared" si="5"/>
        <v>2075746.2227114919</v>
      </c>
      <c r="L24" s="181">
        <f t="shared" si="6"/>
        <v>8.167251765640449E-3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</row>
    <row r="25" spans="1:54">
      <c r="A25" s="58" t="s">
        <v>18</v>
      </c>
      <c r="B25" s="359">
        <v>397205</v>
      </c>
      <c r="C25" s="156">
        <f t="shared" si="0"/>
        <v>6.8667816186937305E-2</v>
      </c>
      <c r="D25" s="109">
        <v>309453</v>
      </c>
      <c r="E25" s="367">
        <f t="shared" si="1"/>
        <v>5.4424744208820153E-2</v>
      </c>
      <c r="F25" s="59"/>
      <c r="G25" s="159">
        <f>+'COEF Art 14 F I '!AF24</f>
        <v>3.8699467705409864E-2</v>
      </c>
      <c r="H25" s="71">
        <f t="shared" si="2"/>
        <v>6108289.2332322635</v>
      </c>
      <c r="I25" s="72">
        <f t="shared" si="3"/>
        <v>4841308.4547080239</v>
      </c>
      <c r="J25" s="72">
        <f t="shared" si="4"/>
        <v>2950696.6192127899</v>
      </c>
      <c r="K25" s="72">
        <f t="shared" si="5"/>
        <v>13900294.307153078</v>
      </c>
      <c r="L25" s="181">
        <f t="shared" si="6"/>
        <v>5.4692236450138064E-2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</row>
    <row r="26" spans="1:54">
      <c r="A26" s="58" t="s">
        <v>19</v>
      </c>
      <c r="B26" s="359">
        <v>5506</v>
      </c>
      <c r="C26" s="156">
        <f t="shared" si="0"/>
        <v>9.5186363697656574E-4</v>
      </c>
      <c r="D26" s="109">
        <v>6204</v>
      </c>
      <c r="E26" s="367">
        <f t="shared" si="1"/>
        <v>1.0911224420882015E-3</v>
      </c>
      <c r="F26" s="59"/>
      <c r="G26" s="159">
        <f>+'COEF Art 14 F I '!AF25</f>
        <v>3.3101270077636777E-3</v>
      </c>
      <c r="H26" s="71">
        <f t="shared" si="2"/>
        <v>84672.248632763542</v>
      </c>
      <c r="I26" s="72">
        <f t="shared" si="3"/>
        <v>97059.901351767738</v>
      </c>
      <c r="J26" s="72">
        <f t="shared" si="4"/>
        <v>252385.39830375655</v>
      </c>
      <c r="K26" s="72">
        <f t="shared" si="5"/>
        <v>434117.54828828783</v>
      </c>
      <c r="L26" s="181">
        <f t="shared" si="6"/>
        <v>1.7080832300017715E-3</v>
      </c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</row>
    <row r="27" spans="1:54">
      <c r="A27" s="58" t="s">
        <v>20</v>
      </c>
      <c r="B27" s="359">
        <v>481213</v>
      </c>
      <c r="C27" s="156">
        <f t="shared" si="0"/>
        <v>8.3190911067999293E-2</v>
      </c>
      <c r="D27" s="109">
        <v>472873</v>
      </c>
      <c r="E27" s="367">
        <f t="shared" si="1"/>
        <v>8.3166077136939742E-2</v>
      </c>
      <c r="F27" s="59"/>
      <c r="G27" s="159">
        <f>+'COEF Art 14 F I '!AF26</f>
        <v>5.5501914924734996E-2</v>
      </c>
      <c r="H27" s="71">
        <f t="shared" si="2"/>
        <v>7400179.219273163</v>
      </c>
      <c r="I27" s="72">
        <f t="shared" si="3"/>
        <v>7397970.1373169683</v>
      </c>
      <c r="J27" s="72">
        <f t="shared" si="4"/>
        <v>4231823.3928927621</v>
      </c>
      <c r="K27" s="72">
        <f t="shared" si="5"/>
        <v>19029972.749482892</v>
      </c>
      <c r="L27" s="181">
        <f t="shared" si="6"/>
        <v>7.4875520349149141E-2</v>
      </c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</row>
    <row r="28" spans="1:54">
      <c r="A28" s="58" t="s">
        <v>21</v>
      </c>
      <c r="B28" s="359">
        <v>14109</v>
      </c>
      <c r="C28" s="156">
        <f t="shared" si="0"/>
        <v>2.4391289600621804E-3</v>
      </c>
      <c r="D28" s="109">
        <v>16479</v>
      </c>
      <c r="E28" s="367">
        <f t="shared" si="1"/>
        <v>2.8982280340379548E-3</v>
      </c>
      <c r="F28" s="59"/>
      <c r="G28" s="159">
        <f>+'COEF Art 14 F I '!AF27</f>
        <v>4.4636286796751901E-3</v>
      </c>
      <c r="H28" s="71">
        <f t="shared" si="2"/>
        <v>216970.71484919373</v>
      </c>
      <c r="I28" s="72">
        <f t="shared" si="3"/>
        <v>257809.49619209874</v>
      </c>
      <c r="J28" s="72">
        <f t="shared" si="4"/>
        <v>340335.79362895637</v>
      </c>
      <c r="K28" s="72">
        <f t="shared" si="5"/>
        <v>815116.00467024883</v>
      </c>
      <c r="L28" s="181">
        <f t="shared" si="6"/>
        <v>3.2071635518376037E-3</v>
      </c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</row>
    <row r="29" spans="1:54">
      <c r="A29" s="58" t="s">
        <v>22</v>
      </c>
      <c r="B29" s="359">
        <v>1808</v>
      </c>
      <c r="C29" s="156">
        <f t="shared" si="0"/>
        <v>3.1256256005332924E-4</v>
      </c>
      <c r="D29" s="109">
        <v>1199</v>
      </c>
      <c r="E29" s="367">
        <f t="shared" si="1"/>
        <v>2.108729542333581E-4</v>
      </c>
      <c r="F29" s="59"/>
      <c r="G29" s="159">
        <f>+'COEF Art 14 F I '!AF28</f>
        <v>8.7495134625182008E-4</v>
      </c>
      <c r="H29" s="71">
        <f t="shared" si="2"/>
        <v>27803.746009450864</v>
      </c>
      <c r="I29" s="72">
        <f t="shared" si="3"/>
        <v>18758.030580394829</v>
      </c>
      <c r="J29" s="72">
        <f t="shared" si="4"/>
        <v>66711.924799937813</v>
      </c>
      <c r="K29" s="72">
        <f t="shared" si="5"/>
        <v>113273.7013897835</v>
      </c>
      <c r="L29" s="181">
        <f t="shared" si="6"/>
        <v>4.4568783387588648E-4</v>
      </c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</row>
    <row r="30" spans="1:54">
      <c r="A30" s="58" t="s">
        <v>23</v>
      </c>
      <c r="B30" s="359">
        <v>6282</v>
      </c>
      <c r="C30" s="156">
        <f t="shared" si="0"/>
        <v>1.0860165941675964E-3</v>
      </c>
      <c r="D30" s="109">
        <v>6672</v>
      </c>
      <c r="E30" s="367">
        <f t="shared" si="1"/>
        <v>1.1734314851083946E-3</v>
      </c>
      <c r="F30" s="59"/>
      <c r="G30" s="159">
        <f>+'COEF Art 14 F I '!AF29</f>
        <v>2.502754837469378E-3</v>
      </c>
      <c r="H30" s="71">
        <f t="shared" si="2"/>
        <v>96605.714840359695</v>
      </c>
      <c r="I30" s="72">
        <f t="shared" si="3"/>
        <v>104381.6347225974</v>
      </c>
      <c r="J30" s="72">
        <f t="shared" si="4"/>
        <v>190826.14504816575</v>
      </c>
      <c r="K30" s="72">
        <f t="shared" si="5"/>
        <v>391813.49461112288</v>
      </c>
      <c r="L30" s="181">
        <f t="shared" si="6"/>
        <v>1.5416332789874099E-3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</row>
    <row r="31" spans="1:54">
      <c r="A31" s="58" t="s">
        <v>24</v>
      </c>
      <c r="B31" s="359">
        <v>102149</v>
      </c>
      <c r="C31" s="156">
        <f t="shared" si="0"/>
        <v>1.7659266010446643E-2</v>
      </c>
      <c r="D31" s="109">
        <v>94516</v>
      </c>
      <c r="E31" s="367">
        <f t="shared" si="1"/>
        <v>1.6622909209608069E-2</v>
      </c>
      <c r="F31" s="59"/>
      <c r="G31" s="159">
        <f>+'COEF Art 14 F I '!AF30</f>
        <v>9.2656795460639759E-3</v>
      </c>
      <c r="H31" s="71">
        <f t="shared" si="2"/>
        <v>1570865.5149996663</v>
      </c>
      <c r="I31" s="72">
        <f t="shared" si="3"/>
        <v>1478677.2463190975</v>
      </c>
      <c r="J31" s="72">
        <f t="shared" si="4"/>
        <v>706475.07400878635</v>
      </c>
      <c r="K31" s="72">
        <f t="shared" si="5"/>
        <v>3756017.8353275498</v>
      </c>
      <c r="L31" s="181">
        <f t="shared" si="6"/>
        <v>1.4778465190838339E-2</v>
      </c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</row>
    <row r="32" spans="1:54">
      <c r="A32" s="58" t="s">
        <v>25</v>
      </c>
      <c r="B32" s="359">
        <v>643143</v>
      </c>
      <c r="C32" s="156">
        <f t="shared" si="0"/>
        <v>0.11118496823029775</v>
      </c>
      <c r="D32" s="109">
        <v>715442</v>
      </c>
      <c r="E32" s="367">
        <f t="shared" si="1"/>
        <v>0.12582766315481417</v>
      </c>
      <c r="F32" s="59"/>
      <c r="G32" s="159">
        <f>+'COEF Art 14 F I '!AF31</f>
        <v>6.5448805463303547E-2</v>
      </c>
      <c r="H32" s="71">
        <f t="shared" si="2"/>
        <v>9890367.59942271</v>
      </c>
      <c r="I32" s="72">
        <f t="shared" si="3"/>
        <v>11192896.509173343</v>
      </c>
      <c r="J32" s="72">
        <f t="shared" si="4"/>
        <v>4990238.3795601623</v>
      </c>
      <c r="K32" s="72">
        <f t="shared" si="5"/>
        <v>26073502.488156214</v>
      </c>
      <c r="L32" s="181">
        <f t="shared" si="6"/>
        <v>0.10258906262378022</v>
      </c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</row>
    <row r="33" spans="1:54">
      <c r="A33" s="58" t="s">
        <v>26</v>
      </c>
      <c r="B33" s="359">
        <v>1959</v>
      </c>
      <c r="C33" s="156">
        <f t="shared" si="0"/>
        <v>3.3866706589849116E-4</v>
      </c>
      <c r="D33" s="109">
        <v>2019</v>
      </c>
      <c r="E33" s="367">
        <f t="shared" si="1"/>
        <v>3.5508965354224354E-4</v>
      </c>
      <c r="F33" s="59"/>
      <c r="G33" s="159">
        <f>+'COEF Art 14 F I '!AF32</f>
        <v>9.1195039393604646E-4</v>
      </c>
      <c r="H33" s="71">
        <f t="shared" si="2"/>
        <v>30125.850902939299</v>
      </c>
      <c r="I33" s="72">
        <f t="shared" si="3"/>
        <v>31586.70870877161</v>
      </c>
      <c r="J33" s="72">
        <f t="shared" si="4"/>
        <v>69532.970447050888</v>
      </c>
      <c r="K33" s="72">
        <f t="shared" si="5"/>
        <v>131245.5300587618</v>
      </c>
      <c r="L33" s="181">
        <f t="shared" si="6"/>
        <v>5.1639996998507096E-4</v>
      </c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</row>
    <row r="34" spans="1:54">
      <c r="A34" s="58" t="s">
        <v>27</v>
      </c>
      <c r="B34" s="359">
        <v>16086</v>
      </c>
      <c r="C34" s="156">
        <f t="shared" si="0"/>
        <v>2.7809078213594327E-3</v>
      </c>
      <c r="D34" s="109">
        <v>15960</v>
      </c>
      <c r="E34" s="367">
        <f t="shared" si="1"/>
        <v>2.8069494158168432E-3</v>
      </c>
      <c r="F34" s="59"/>
      <c r="G34" s="159">
        <f>+'COEF Art 14 F I '!AF33</f>
        <v>1.7316317701768615E-3</v>
      </c>
      <c r="H34" s="71">
        <f t="shared" si="2"/>
        <v>247373.37295797933</v>
      </c>
      <c r="I34" s="72">
        <f t="shared" si="3"/>
        <v>249689.88162060172</v>
      </c>
      <c r="J34" s="72">
        <f t="shared" si="4"/>
        <v>132030.75682790478</v>
      </c>
      <c r="K34" s="72">
        <f t="shared" si="5"/>
        <v>629094.01140648592</v>
      </c>
      <c r="L34" s="181">
        <f t="shared" si="6"/>
        <v>2.4752395640647551E-3</v>
      </c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</row>
    <row r="35" spans="1:54">
      <c r="A35" s="58" t="s">
        <v>28</v>
      </c>
      <c r="B35" s="359">
        <v>1386</v>
      </c>
      <c r="C35" s="156">
        <f t="shared" si="0"/>
        <v>2.3960824570459864E-4</v>
      </c>
      <c r="D35" s="109">
        <v>1732</v>
      </c>
      <c r="E35" s="367">
        <f t="shared" si="1"/>
        <v>3.0461380878413365E-4</v>
      </c>
      <c r="F35" s="59"/>
      <c r="G35" s="159">
        <f>+'COEF Art 14 F I '!AF34</f>
        <v>1.308061922473703E-3</v>
      </c>
      <c r="H35" s="71">
        <f t="shared" si="2"/>
        <v>21314.15485016532</v>
      </c>
      <c r="I35" s="72">
        <f t="shared" si="3"/>
        <v>27096.671363839738</v>
      </c>
      <c r="J35" s="72">
        <f t="shared" si="4"/>
        <v>99735.064103338678</v>
      </c>
      <c r="K35" s="72">
        <f t="shared" si="5"/>
        <v>148145.89031734373</v>
      </c>
      <c r="L35" s="181">
        <f t="shared" si="6"/>
        <v>5.82896295813167E-4</v>
      </c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</row>
    <row r="36" spans="1:54">
      <c r="A36" s="58" t="s">
        <v>29</v>
      </c>
      <c r="B36" s="359">
        <v>7026</v>
      </c>
      <c r="C36" s="156">
        <f t="shared" si="0"/>
        <v>1.2146374706497186E-3</v>
      </c>
      <c r="D36" s="109">
        <v>7833</v>
      </c>
      <c r="E36" s="367">
        <f t="shared" si="1"/>
        <v>1.3776212264469507E-3</v>
      </c>
      <c r="F36" s="59"/>
      <c r="G36" s="159">
        <f>+'COEF Art 14 F I '!AF35</f>
        <v>1.528914435974759E-3</v>
      </c>
      <c r="H36" s="71">
        <f t="shared" si="2"/>
        <v>108047.07934867355</v>
      </c>
      <c r="I36" s="72">
        <f t="shared" si="3"/>
        <v>122545.16558484796</v>
      </c>
      <c r="J36" s="72">
        <f t="shared" si="4"/>
        <v>116574.28189033463</v>
      </c>
      <c r="K36" s="72">
        <f t="shared" si="5"/>
        <v>347166.52682385611</v>
      </c>
      <c r="L36" s="181">
        <f t="shared" si="6"/>
        <v>1.3659648747762617E-3</v>
      </c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</row>
    <row r="37" spans="1:54">
      <c r="A37" s="58" t="s">
        <v>30</v>
      </c>
      <c r="B37" s="359">
        <v>3298</v>
      </c>
      <c r="C37" s="156">
        <f t="shared" si="0"/>
        <v>5.7015006806188052E-4</v>
      </c>
      <c r="D37" s="109">
        <v>4025</v>
      </c>
      <c r="E37" s="367">
        <f t="shared" si="1"/>
        <v>7.0789294477837056E-4</v>
      </c>
      <c r="F37" s="59"/>
      <c r="G37" s="159">
        <f>+'COEF Art 14 F I '!AF36</f>
        <v>1.5950723960538578E-3</v>
      </c>
      <c r="H37" s="71">
        <f t="shared" si="2"/>
        <v>50717.231382283724</v>
      </c>
      <c r="I37" s="72">
        <f t="shared" si="3"/>
        <v>62970.035935020169</v>
      </c>
      <c r="J37" s="72">
        <f t="shared" si="4"/>
        <v>121618.59078433325</v>
      </c>
      <c r="K37" s="72">
        <f t="shared" si="5"/>
        <v>235305.85810163716</v>
      </c>
      <c r="L37" s="181">
        <f t="shared" si="6"/>
        <v>9.2583677331024513E-4</v>
      </c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</row>
    <row r="38" spans="1:54">
      <c r="A38" s="58" t="s">
        <v>31</v>
      </c>
      <c r="B38" s="359">
        <v>471523</v>
      </c>
      <c r="C38" s="156">
        <f t="shared" si="0"/>
        <v>8.1515727878332944E-2</v>
      </c>
      <c r="D38" s="109">
        <v>406584</v>
      </c>
      <c r="E38" s="367">
        <f t="shared" si="1"/>
        <v>7.1507563990004727E-2</v>
      </c>
      <c r="F38" s="59"/>
      <c r="G38" s="159">
        <f>+'COEF Art 14 F I '!AF37</f>
        <v>4.7650956419883629E-2</v>
      </c>
      <c r="H38" s="71">
        <f t="shared" si="2"/>
        <v>7251164.6734592374</v>
      </c>
      <c r="I38" s="72">
        <f t="shared" si="3"/>
        <v>6360896.668473104</v>
      </c>
      <c r="J38" s="72">
        <f t="shared" si="4"/>
        <v>3633215.7610206977</v>
      </c>
      <c r="K38" s="72">
        <f t="shared" si="5"/>
        <v>17245277.102953039</v>
      </c>
      <c r="L38" s="181">
        <f t="shared" si="6"/>
        <v>6.7853439079883268E-2</v>
      </c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</row>
    <row r="39" spans="1:54">
      <c r="A39" s="58" t="s">
        <v>32</v>
      </c>
      <c r="B39" s="359">
        <v>5351</v>
      </c>
      <c r="C39" s="156">
        <f t="shared" si="0"/>
        <v>9.2506762104279034E-4</v>
      </c>
      <c r="D39" s="109">
        <v>5855</v>
      </c>
      <c r="E39" s="367">
        <f t="shared" si="1"/>
        <v>1.0297424078701514E-3</v>
      </c>
      <c r="F39" s="59"/>
      <c r="G39" s="159">
        <f>+'COEF Art 14 F I '!AF38</f>
        <v>3.7930141401310499E-3</v>
      </c>
      <c r="H39" s="71">
        <f t="shared" si="2"/>
        <v>82288.631026864823</v>
      </c>
      <c r="I39" s="72">
        <f t="shared" si="3"/>
        <v>91599.890782495175</v>
      </c>
      <c r="J39" s="72">
        <f t="shared" si="4"/>
        <v>289203.82277884515</v>
      </c>
      <c r="K39" s="72">
        <f t="shared" si="5"/>
        <v>463092.34458820516</v>
      </c>
      <c r="L39" s="181">
        <f t="shared" si="6"/>
        <v>1.8220877521588441E-3</v>
      </c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</row>
    <row r="40" spans="1:54">
      <c r="A40" s="58" t="s">
        <v>33</v>
      </c>
      <c r="B40" s="359">
        <v>84666</v>
      </c>
      <c r="C40" s="156">
        <f t="shared" si="0"/>
        <v>1.4636848290638924E-2</v>
      </c>
      <c r="D40" s="109">
        <v>89739</v>
      </c>
      <c r="E40" s="367">
        <f t="shared" si="1"/>
        <v>1.5782758999122036E-2</v>
      </c>
      <c r="F40" s="59"/>
      <c r="G40" s="159">
        <f>+'COEF Art 14 F I '!AF39</f>
        <v>1.0616347570695617E-2</v>
      </c>
      <c r="H40" s="71">
        <f t="shared" si="2"/>
        <v>1302008.8272323932</v>
      </c>
      <c r="I40" s="72">
        <f t="shared" si="3"/>
        <v>1403942.3738565901</v>
      </c>
      <c r="J40" s="72">
        <f t="shared" si="4"/>
        <v>809458.70169838052</v>
      </c>
      <c r="K40" s="72">
        <f t="shared" si="5"/>
        <v>3515409.9027873641</v>
      </c>
      <c r="L40" s="181">
        <f t="shared" si="6"/>
        <v>1.3831766822625019E-2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</row>
    <row r="41" spans="1:54">
      <c r="A41" s="58" t="s">
        <v>34</v>
      </c>
      <c r="B41" s="359">
        <v>5119</v>
      </c>
      <c r="C41" s="156">
        <f t="shared" si="0"/>
        <v>8.8496003590320376E-4</v>
      </c>
      <c r="D41" s="109">
        <v>6248</v>
      </c>
      <c r="E41" s="367">
        <f t="shared" si="1"/>
        <v>1.0988608991242882E-3</v>
      </c>
      <c r="F41" s="59"/>
      <c r="G41" s="159">
        <f>+'COEF Art 14 F I '!AF40</f>
        <v>1.9314985527605372E-3</v>
      </c>
      <c r="H41" s="71">
        <f t="shared" si="2"/>
        <v>78720.893707068026</v>
      </c>
      <c r="I41" s="72">
        <f t="shared" si="3"/>
        <v>97748.269446461141</v>
      </c>
      <c r="J41" s="72">
        <f t="shared" si="4"/>
        <v>147269.88735424398</v>
      </c>
      <c r="K41" s="72">
        <f t="shared" si="5"/>
        <v>323739.05050777318</v>
      </c>
      <c r="L41" s="181">
        <f t="shared" si="6"/>
        <v>1.2737868930877833E-3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</row>
    <row r="42" spans="1:54">
      <c r="A42" s="58" t="s">
        <v>35</v>
      </c>
      <c r="B42" s="359">
        <v>1483</v>
      </c>
      <c r="C42" s="156">
        <f t="shared" si="0"/>
        <v>2.5637736535347747E-4</v>
      </c>
      <c r="D42" s="109">
        <v>1087</v>
      </c>
      <c r="E42" s="367">
        <f t="shared" si="1"/>
        <v>1.9117506359604691E-4</v>
      </c>
      <c r="F42" s="59"/>
      <c r="G42" s="159">
        <f>+'COEF Art 14 F I '!AF41</f>
        <v>3.5390952712618441E-4</v>
      </c>
      <c r="H42" s="71">
        <f t="shared" si="2"/>
        <v>22805.838126114842</v>
      </c>
      <c r="I42" s="72">
        <f t="shared" si="3"/>
        <v>17005.820884811659</v>
      </c>
      <c r="J42" s="72">
        <f t="shared" si="4"/>
        <v>26984.341313109271</v>
      </c>
      <c r="K42" s="72">
        <f t="shared" si="5"/>
        <v>66796.000324035776</v>
      </c>
      <c r="L42" s="181">
        <f t="shared" si="6"/>
        <v>2.6281620827018883E-4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</row>
    <row r="43" spans="1:54">
      <c r="A43" s="58" t="s">
        <v>36</v>
      </c>
      <c r="B43" s="359">
        <v>7652</v>
      </c>
      <c r="C43" s="156">
        <f t="shared" si="0"/>
        <v>1.322858799517741E-3</v>
      </c>
      <c r="D43" s="109">
        <v>7662</v>
      </c>
      <c r="E43" s="367">
        <f t="shared" si="1"/>
        <v>1.3475467684203417E-3</v>
      </c>
      <c r="F43" s="59"/>
      <c r="G43" s="159">
        <f>+'COEF Art 14 F I '!AF42</f>
        <v>2.7561893908220462E-3</v>
      </c>
      <c r="H43" s="71">
        <f t="shared" si="2"/>
        <v>117673.81884088388</v>
      </c>
      <c r="I43" s="72">
        <f t="shared" si="3"/>
        <v>119869.91685319865</v>
      </c>
      <c r="J43" s="72">
        <f t="shared" si="4"/>
        <v>210149.62736223603</v>
      </c>
      <c r="K43" s="72">
        <f t="shared" si="5"/>
        <v>447693.36305631854</v>
      </c>
      <c r="L43" s="181">
        <f t="shared" si="6"/>
        <v>1.7614987660249423E-3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</row>
    <row r="44" spans="1:54">
      <c r="A44" s="58" t="s">
        <v>37</v>
      </c>
      <c r="B44" s="359">
        <v>6048</v>
      </c>
      <c r="C44" s="156">
        <f t="shared" si="0"/>
        <v>1.0455632539837032E-3</v>
      </c>
      <c r="D44" s="109">
        <v>5923</v>
      </c>
      <c r="E44" s="367">
        <f t="shared" si="1"/>
        <v>1.0417018414713762E-3</v>
      </c>
      <c r="F44" s="59"/>
      <c r="G44" s="159">
        <f>+'COEF Art 14 F I '!AF43</f>
        <v>3.5988637909639709E-3</v>
      </c>
      <c r="H44" s="71">
        <f t="shared" si="2"/>
        <v>93007.221164357776</v>
      </c>
      <c r="I44" s="72">
        <f t="shared" si="3"/>
        <v>92663.732383384966</v>
      </c>
      <c r="J44" s="72">
        <f t="shared" si="4"/>
        <v>274400.54994658864</v>
      </c>
      <c r="K44" s="72">
        <f t="shared" si="5"/>
        <v>460071.50349433138</v>
      </c>
      <c r="L44" s="181">
        <f t="shared" si="6"/>
        <v>1.8102019206984686E-3</v>
      </c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</row>
    <row r="45" spans="1:54">
      <c r="A45" s="58" t="s">
        <v>38</v>
      </c>
      <c r="B45" s="359">
        <v>67428</v>
      </c>
      <c r="C45" s="156">
        <f t="shared" si="0"/>
        <v>1.1656785563758786E-2</v>
      </c>
      <c r="D45" s="109">
        <v>68518</v>
      </c>
      <c r="E45" s="367">
        <f t="shared" si="1"/>
        <v>1.2050536345422211E-2</v>
      </c>
      <c r="F45" s="59"/>
      <c r="G45" s="159">
        <f>+'COEF Art 14 F I '!AF44</f>
        <v>8.2417933417613647E-3</v>
      </c>
      <c r="H45" s="71">
        <f t="shared" si="2"/>
        <v>1036919.7931002505</v>
      </c>
      <c r="I45" s="72">
        <f t="shared" si="3"/>
        <v>1071945.5707318541</v>
      </c>
      <c r="J45" s="72">
        <f t="shared" si="4"/>
        <v>628407.39657993126</v>
      </c>
      <c r="K45" s="72">
        <f t="shared" si="5"/>
        <v>2737272.7604120355</v>
      </c>
      <c r="L45" s="181">
        <f t="shared" si="6"/>
        <v>1.0770100670741755E-2</v>
      </c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</row>
    <row r="46" spans="1:54">
      <c r="A46" s="58" t="s">
        <v>39</v>
      </c>
      <c r="B46" s="359">
        <v>1142994</v>
      </c>
      <c r="C46" s="156">
        <f t="shared" si="0"/>
        <v>0.19759797055619194</v>
      </c>
      <c r="D46" s="109">
        <v>1136308</v>
      </c>
      <c r="E46" s="367">
        <f t="shared" si="1"/>
        <v>0.19984705994912316</v>
      </c>
      <c r="F46" s="59"/>
      <c r="G46" s="159">
        <f>+'COEF Art 14 F I '!AF45</f>
        <v>0.28155539131656243</v>
      </c>
      <c r="H46" s="71">
        <f t="shared" si="2"/>
        <v>17577165.302171618</v>
      </c>
      <c r="I46" s="72">
        <f t="shared" si="3"/>
        <v>17777231.20329215</v>
      </c>
      <c r="J46" s="72">
        <f t="shared" si="4"/>
        <v>21467596.081761561</v>
      </c>
      <c r="K46" s="72">
        <f t="shared" si="5"/>
        <v>56821992.587225325</v>
      </c>
      <c r="L46" s="181">
        <f t="shared" si="6"/>
        <v>0.22357237807182895</v>
      </c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</row>
    <row r="47" spans="1:54">
      <c r="A47" s="58" t="s">
        <v>40</v>
      </c>
      <c r="B47" s="359">
        <v>906</v>
      </c>
      <c r="C47" s="156">
        <f t="shared" si="0"/>
        <v>1.5662703507097141E-4</v>
      </c>
      <c r="D47" s="109">
        <v>1093</v>
      </c>
      <c r="E47" s="367">
        <f t="shared" si="1"/>
        <v>1.9223030773733143E-4</v>
      </c>
      <c r="F47" s="59"/>
      <c r="G47" s="159">
        <f>+'COEF Art 14 F I '!AF46</f>
        <v>1.8095712518684166E-3</v>
      </c>
      <c r="H47" s="71">
        <f t="shared" si="2"/>
        <v>13932.629360930579</v>
      </c>
      <c r="I47" s="72">
        <f t="shared" si="3"/>
        <v>17099.689261360756</v>
      </c>
      <c r="J47" s="72">
        <f t="shared" si="4"/>
        <v>137973.36479556735</v>
      </c>
      <c r="K47" s="72">
        <f t="shared" si="5"/>
        <v>169005.68341785867</v>
      </c>
      <c r="L47" s="181">
        <f t="shared" si="6"/>
        <v>6.649714455434308E-4</v>
      </c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</row>
    <row r="48" spans="1:54">
      <c r="A48" s="58" t="s">
        <v>41</v>
      </c>
      <c r="B48" s="359">
        <v>147624</v>
      </c>
      <c r="C48" s="156">
        <f t="shared" si="0"/>
        <v>2.5520871330372057E-2</v>
      </c>
      <c r="D48" s="109">
        <v>115959</v>
      </c>
      <c r="E48" s="367">
        <f t="shared" si="1"/>
        <v>2.0394175896535423E-2</v>
      </c>
      <c r="F48" s="59"/>
      <c r="G48" s="159">
        <f>+'COEF Art 14 F I '!AF47</f>
        <v>1.326065675259412E-2</v>
      </c>
      <c r="H48" s="71">
        <f t="shared" si="2"/>
        <v>2270188.1642141454</v>
      </c>
      <c r="I48" s="72">
        <f t="shared" si="3"/>
        <v>1814147.1793761502</v>
      </c>
      <c r="J48" s="72">
        <f t="shared" si="4"/>
        <v>1011077.8614908683</v>
      </c>
      <c r="K48" s="72">
        <f t="shared" si="5"/>
        <v>5095413.2050811639</v>
      </c>
      <c r="L48" s="181">
        <f t="shared" si="6"/>
        <v>2.004846355519585E-2</v>
      </c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</row>
    <row r="49" spans="1:54">
      <c r="A49" s="58" t="s">
        <v>42</v>
      </c>
      <c r="B49" s="359">
        <v>5389</v>
      </c>
      <c r="C49" s="156">
        <f t="shared" si="0"/>
        <v>9.3163696688461914E-4</v>
      </c>
      <c r="D49" s="109">
        <v>5221</v>
      </c>
      <c r="E49" s="367">
        <f t="shared" si="1"/>
        <v>9.1823827694108642E-4</v>
      </c>
      <c r="F49" s="59"/>
      <c r="G49" s="159">
        <f>+'COEF Art 14 F I '!AF48</f>
        <v>2.0272011004235009E-3</v>
      </c>
      <c r="H49" s="71">
        <f t="shared" si="2"/>
        <v>82873.001794762575</v>
      </c>
      <c r="I49" s="72">
        <f t="shared" si="3"/>
        <v>81681.132327140454</v>
      </c>
      <c r="J49" s="72">
        <f t="shared" si="4"/>
        <v>154566.86585505377</v>
      </c>
      <c r="K49" s="72">
        <f t="shared" si="5"/>
        <v>319120.99997695681</v>
      </c>
      <c r="L49" s="181">
        <f t="shared" si="6"/>
        <v>1.255616665466047E-3</v>
      </c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</row>
    <row r="50" spans="1:54">
      <c r="A50" s="58" t="s">
        <v>43</v>
      </c>
      <c r="B50" s="359">
        <v>2377</v>
      </c>
      <c r="C50" s="156">
        <f t="shared" si="0"/>
        <v>4.1092987015860824E-4</v>
      </c>
      <c r="D50" s="109">
        <v>3029</v>
      </c>
      <c r="E50" s="367">
        <f t="shared" si="1"/>
        <v>5.3272241732513898E-4</v>
      </c>
      <c r="F50" s="59"/>
      <c r="G50" s="159">
        <f>+'COEF Art 14 F I '!AF49</f>
        <v>1.8707603383868743E-3</v>
      </c>
      <c r="H50" s="71">
        <f t="shared" si="2"/>
        <v>36553.929349814556</v>
      </c>
      <c r="I50" s="72">
        <f t="shared" si="3"/>
        <v>47387.885427869835</v>
      </c>
      <c r="J50" s="72">
        <f t="shared" si="4"/>
        <v>142638.81477273829</v>
      </c>
      <c r="K50" s="72">
        <f t="shared" si="5"/>
        <v>226580.62955042269</v>
      </c>
      <c r="L50" s="181">
        <f t="shared" si="6"/>
        <v>8.9150640213537364E-4</v>
      </c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</row>
    <row r="51" spans="1:54">
      <c r="A51" s="58" t="s">
        <v>44</v>
      </c>
      <c r="B51" s="359">
        <v>34709</v>
      </c>
      <c r="C51" s="156">
        <f t="shared" si="0"/>
        <v>6.0004059164220159E-3</v>
      </c>
      <c r="D51" s="109">
        <v>39518</v>
      </c>
      <c r="E51" s="367">
        <f t="shared" si="1"/>
        <v>6.9501896625469937E-3</v>
      </c>
      <c r="F51" s="59"/>
      <c r="G51" s="159">
        <f>+'COEF Art 14 F I '!AF50</f>
        <v>4.9443607143230027E-3</v>
      </c>
      <c r="H51" s="71">
        <f t="shared" si="2"/>
        <v>533761.18376218481</v>
      </c>
      <c r="I51" s="72">
        <f t="shared" si="3"/>
        <v>618248.41741121176</v>
      </c>
      <c r="J51" s="72">
        <f t="shared" si="4"/>
        <v>376989.8995763695</v>
      </c>
      <c r="K51" s="72">
        <f t="shared" si="5"/>
        <v>1528999.5007497661</v>
      </c>
      <c r="L51" s="181">
        <f t="shared" si="6"/>
        <v>6.0160166669360532E-3</v>
      </c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</row>
    <row r="52" spans="1:54">
      <c r="A52" s="58" t="s">
        <v>45</v>
      </c>
      <c r="B52" s="359">
        <v>86766</v>
      </c>
      <c r="C52" s="156">
        <f t="shared" si="0"/>
        <v>1.4999891087161044E-2</v>
      </c>
      <c r="D52" s="109">
        <v>63214</v>
      </c>
      <c r="E52" s="367">
        <f t="shared" si="1"/>
        <v>1.1117700524526687E-2</v>
      </c>
      <c r="F52" s="59"/>
      <c r="G52" s="159">
        <f>+'COEF Art 14 F I '!AF51</f>
        <v>1.0154959601790643E-2</v>
      </c>
      <c r="H52" s="71">
        <f t="shared" si="2"/>
        <v>1334303.0012477953</v>
      </c>
      <c r="I52" s="72">
        <f t="shared" si="3"/>
        <v>988965.92586245097</v>
      </c>
      <c r="J52" s="72">
        <f t="shared" si="4"/>
        <v>774279.51188737829</v>
      </c>
      <c r="K52" s="72">
        <f t="shared" si="5"/>
        <v>3097548.4389976244</v>
      </c>
      <c r="L52" s="181">
        <f t="shared" si="6"/>
        <v>1.2187644944627896E-2</v>
      </c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</row>
    <row r="53" spans="1:54">
      <c r="A53" s="58" t="s">
        <v>46</v>
      </c>
      <c r="B53" s="359">
        <v>412199</v>
      </c>
      <c r="C53" s="156">
        <f t="shared" si="0"/>
        <v>7.125994175410523E-2</v>
      </c>
      <c r="D53" s="109">
        <v>476051</v>
      </c>
      <c r="E53" s="367">
        <f t="shared" si="1"/>
        <v>8.3725004783773441E-2</v>
      </c>
      <c r="F53" s="59"/>
      <c r="G53" s="159">
        <f>+'COEF Art 14 F I '!AF52</f>
        <v>6.6935765602779529E-2</v>
      </c>
      <c r="H53" s="71">
        <f t="shared" si="2"/>
        <v>6338869.6357022328</v>
      </c>
      <c r="I53" s="72">
        <f t="shared" si="3"/>
        <v>7447689.0874291398</v>
      </c>
      <c r="J53" s="72">
        <f t="shared" si="4"/>
        <v>5103613.795724933</v>
      </c>
      <c r="K53" s="72">
        <f t="shared" si="5"/>
        <v>18890172.518856306</v>
      </c>
      <c r="L53" s="181">
        <f t="shared" si="6"/>
        <v>7.4325460969091373E-2</v>
      </c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</row>
    <row r="54" spans="1:54">
      <c r="A54" s="58" t="s">
        <v>47</v>
      </c>
      <c r="B54" s="359">
        <v>132169</v>
      </c>
      <c r="C54" s="156">
        <f t="shared" si="0"/>
        <v>2.2849049225491413E-2</v>
      </c>
      <c r="D54" s="109">
        <v>138945</v>
      </c>
      <c r="E54" s="367">
        <f t="shared" si="1"/>
        <v>2.4436816201796448E-2</v>
      </c>
      <c r="F54" s="59"/>
      <c r="G54" s="159">
        <f>+'COEF Art 14 F I '!AF53</f>
        <v>0.12767396748808651</v>
      </c>
      <c r="H54" s="71">
        <f t="shared" si="2"/>
        <v>2032518.4216388892</v>
      </c>
      <c r="I54" s="72">
        <f t="shared" si="3"/>
        <v>2173756.9299357459</v>
      </c>
      <c r="J54" s="72">
        <f t="shared" si="4"/>
        <v>9734685.4250379577</v>
      </c>
      <c r="K54" s="72">
        <f t="shared" si="5"/>
        <v>13940960.776612593</v>
      </c>
      <c r="L54" s="181">
        <f t="shared" si="6"/>
        <v>5.4852243145976691E-2</v>
      </c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</row>
    <row r="55" spans="1:54">
      <c r="A55" s="58" t="s">
        <v>48</v>
      </c>
      <c r="B55" s="359">
        <v>306322</v>
      </c>
      <c r="C55" s="156">
        <f t="shared" si="0"/>
        <v>5.2956188341070756E-2</v>
      </c>
      <c r="D55" s="109">
        <v>325468</v>
      </c>
      <c r="E55" s="367">
        <f t="shared" si="1"/>
        <v>5.7241366695932105E-2</v>
      </c>
      <c r="F55" s="59"/>
      <c r="G55" s="159">
        <f>+'COEF Art 14 F I '!AF54</f>
        <v>3.5829649803664536E-2</v>
      </c>
      <c r="H55" s="71">
        <f t="shared" si="2"/>
        <v>4710674.2727361778</v>
      </c>
      <c r="I55" s="72">
        <f t="shared" si="3"/>
        <v>5091858.796446993</v>
      </c>
      <c r="J55" s="72">
        <f t="shared" si="4"/>
        <v>2731883.2224783297</v>
      </c>
      <c r="K55" s="72">
        <f t="shared" si="5"/>
        <v>12534416.291661501</v>
      </c>
      <c r="L55" s="181">
        <f t="shared" si="6"/>
        <v>4.9318039204050361E-2</v>
      </c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</row>
    <row r="56" spans="1:54">
      <c r="A56" s="58" t="s">
        <v>49</v>
      </c>
      <c r="B56" s="359">
        <v>46784</v>
      </c>
      <c r="C56" s="156">
        <f t="shared" si="0"/>
        <v>8.0879019964242016E-3</v>
      </c>
      <c r="D56" s="109">
        <v>47500</v>
      </c>
      <c r="E56" s="367">
        <f t="shared" si="1"/>
        <v>8.3540161185025105E-3</v>
      </c>
      <c r="F56" s="59"/>
      <c r="G56" s="159">
        <f>+'COEF Art 14 F I '!AF55</f>
        <v>1.5884000004809662E-2</v>
      </c>
      <c r="H56" s="71">
        <f t="shared" si="2"/>
        <v>719452.68435074633</v>
      </c>
      <c r="I56" s="72">
        <f t="shared" si="3"/>
        <v>743124.64768036234</v>
      </c>
      <c r="J56" s="72">
        <f t="shared" si="4"/>
        <v>1211098.4437963194</v>
      </c>
      <c r="K56" s="72">
        <f t="shared" si="5"/>
        <v>2673675.7758274283</v>
      </c>
      <c r="L56" s="181">
        <f t="shared" si="6"/>
        <v>1.0519871341667247E-2</v>
      </c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</row>
    <row r="57" spans="1:54">
      <c r="A57" s="58" t="s">
        <v>50</v>
      </c>
      <c r="B57" s="359">
        <v>1552</v>
      </c>
      <c r="C57" s="156">
        <f t="shared" si="0"/>
        <v>2.6830591438206137E-4</v>
      </c>
      <c r="D57" s="109">
        <v>1963</v>
      </c>
      <c r="E57" s="367">
        <f t="shared" si="1"/>
        <v>3.4524070822358792E-4</v>
      </c>
      <c r="F57" s="59"/>
      <c r="G57" s="159">
        <f>+'COEF Art 14 F I '!AF56</f>
        <v>2.8153920401121735E-3</v>
      </c>
      <c r="H57" s="71">
        <f t="shared" si="2"/>
        <v>23866.932415192336</v>
      </c>
      <c r="I57" s="72">
        <f t="shared" si="3"/>
        <v>30710.603860980023</v>
      </c>
      <c r="J57" s="72">
        <f t="shared" si="4"/>
        <v>214663.61857365517</v>
      </c>
      <c r="K57" s="72">
        <f t="shared" si="5"/>
        <v>269241.15484982752</v>
      </c>
      <c r="L57" s="181">
        <f t="shared" si="6"/>
        <v>1.059358929945629E-3</v>
      </c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</row>
    <row r="58" spans="1:54">
      <c r="A58" s="58" t="s">
        <v>51</v>
      </c>
      <c r="B58" s="359">
        <v>3573</v>
      </c>
      <c r="C58" s="156">
        <f t="shared" si="0"/>
        <v>6.1769138665406279E-4</v>
      </c>
      <c r="D58" s="109">
        <v>4615</v>
      </c>
      <c r="E58" s="367">
        <f t="shared" si="1"/>
        <v>8.1165861867134911E-4</v>
      </c>
      <c r="F58" s="59"/>
      <c r="G58" s="159">
        <f>+'COEF Art 14 F I '!AF57</f>
        <v>2.4047940869510783E-3</v>
      </c>
      <c r="H58" s="71">
        <f t="shared" si="2"/>
        <v>54946.230360491129</v>
      </c>
      <c r="I58" s="72">
        <f t="shared" si="3"/>
        <v>72200.426295681507</v>
      </c>
      <c r="J58" s="72">
        <f t="shared" si="4"/>
        <v>183356.9866201937</v>
      </c>
      <c r="K58" s="72">
        <f t="shared" si="5"/>
        <v>310503.64327636635</v>
      </c>
      <c r="L58" s="181">
        <f t="shared" si="6"/>
        <v>1.2217107279492174E-3</v>
      </c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</row>
    <row r="59" spans="1:54" ht="13.5" thickBot="1">
      <c r="A59" s="60" t="s">
        <v>52</v>
      </c>
      <c r="B59" s="360">
        <f>SUM(B8:B58)</f>
        <v>5784442</v>
      </c>
      <c r="C59" s="157">
        <f>SUM(C8:C58)</f>
        <v>1.0000000000000002</v>
      </c>
      <c r="D59" s="110">
        <f>SUM(D8:D58)</f>
        <v>5685888</v>
      </c>
      <c r="E59" s="369">
        <f t="shared" si="1"/>
        <v>1</v>
      </c>
      <c r="F59" s="59"/>
      <c r="G59" s="160">
        <f t="shared" ref="G59:L59" si="7">SUM(G8:G58)</f>
        <v>0.99999999999999989</v>
      </c>
      <c r="H59" s="73">
        <f t="shared" si="7"/>
        <v>88954179.299999967</v>
      </c>
      <c r="I59" s="74">
        <f t="shared" si="7"/>
        <v>88954179.299999967</v>
      </c>
      <c r="J59" s="74">
        <f t="shared" si="7"/>
        <v>76246439.399999976</v>
      </c>
      <c r="K59" s="74">
        <f t="shared" si="7"/>
        <v>254154798.00000003</v>
      </c>
      <c r="L59" s="161">
        <f t="shared" si="7"/>
        <v>0.99999999999999978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</row>
    <row r="60" spans="1:54" ht="13.5" thickTop="1">
      <c r="A60" s="59" t="s">
        <v>335</v>
      </c>
      <c r="B60" s="59"/>
      <c r="C60" s="62"/>
      <c r="D60" s="59"/>
      <c r="E60" s="62"/>
      <c r="F60" s="59"/>
      <c r="G60" s="62"/>
      <c r="H60" s="59"/>
      <c r="I60" s="59"/>
      <c r="J60" s="59"/>
      <c r="K60" s="59"/>
      <c r="L60" s="62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</row>
    <row r="61" spans="1:54" ht="15.75" customHeight="1">
      <c r="A61" s="59" t="s">
        <v>72</v>
      </c>
      <c r="B61" s="59"/>
      <c r="C61" s="62"/>
      <c r="D61" s="59"/>
      <c r="E61" s="62"/>
      <c r="F61" s="59"/>
      <c r="G61" s="62"/>
      <c r="H61" s="59"/>
      <c r="I61" s="59"/>
      <c r="J61" s="59"/>
      <c r="K61" s="59"/>
      <c r="L61" s="62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</row>
    <row r="62" spans="1:54">
      <c r="A62" s="59" t="s">
        <v>221</v>
      </c>
      <c r="B62" s="59"/>
      <c r="C62" s="62"/>
      <c r="D62" s="59"/>
      <c r="E62" s="62"/>
      <c r="F62" s="59"/>
      <c r="G62" s="62"/>
      <c r="H62" s="59"/>
      <c r="I62" s="59"/>
      <c r="J62" s="59"/>
      <c r="K62" s="59"/>
      <c r="L62" s="62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</row>
    <row r="63" spans="1:54">
      <c r="A63" s="59" t="s">
        <v>98</v>
      </c>
      <c r="B63" s="59"/>
      <c r="C63" s="62"/>
      <c r="D63" s="59"/>
      <c r="E63" s="62"/>
      <c r="F63" s="59"/>
      <c r="G63" s="62"/>
      <c r="H63" s="59"/>
      <c r="I63" s="59"/>
      <c r="J63" s="59"/>
      <c r="K63" s="59"/>
      <c r="L63" s="62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</row>
    <row r="64" spans="1:54">
      <c r="A64" s="59"/>
      <c r="B64" s="59"/>
      <c r="C64" s="62"/>
      <c r="D64" s="59"/>
      <c r="E64" s="62"/>
      <c r="F64" s="59"/>
      <c r="G64" s="62"/>
      <c r="H64" s="59"/>
      <c r="I64" s="59"/>
      <c r="J64" s="59"/>
      <c r="K64" s="59"/>
      <c r="L64" s="62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</row>
    <row r="65" spans="1:54">
      <c r="A65" s="59"/>
      <c r="B65" s="59"/>
      <c r="C65" s="62"/>
      <c r="D65" s="59"/>
      <c r="E65" s="62"/>
      <c r="F65" s="59"/>
      <c r="G65" s="62"/>
      <c r="H65" s="59"/>
      <c r="I65" s="59"/>
      <c r="J65" s="59"/>
      <c r="K65" s="59"/>
      <c r="L65" s="62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</row>
    <row r="66" spans="1:54">
      <c r="A66" s="59"/>
      <c r="B66" s="59"/>
      <c r="C66" s="62"/>
      <c r="D66" s="59"/>
      <c r="E66" s="62"/>
      <c r="F66" s="59"/>
      <c r="G66" s="62"/>
      <c r="H66" s="59"/>
      <c r="I66" s="59"/>
      <c r="J66" s="59"/>
      <c r="K66" s="59"/>
      <c r="L66" s="62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</row>
    <row r="67" spans="1:54">
      <c r="A67" s="59"/>
      <c r="B67" s="59"/>
      <c r="C67" s="62"/>
      <c r="D67" s="59"/>
      <c r="E67" s="62"/>
      <c r="F67" s="59"/>
      <c r="G67" s="62"/>
      <c r="H67" s="59"/>
      <c r="I67" s="59"/>
      <c r="J67" s="59"/>
      <c r="K67" s="59"/>
      <c r="L67" s="62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</row>
    <row r="68" spans="1:54">
      <c r="A68" s="59"/>
      <c r="B68" s="59"/>
      <c r="C68" s="62"/>
      <c r="D68" s="59"/>
      <c r="E68" s="62"/>
      <c r="F68" s="59"/>
      <c r="G68" s="62"/>
      <c r="H68" s="59"/>
      <c r="I68" s="59"/>
      <c r="J68" s="59"/>
      <c r="K68" s="59"/>
      <c r="L68" s="62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</row>
    <row r="69" spans="1:54">
      <c r="A69" s="59"/>
      <c r="B69" s="59"/>
      <c r="C69" s="62"/>
      <c r="D69" s="59"/>
      <c r="E69" s="62"/>
      <c r="F69" s="59"/>
      <c r="G69" s="62"/>
      <c r="H69" s="59"/>
      <c r="I69" s="59"/>
      <c r="J69" s="59"/>
      <c r="K69" s="59"/>
      <c r="L69" s="62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</row>
    <row r="70" spans="1:54">
      <c r="A70" s="59"/>
      <c r="B70" s="59"/>
      <c r="C70" s="62"/>
      <c r="D70" s="59"/>
      <c r="E70" s="62"/>
      <c r="F70" s="59"/>
      <c r="G70" s="62"/>
      <c r="H70" s="59"/>
      <c r="I70" s="59"/>
      <c r="J70" s="59"/>
      <c r="K70" s="59"/>
      <c r="L70" s="62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</row>
    <row r="71" spans="1:54">
      <c r="A71" s="59"/>
      <c r="B71" s="59"/>
      <c r="C71" s="62"/>
      <c r="D71" s="59"/>
      <c r="E71" s="62"/>
      <c r="F71" s="59"/>
      <c r="G71" s="62"/>
      <c r="H71" s="59"/>
      <c r="I71" s="59"/>
      <c r="J71" s="59"/>
      <c r="K71" s="59"/>
      <c r="L71" s="62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</row>
    <row r="72" spans="1:54">
      <c r="A72" s="59"/>
      <c r="B72" s="59"/>
      <c r="C72" s="62"/>
      <c r="D72" s="59"/>
      <c r="E72" s="62"/>
      <c r="F72" s="59"/>
      <c r="G72" s="62"/>
      <c r="H72" s="59"/>
      <c r="I72" s="59"/>
      <c r="J72" s="59"/>
      <c r="K72" s="59"/>
      <c r="L72" s="62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</row>
    <row r="73" spans="1:54">
      <c r="A73" s="59"/>
      <c r="B73" s="59"/>
      <c r="C73" s="62"/>
      <c r="D73" s="59"/>
      <c r="E73" s="62"/>
      <c r="F73" s="59"/>
      <c r="G73" s="62"/>
      <c r="H73" s="59"/>
      <c r="I73" s="59"/>
      <c r="J73" s="59"/>
      <c r="K73" s="59"/>
      <c r="L73" s="62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</row>
    <row r="74" spans="1:54">
      <c r="A74" s="59"/>
      <c r="B74" s="59"/>
      <c r="C74" s="62"/>
      <c r="D74" s="59"/>
      <c r="E74" s="62"/>
      <c r="F74" s="59"/>
      <c r="G74" s="62"/>
      <c r="H74" s="59"/>
      <c r="I74" s="59"/>
      <c r="J74" s="59"/>
      <c r="K74" s="59"/>
      <c r="L74" s="62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</row>
    <row r="75" spans="1:54">
      <c r="A75" s="59"/>
      <c r="B75" s="59"/>
      <c r="C75" s="62"/>
      <c r="D75" s="59"/>
      <c r="E75" s="62"/>
      <c r="F75" s="59"/>
      <c r="G75" s="62"/>
      <c r="H75" s="59"/>
      <c r="I75" s="59"/>
      <c r="J75" s="59"/>
      <c r="K75" s="59"/>
      <c r="L75" s="62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</row>
    <row r="76" spans="1:54">
      <c r="A76" s="59"/>
      <c r="B76" s="59"/>
      <c r="C76" s="62"/>
      <c r="D76" s="59"/>
      <c r="E76" s="62"/>
      <c r="F76" s="59"/>
      <c r="G76" s="62"/>
      <c r="H76" s="59"/>
      <c r="I76" s="59"/>
      <c r="J76" s="59"/>
      <c r="K76" s="59"/>
      <c r="L76" s="62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</row>
    <row r="77" spans="1:54">
      <c r="A77" s="59"/>
      <c r="B77" s="59"/>
      <c r="C77" s="62"/>
      <c r="D77" s="59"/>
      <c r="E77" s="62"/>
      <c r="F77" s="59"/>
      <c r="G77" s="62"/>
      <c r="H77" s="59"/>
      <c r="I77" s="59"/>
      <c r="J77" s="59"/>
      <c r="K77" s="59"/>
      <c r="L77" s="62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</row>
    <row r="78" spans="1:54">
      <c r="A78" s="59"/>
      <c r="B78" s="59"/>
      <c r="C78" s="62"/>
      <c r="D78" s="59"/>
      <c r="E78" s="62"/>
      <c r="F78" s="59"/>
      <c r="G78" s="62"/>
      <c r="H78" s="59"/>
      <c r="I78" s="59"/>
      <c r="J78" s="59"/>
      <c r="K78" s="59"/>
      <c r="L78" s="62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</row>
    <row r="79" spans="1:54">
      <c r="A79" s="59"/>
      <c r="B79" s="59"/>
      <c r="C79" s="62"/>
      <c r="D79" s="59"/>
      <c r="E79" s="62"/>
      <c r="F79" s="59"/>
      <c r="G79" s="62"/>
      <c r="H79" s="59"/>
      <c r="I79" s="59"/>
      <c r="J79" s="59"/>
      <c r="K79" s="59"/>
      <c r="L79" s="62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</row>
    <row r="80" spans="1:54">
      <c r="A80" s="59"/>
      <c r="B80" s="59"/>
      <c r="C80" s="62"/>
      <c r="D80" s="59"/>
      <c r="E80" s="62"/>
      <c r="F80" s="59"/>
      <c r="G80" s="62"/>
      <c r="H80" s="59"/>
      <c r="I80" s="59"/>
      <c r="J80" s="59"/>
      <c r="K80" s="59"/>
      <c r="L80" s="62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</row>
    <row r="81" spans="1:54">
      <c r="A81" s="59"/>
      <c r="B81" s="59"/>
      <c r="C81" s="62"/>
      <c r="D81" s="59"/>
      <c r="E81" s="62"/>
      <c r="F81" s="59"/>
      <c r="G81" s="62"/>
      <c r="H81" s="59"/>
      <c r="I81" s="59"/>
      <c r="J81" s="59"/>
      <c r="K81" s="59"/>
      <c r="L81" s="62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</row>
    <row r="82" spans="1:54">
      <c r="A82" s="59"/>
      <c r="B82" s="59"/>
      <c r="C82" s="62"/>
      <c r="D82" s="59"/>
      <c r="E82" s="62"/>
      <c r="F82" s="59"/>
      <c r="G82" s="62"/>
      <c r="H82" s="59"/>
      <c r="I82" s="59"/>
      <c r="J82" s="59"/>
      <c r="K82" s="59"/>
      <c r="L82" s="62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</row>
    <row r="83" spans="1:54">
      <c r="A83" s="59"/>
      <c r="B83" s="59"/>
      <c r="C83" s="62"/>
      <c r="D83" s="59"/>
      <c r="E83" s="62"/>
      <c r="F83" s="59"/>
      <c r="G83" s="62"/>
      <c r="H83" s="59"/>
      <c r="I83" s="59"/>
      <c r="J83" s="59"/>
      <c r="K83" s="59"/>
      <c r="L83" s="62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</row>
    <row r="84" spans="1:54">
      <c r="A84" s="59"/>
      <c r="B84" s="59"/>
      <c r="C84" s="62"/>
      <c r="D84" s="59"/>
      <c r="E84" s="62"/>
      <c r="F84" s="59"/>
      <c r="G84" s="62"/>
      <c r="H84" s="59"/>
      <c r="I84" s="59"/>
      <c r="J84" s="59"/>
      <c r="K84" s="59"/>
      <c r="L84" s="62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</row>
    <row r="85" spans="1:54">
      <c r="A85" s="59"/>
      <c r="B85" s="59"/>
      <c r="C85" s="62"/>
      <c r="D85" s="59"/>
      <c r="E85" s="62"/>
      <c r="F85" s="59"/>
      <c r="G85" s="62"/>
      <c r="H85" s="59"/>
      <c r="I85" s="59"/>
      <c r="J85" s="59"/>
      <c r="K85" s="59"/>
      <c r="L85" s="62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</row>
    <row r="86" spans="1:54">
      <c r="A86" s="59"/>
      <c r="B86" s="59"/>
      <c r="C86" s="62"/>
      <c r="D86" s="59"/>
      <c r="E86" s="62"/>
      <c r="F86" s="59"/>
      <c r="G86" s="62"/>
      <c r="H86" s="59"/>
      <c r="I86" s="59"/>
      <c r="J86" s="59"/>
      <c r="K86" s="59"/>
      <c r="L86" s="62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</row>
    <row r="87" spans="1:54">
      <c r="A87" s="59"/>
      <c r="B87" s="59"/>
      <c r="C87" s="62"/>
      <c r="D87" s="59"/>
      <c r="E87" s="62"/>
      <c r="F87" s="59"/>
      <c r="G87" s="62"/>
      <c r="H87" s="59"/>
      <c r="I87" s="59"/>
      <c r="J87" s="59"/>
      <c r="K87" s="59"/>
      <c r="L87" s="62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</row>
    <row r="88" spans="1:54">
      <c r="A88" s="59"/>
      <c r="B88" s="59"/>
      <c r="C88" s="62"/>
      <c r="D88" s="59"/>
      <c r="E88" s="62"/>
      <c r="F88" s="59"/>
      <c r="G88" s="62"/>
      <c r="H88" s="59"/>
      <c r="I88" s="59"/>
      <c r="J88" s="59"/>
      <c r="K88" s="59"/>
      <c r="L88" s="62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</row>
    <row r="89" spans="1:54">
      <c r="A89" s="59"/>
      <c r="B89" s="59"/>
      <c r="C89" s="62"/>
      <c r="D89" s="59"/>
      <c r="E89" s="62"/>
      <c r="F89" s="59"/>
      <c r="G89" s="62"/>
      <c r="H89" s="59"/>
      <c r="I89" s="59"/>
      <c r="J89" s="59"/>
      <c r="K89" s="59"/>
      <c r="L89" s="62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</row>
    <row r="90" spans="1:54">
      <c r="A90" s="59"/>
      <c r="B90" s="59"/>
      <c r="C90" s="62"/>
      <c r="D90" s="59"/>
      <c r="E90" s="62"/>
      <c r="F90" s="59"/>
      <c r="G90" s="62"/>
      <c r="H90" s="59"/>
      <c r="I90" s="59"/>
      <c r="J90" s="59"/>
      <c r="K90" s="59"/>
      <c r="L90" s="62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</row>
    <row r="91" spans="1:54">
      <c r="A91" s="59"/>
      <c r="B91" s="59"/>
      <c r="C91" s="62"/>
      <c r="D91" s="59"/>
      <c r="E91" s="62"/>
      <c r="F91" s="59"/>
      <c r="G91" s="62"/>
      <c r="H91" s="59"/>
      <c r="I91" s="59"/>
      <c r="J91" s="59"/>
      <c r="K91" s="59"/>
      <c r="L91" s="62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</row>
    <row r="92" spans="1:54">
      <c r="A92" s="59"/>
      <c r="B92" s="59"/>
      <c r="C92" s="62"/>
      <c r="D92" s="59"/>
      <c r="E92" s="62"/>
      <c r="F92" s="59"/>
      <c r="G92" s="62"/>
      <c r="H92" s="59"/>
      <c r="I92" s="59"/>
      <c r="J92" s="59"/>
      <c r="K92" s="59"/>
      <c r="L92" s="62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</row>
    <row r="93" spans="1:54">
      <c r="A93" s="59"/>
      <c r="B93" s="59"/>
      <c r="C93" s="62"/>
      <c r="D93" s="59"/>
      <c r="E93" s="62"/>
      <c r="F93" s="59"/>
      <c r="G93" s="62"/>
      <c r="H93" s="59"/>
      <c r="I93" s="59"/>
      <c r="J93" s="59"/>
      <c r="K93" s="59"/>
      <c r="L93" s="62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</row>
    <row r="94" spans="1:54">
      <c r="A94" s="59"/>
      <c r="B94" s="59"/>
      <c r="C94" s="62"/>
      <c r="D94" s="59"/>
      <c r="E94" s="62"/>
      <c r="F94" s="59"/>
      <c r="G94" s="62"/>
      <c r="H94" s="59"/>
      <c r="I94" s="59"/>
      <c r="J94" s="59"/>
      <c r="K94" s="59"/>
      <c r="L94" s="62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</row>
    <row r="95" spans="1:54">
      <c r="A95" s="59"/>
      <c r="B95" s="59"/>
      <c r="C95" s="62"/>
      <c r="D95" s="59"/>
      <c r="E95" s="62"/>
      <c r="F95" s="59"/>
      <c r="G95" s="62"/>
      <c r="H95" s="59"/>
      <c r="I95" s="59"/>
      <c r="J95" s="59"/>
      <c r="K95" s="59"/>
      <c r="L95" s="62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</row>
    <row r="96" spans="1:54">
      <c r="A96" s="59"/>
      <c r="B96" s="59"/>
      <c r="C96" s="62"/>
      <c r="D96" s="59"/>
      <c r="E96" s="62"/>
      <c r="F96" s="59"/>
      <c r="G96" s="62"/>
      <c r="H96" s="59"/>
      <c r="I96" s="59"/>
      <c r="J96" s="59"/>
      <c r="K96" s="59"/>
      <c r="L96" s="62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</row>
    <row r="97" spans="1:54">
      <c r="A97" s="59"/>
      <c r="B97" s="59"/>
      <c r="C97" s="62"/>
      <c r="D97" s="59"/>
      <c r="E97" s="62"/>
      <c r="F97" s="59"/>
      <c r="G97" s="62"/>
      <c r="H97" s="59"/>
      <c r="I97" s="59"/>
      <c r="J97" s="59"/>
      <c r="K97" s="59"/>
      <c r="L97" s="62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</row>
    <row r="98" spans="1:54">
      <c r="A98" s="59"/>
      <c r="B98" s="59"/>
      <c r="C98" s="62"/>
      <c r="D98" s="59"/>
      <c r="E98" s="62"/>
      <c r="F98" s="59"/>
      <c r="G98" s="62"/>
      <c r="H98" s="59"/>
      <c r="I98" s="59"/>
      <c r="J98" s="59"/>
      <c r="K98" s="59"/>
      <c r="L98" s="62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</row>
    <row r="99" spans="1:54">
      <c r="A99" s="59"/>
      <c r="B99" s="59"/>
      <c r="C99" s="62"/>
      <c r="D99" s="59"/>
      <c r="E99" s="62"/>
      <c r="F99" s="59"/>
      <c r="G99" s="62"/>
      <c r="H99" s="59"/>
      <c r="I99" s="59"/>
      <c r="J99" s="59"/>
      <c r="K99" s="59"/>
      <c r="L99" s="62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</row>
    <row r="100" spans="1:54">
      <c r="A100" s="59"/>
      <c r="B100" s="59"/>
      <c r="C100" s="62"/>
      <c r="D100" s="59"/>
      <c r="E100" s="62"/>
      <c r="F100" s="59"/>
      <c r="G100" s="62"/>
      <c r="H100" s="59"/>
      <c r="I100" s="59"/>
      <c r="J100" s="59"/>
      <c r="K100" s="59"/>
      <c r="L100" s="62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</row>
    <row r="101" spans="1:54">
      <c r="A101" s="59"/>
      <c r="B101" s="59"/>
      <c r="C101" s="62"/>
      <c r="D101" s="59"/>
      <c r="E101" s="62"/>
      <c r="F101" s="59"/>
      <c r="G101" s="62"/>
      <c r="H101" s="59"/>
      <c r="I101" s="59"/>
      <c r="J101" s="59"/>
      <c r="K101" s="59"/>
      <c r="L101" s="62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</row>
    <row r="102" spans="1:54">
      <c r="A102" s="59"/>
      <c r="B102" s="59"/>
      <c r="C102" s="62"/>
      <c r="D102" s="59"/>
      <c r="E102" s="62"/>
      <c r="F102" s="59"/>
      <c r="G102" s="62"/>
      <c r="H102" s="59"/>
      <c r="I102" s="59"/>
      <c r="J102" s="59"/>
      <c r="K102" s="59"/>
      <c r="L102" s="62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</row>
    <row r="103" spans="1:54">
      <c r="A103" s="59"/>
      <c r="B103" s="59"/>
      <c r="C103" s="62"/>
      <c r="D103" s="59"/>
      <c r="E103" s="62"/>
      <c r="F103" s="59"/>
      <c r="G103" s="62"/>
      <c r="H103" s="59"/>
      <c r="I103" s="59"/>
      <c r="J103" s="59"/>
      <c r="K103" s="59"/>
      <c r="L103" s="62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</row>
    <row r="104" spans="1:54">
      <c r="A104" s="59"/>
      <c r="B104" s="59"/>
      <c r="C104" s="62"/>
      <c r="D104" s="59"/>
      <c r="E104" s="62"/>
      <c r="F104" s="59"/>
      <c r="G104" s="62"/>
      <c r="H104" s="59"/>
      <c r="I104" s="59"/>
      <c r="J104" s="59"/>
      <c r="K104" s="59"/>
      <c r="L104" s="62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</row>
    <row r="105" spans="1:54">
      <c r="A105" s="59"/>
      <c r="B105" s="59"/>
      <c r="C105" s="62"/>
      <c r="D105" s="59"/>
      <c r="E105" s="62"/>
      <c r="F105" s="59"/>
      <c r="G105" s="62"/>
      <c r="H105" s="59"/>
      <c r="I105" s="59"/>
      <c r="J105" s="59"/>
      <c r="K105" s="59"/>
      <c r="L105" s="62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</row>
    <row r="106" spans="1:54">
      <c r="A106" s="59"/>
      <c r="B106" s="59"/>
      <c r="C106" s="62"/>
      <c r="D106" s="59"/>
      <c r="E106" s="62"/>
      <c r="F106" s="59"/>
      <c r="G106" s="62"/>
      <c r="H106" s="59"/>
      <c r="I106" s="59"/>
      <c r="J106" s="59"/>
      <c r="K106" s="59"/>
      <c r="L106" s="62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</row>
    <row r="107" spans="1:54">
      <c r="A107" s="59"/>
      <c r="B107" s="59"/>
      <c r="C107" s="62"/>
      <c r="D107" s="59"/>
      <c r="E107" s="62"/>
      <c r="F107" s="59"/>
      <c r="G107" s="62"/>
      <c r="H107" s="59"/>
      <c r="I107" s="59"/>
      <c r="J107" s="59"/>
      <c r="K107" s="59"/>
      <c r="L107" s="62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</row>
    <row r="108" spans="1:54">
      <c r="A108" s="59"/>
      <c r="B108" s="59"/>
      <c r="C108" s="62"/>
      <c r="D108" s="59"/>
      <c r="E108" s="62"/>
      <c r="F108" s="59"/>
      <c r="G108" s="62"/>
      <c r="H108" s="59"/>
      <c r="I108" s="59"/>
      <c r="J108" s="59"/>
      <c r="K108" s="59"/>
      <c r="L108" s="62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</row>
    <row r="109" spans="1:54">
      <c r="A109" s="59"/>
      <c r="B109" s="59"/>
      <c r="C109" s="62"/>
      <c r="D109" s="59"/>
      <c r="E109" s="62"/>
      <c r="F109" s="59"/>
      <c r="G109" s="62"/>
      <c r="H109" s="59"/>
      <c r="I109" s="59"/>
      <c r="J109" s="59"/>
      <c r="K109" s="59"/>
      <c r="L109" s="62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</row>
    <row r="110" spans="1:54">
      <c r="A110" s="59"/>
      <c r="B110" s="59"/>
      <c r="C110" s="62"/>
      <c r="D110" s="59"/>
      <c r="E110" s="62"/>
      <c r="F110" s="59"/>
      <c r="G110" s="62"/>
      <c r="H110" s="59"/>
      <c r="I110" s="59"/>
      <c r="J110" s="59"/>
      <c r="K110" s="59"/>
      <c r="L110" s="62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</row>
    <row r="111" spans="1:54">
      <c r="A111" s="59"/>
      <c r="B111" s="59"/>
      <c r="C111" s="62"/>
      <c r="D111" s="59"/>
      <c r="E111" s="62"/>
      <c r="F111" s="59"/>
      <c r="G111" s="62"/>
      <c r="H111" s="59"/>
      <c r="I111" s="59"/>
      <c r="J111" s="59"/>
      <c r="K111" s="59"/>
      <c r="L111" s="62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</row>
    <row r="112" spans="1:54">
      <c r="A112" s="59"/>
      <c r="B112" s="59"/>
      <c r="C112" s="62"/>
      <c r="D112" s="59"/>
      <c r="E112" s="62"/>
      <c r="F112" s="59"/>
      <c r="G112" s="62"/>
      <c r="H112" s="59"/>
      <c r="I112" s="59"/>
      <c r="J112" s="59"/>
      <c r="K112" s="59"/>
      <c r="L112" s="62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</row>
    <row r="113" spans="1:54">
      <c r="A113" s="59"/>
      <c r="B113" s="59"/>
      <c r="C113" s="62"/>
      <c r="D113" s="59"/>
      <c r="E113" s="62"/>
      <c r="F113" s="59"/>
      <c r="G113" s="62"/>
      <c r="H113" s="59"/>
      <c r="I113" s="59"/>
      <c r="J113" s="59"/>
      <c r="K113" s="59"/>
      <c r="L113" s="62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</row>
    <row r="114" spans="1:54">
      <c r="A114" s="59"/>
      <c r="B114" s="59"/>
      <c r="C114" s="62"/>
      <c r="D114" s="59"/>
      <c r="E114" s="62"/>
      <c r="F114" s="59"/>
      <c r="G114" s="62"/>
      <c r="H114" s="59"/>
      <c r="I114" s="59"/>
      <c r="J114" s="59"/>
      <c r="K114" s="59"/>
      <c r="L114" s="62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</row>
    <row r="115" spans="1:54">
      <c r="A115" s="59"/>
      <c r="B115" s="59"/>
      <c r="C115" s="62"/>
      <c r="D115" s="59"/>
      <c r="E115" s="62"/>
      <c r="F115" s="59"/>
      <c r="G115" s="62"/>
      <c r="H115" s="59"/>
      <c r="I115" s="59"/>
      <c r="J115" s="59"/>
      <c r="K115" s="59"/>
      <c r="L115" s="62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</row>
    <row r="116" spans="1:54">
      <c r="A116" s="59"/>
      <c r="B116" s="59"/>
      <c r="C116" s="62"/>
      <c r="D116" s="59"/>
      <c r="E116" s="62"/>
      <c r="F116" s="59"/>
      <c r="G116" s="62"/>
      <c r="H116" s="59"/>
      <c r="I116" s="59"/>
      <c r="J116" s="59"/>
      <c r="K116" s="59"/>
      <c r="L116" s="62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</row>
    <row r="117" spans="1:54">
      <c r="A117" s="59"/>
      <c r="B117" s="59"/>
      <c r="C117" s="62"/>
      <c r="D117" s="59"/>
      <c r="E117" s="62"/>
      <c r="F117" s="59"/>
      <c r="G117" s="62"/>
      <c r="H117" s="59"/>
      <c r="I117" s="59"/>
      <c r="J117" s="59"/>
      <c r="K117" s="59"/>
      <c r="L117" s="62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</row>
    <row r="118" spans="1:54">
      <c r="A118" s="59"/>
      <c r="B118" s="59"/>
      <c r="C118" s="62"/>
      <c r="D118" s="59"/>
      <c r="E118" s="62"/>
      <c r="F118" s="59"/>
      <c r="G118" s="62"/>
      <c r="H118" s="59"/>
      <c r="I118" s="59"/>
      <c r="J118" s="59"/>
      <c r="K118" s="59"/>
      <c r="L118" s="62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</row>
    <row r="119" spans="1:54">
      <c r="A119" s="59"/>
      <c r="B119" s="59"/>
      <c r="C119" s="62"/>
      <c r="D119" s="59"/>
      <c r="E119" s="62"/>
      <c r="F119" s="59"/>
      <c r="G119" s="62"/>
      <c r="H119" s="59"/>
      <c r="I119" s="59"/>
      <c r="J119" s="59"/>
      <c r="K119" s="59"/>
      <c r="L119" s="62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</row>
    <row r="120" spans="1:54">
      <c r="A120" s="59"/>
      <c r="B120" s="59"/>
      <c r="C120" s="62"/>
      <c r="D120" s="59"/>
      <c r="E120" s="62"/>
      <c r="F120" s="59"/>
      <c r="G120" s="62"/>
      <c r="H120" s="59"/>
      <c r="I120" s="59"/>
      <c r="J120" s="59"/>
      <c r="K120" s="59"/>
      <c r="L120" s="62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</row>
    <row r="121" spans="1:54">
      <c r="A121" s="59"/>
      <c r="B121" s="59"/>
      <c r="C121" s="62"/>
      <c r="D121" s="59"/>
      <c r="E121" s="62"/>
      <c r="F121" s="59"/>
      <c r="G121" s="62"/>
      <c r="H121" s="59"/>
      <c r="I121" s="59"/>
      <c r="J121" s="59"/>
      <c r="K121" s="59"/>
      <c r="L121" s="62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</row>
    <row r="122" spans="1:54">
      <c r="A122" s="59"/>
      <c r="B122" s="59"/>
      <c r="C122" s="62"/>
      <c r="D122" s="59"/>
      <c r="E122" s="62"/>
      <c r="F122" s="59"/>
      <c r="G122" s="62"/>
      <c r="H122" s="59"/>
      <c r="I122" s="59"/>
      <c r="J122" s="59"/>
      <c r="K122" s="59"/>
      <c r="L122" s="62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</row>
    <row r="123" spans="1:54">
      <c r="A123" s="59"/>
      <c r="B123" s="59"/>
      <c r="C123" s="62"/>
      <c r="D123" s="59"/>
      <c r="E123" s="62"/>
      <c r="F123" s="59"/>
      <c r="G123" s="62"/>
      <c r="H123" s="59"/>
      <c r="I123" s="59"/>
      <c r="J123" s="59"/>
      <c r="K123" s="59"/>
      <c r="L123" s="62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</row>
    <row r="124" spans="1:54">
      <c r="A124" s="59"/>
      <c r="B124" s="59"/>
      <c r="C124" s="62"/>
      <c r="D124" s="59"/>
      <c r="E124" s="62"/>
      <c r="F124" s="59"/>
      <c r="G124" s="62"/>
      <c r="H124" s="59"/>
      <c r="I124" s="59"/>
      <c r="J124" s="59"/>
      <c r="K124" s="59"/>
      <c r="L124" s="62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</row>
    <row r="125" spans="1:54">
      <c r="A125" s="59"/>
      <c r="B125" s="59"/>
      <c r="C125" s="62"/>
      <c r="D125" s="59"/>
      <c r="E125" s="62"/>
      <c r="F125" s="59"/>
      <c r="G125" s="62"/>
      <c r="H125" s="59"/>
      <c r="I125" s="59"/>
      <c r="J125" s="59"/>
      <c r="K125" s="59"/>
      <c r="L125" s="62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</row>
    <row r="126" spans="1:54">
      <c r="A126" s="59"/>
      <c r="B126" s="59"/>
      <c r="C126" s="62"/>
      <c r="D126" s="59"/>
      <c r="E126" s="62"/>
      <c r="F126" s="59"/>
      <c r="G126" s="62"/>
      <c r="H126" s="59"/>
      <c r="I126" s="59"/>
      <c r="J126" s="59"/>
      <c r="K126" s="59"/>
      <c r="L126" s="62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</row>
    <row r="127" spans="1:54">
      <c r="A127" s="59"/>
      <c r="B127" s="59"/>
      <c r="C127" s="62"/>
      <c r="D127" s="59"/>
      <c r="E127" s="62"/>
      <c r="F127" s="59"/>
      <c r="G127" s="62"/>
      <c r="H127" s="59"/>
      <c r="I127" s="59"/>
      <c r="J127" s="59"/>
      <c r="K127" s="59"/>
      <c r="L127" s="62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</row>
    <row r="128" spans="1:54">
      <c r="A128" s="59"/>
      <c r="B128" s="59"/>
      <c r="C128" s="62"/>
      <c r="D128" s="59"/>
      <c r="E128" s="62"/>
      <c r="F128" s="59"/>
      <c r="G128" s="62"/>
      <c r="H128" s="59"/>
      <c r="I128" s="59"/>
      <c r="J128" s="59"/>
      <c r="K128" s="59"/>
      <c r="L128" s="62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</row>
    <row r="129" spans="1:54">
      <c r="A129" s="59"/>
      <c r="B129" s="59"/>
      <c r="C129" s="62"/>
      <c r="D129" s="59"/>
      <c r="E129" s="62"/>
      <c r="F129" s="59"/>
      <c r="G129" s="62"/>
      <c r="H129" s="59"/>
      <c r="I129" s="59"/>
      <c r="J129" s="59"/>
      <c r="K129" s="59"/>
      <c r="L129" s="62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</row>
    <row r="130" spans="1:54">
      <c r="A130" s="59"/>
      <c r="B130" s="59"/>
      <c r="C130" s="62"/>
      <c r="D130" s="59"/>
      <c r="E130" s="62"/>
      <c r="F130" s="59"/>
      <c r="G130" s="62"/>
      <c r="H130" s="59"/>
      <c r="I130" s="59"/>
      <c r="J130" s="59"/>
      <c r="K130" s="59"/>
      <c r="L130" s="62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</row>
    <row r="131" spans="1:54">
      <c r="A131" s="59"/>
      <c r="B131" s="59"/>
      <c r="C131" s="62"/>
      <c r="D131" s="59"/>
      <c r="E131" s="62"/>
      <c r="F131" s="59"/>
      <c r="G131" s="62"/>
      <c r="H131" s="59"/>
      <c r="I131" s="59"/>
      <c r="J131" s="59"/>
      <c r="K131" s="59"/>
      <c r="L131" s="62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</row>
    <row r="132" spans="1:54">
      <c r="A132" s="59"/>
      <c r="B132" s="59"/>
      <c r="C132" s="62"/>
      <c r="D132" s="59"/>
      <c r="E132" s="62"/>
      <c r="F132" s="59"/>
      <c r="G132" s="62"/>
      <c r="H132" s="59"/>
      <c r="I132" s="59"/>
      <c r="J132" s="59"/>
      <c r="K132" s="59"/>
      <c r="L132" s="62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</row>
    <row r="133" spans="1:54">
      <c r="A133" s="59"/>
      <c r="B133" s="59"/>
      <c r="C133" s="62"/>
      <c r="D133" s="59"/>
      <c r="E133" s="62"/>
      <c r="F133" s="59"/>
      <c r="G133" s="62"/>
      <c r="H133" s="59"/>
      <c r="I133" s="59"/>
      <c r="J133" s="59"/>
      <c r="K133" s="59"/>
      <c r="L133" s="62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</row>
    <row r="134" spans="1:54">
      <c r="A134" s="59"/>
      <c r="B134" s="59"/>
      <c r="C134" s="62"/>
      <c r="D134" s="59"/>
      <c r="E134" s="62"/>
      <c r="F134" s="59"/>
      <c r="G134" s="62"/>
      <c r="H134" s="59"/>
      <c r="I134" s="59"/>
      <c r="J134" s="59"/>
      <c r="K134" s="59"/>
      <c r="L134" s="62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</row>
    <row r="135" spans="1:54">
      <c r="A135" s="59"/>
      <c r="B135" s="59"/>
      <c r="C135" s="62"/>
      <c r="D135" s="59"/>
      <c r="E135" s="62"/>
      <c r="F135" s="59"/>
      <c r="G135" s="62"/>
      <c r="H135" s="59"/>
      <c r="I135" s="59"/>
      <c r="J135" s="59"/>
      <c r="K135" s="59"/>
      <c r="L135" s="62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</row>
    <row r="136" spans="1:54">
      <c r="A136" s="59"/>
      <c r="B136" s="59"/>
      <c r="C136" s="62"/>
      <c r="D136" s="59"/>
      <c r="E136" s="62"/>
      <c r="F136" s="59"/>
      <c r="G136" s="62"/>
      <c r="H136" s="59"/>
      <c r="I136" s="59"/>
      <c r="J136" s="59"/>
      <c r="K136" s="59"/>
      <c r="L136" s="62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</row>
    <row r="137" spans="1:54">
      <c r="A137" s="59"/>
      <c r="B137" s="59"/>
      <c r="C137" s="62"/>
      <c r="D137" s="59"/>
      <c r="E137" s="62"/>
      <c r="F137" s="59"/>
      <c r="G137" s="62"/>
      <c r="H137" s="59"/>
      <c r="I137" s="59"/>
      <c r="J137" s="59"/>
      <c r="K137" s="59"/>
      <c r="L137" s="62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</row>
    <row r="138" spans="1:54">
      <c r="A138" s="59"/>
      <c r="B138" s="59"/>
      <c r="C138" s="62"/>
      <c r="D138" s="59"/>
      <c r="E138" s="62"/>
      <c r="F138" s="59"/>
      <c r="G138" s="62"/>
      <c r="H138" s="59"/>
      <c r="I138" s="59"/>
      <c r="J138" s="59"/>
      <c r="K138" s="59"/>
      <c r="L138" s="62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</row>
    <row r="139" spans="1:54">
      <c r="A139" s="59"/>
      <c r="B139" s="59"/>
      <c r="C139" s="62"/>
      <c r="D139" s="59"/>
      <c r="E139" s="62"/>
      <c r="F139" s="59"/>
      <c r="G139" s="62"/>
      <c r="H139" s="59"/>
      <c r="I139" s="59"/>
      <c r="J139" s="59"/>
      <c r="K139" s="59"/>
      <c r="L139" s="62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</row>
    <row r="140" spans="1:54">
      <c r="A140" s="59"/>
      <c r="B140" s="59"/>
      <c r="C140" s="62"/>
      <c r="D140" s="59"/>
      <c r="E140" s="62"/>
      <c r="F140" s="59"/>
      <c r="G140" s="62"/>
      <c r="H140" s="59"/>
      <c r="I140" s="59"/>
      <c r="J140" s="59"/>
      <c r="K140" s="59"/>
      <c r="L140" s="62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</row>
    <row r="141" spans="1:54">
      <c r="A141" s="59"/>
      <c r="B141" s="59"/>
      <c r="C141" s="62"/>
      <c r="D141" s="59"/>
      <c r="E141" s="62"/>
      <c r="F141" s="59"/>
      <c r="G141" s="62"/>
      <c r="H141" s="59"/>
      <c r="I141" s="59"/>
      <c r="J141" s="59"/>
      <c r="K141" s="59"/>
      <c r="L141" s="62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</row>
    <row r="142" spans="1:54">
      <c r="A142" s="59"/>
      <c r="B142" s="59"/>
      <c r="C142" s="62"/>
      <c r="D142" s="59"/>
      <c r="E142" s="62"/>
      <c r="F142" s="59"/>
      <c r="G142" s="62"/>
      <c r="H142" s="59"/>
      <c r="I142" s="59"/>
      <c r="J142" s="59"/>
      <c r="K142" s="59"/>
      <c r="L142" s="62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</row>
    <row r="143" spans="1:54">
      <c r="A143" s="59"/>
      <c r="B143" s="59"/>
      <c r="C143" s="62"/>
      <c r="D143" s="59"/>
      <c r="E143" s="62"/>
      <c r="F143" s="59"/>
      <c r="G143" s="62"/>
      <c r="H143" s="59"/>
      <c r="I143" s="59"/>
      <c r="J143" s="59"/>
      <c r="K143" s="59"/>
      <c r="L143" s="62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</row>
    <row r="144" spans="1:54">
      <c r="A144" s="59"/>
      <c r="B144" s="59"/>
      <c r="C144" s="62"/>
      <c r="D144" s="59"/>
      <c r="E144" s="62"/>
      <c r="F144" s="59"/>
      <c r="G144" s="62"/>
      <c r="H144" s="59"/>
      <c r="I144" s="59"/>
      <c r="J144" s="59"/>
      <c r="K144" s="59"/>
      <c r="L144" s="62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</row>
    <row r="145" spans="1:54">
      <c r="A145" s="59"/>
      <c r="B145" s="59"/>
      <c r="C145" s="62"/>
      <c r="D145" s="59"/>
      <c r="E145" s="62"/>
      <c r="F145" s="59"/>
      <c r="G145" s="62"/>
      <c r="H145" s="59"/>
      <c r="I145" s="59"/>
      <c r="J145" s="59"/>
      <c r="K145" s="59"/>
      <c r="L145" s="62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</row>
    <row r="146" spans="1:54">
      <c r="A146" s="59"/>
      <c r="B146" s="59"/>
      <c r="C146" s="62"/>
      <c r="D146" s="59"/>
      <c r="E146" s="62"/>
      <c r="F146" s="59"/>
      <c r="G146" s="62"/>
      <c r="H146" s="59"/>
      <c r="I146" s="59"/>
      <c r="J146" s="59"/>
      <c r="K146" s="59"/>
      <c r="L146" s="62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</row>
    <row r="147" spans="1:54">
      <c r="A147" s="59"/>
      <c r="B147" s="59"/>
      <c r="C147" s="62"/>
      <c r="D147" s="59"/>
      <c r="E147" s="62"/>
      <c r="F147" s="59"/>
      <c r="G147" s="62"/>
      <c r="H147" s="59"/>
      <c r="I147" s="59"/>
      <c r="J147" s="59"/>
      <c r="K147" s="59"/>
      <c r="L147" s="62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</row>
    <row r="148" spans="1:54">
      <c r="A148" s="59"/>
      <c r="B148" s="59"/>
      <c r="C148" s="62"/>
      <c r="D148" s="59"/>
      <c r="E148" s="62"/>
      <c r="F148" s="59"/>
      <c r="G148" s="62"/>
      <c r="H148" s="59"/>
      <c r="I148" s="59"/>
      <c r="J148" s="59"/>
      <c r="K148" s="59"/>
      <c r="L148" s="62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</row>
    <row r="149" spans="1:54">
      <c r="A149" s="59"/>
      <c r="B149" s="59"/>
      <c r="C149" s="62"/>
      <c r="D149" s="59"/>
      <c r="E149" s="62"/>
      <c r="F149" s="59"/>
      <c r="G149" s="62"/>
      <c r="H149" s="59"/>
      <c r="I149" s="59"/>
      <c r="J149" s="59"/>
      <c r="K149" s="59"/>
      <c r="L149" s="62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</row>
    <row r="150" spans="1:54">
      <c r="A150" s="59"/>
      <c r="B150" s="59"/>
      <c r="C150" s="62"/>
      <c r="D150" s="59"/>
      <c r="E150" s="62"/>
      <c r="F150" s="59"/>
      <c r="G150" s="62"/>
      <c r="H150" s="59"/>
      <c r="I150" s="59"/>
      <c r="J150" s="59"/>
      <c r="K150" s="59"/>
      <c r="L150" s="62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</row>
    <row r="151" spans="1:54">
      <c r="A151" s="59"/>
      <c r="B151" s="59"/>
      <c r="C151" s="62"/>
      <c r="D151" s="59"/>
      <c r="E151" s="62"/>
      <c r="F151" s="59"/>
      <c r="G151" s="62"/>
      <c r="H151" s="59"/>
      <c r="I151" s="59"/>
      <c r="J151" s="59"/>
      <c r="K151" s="59"/>
      <c r="L151" s="62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</row>
    <row r="152" spans="1:54">
      <c r="A152" s="59"/>
      <c r="B152" s="59"/>
      <c r="C152" s="62"/>
      <c r="D152" s="59"/>
      <c r="E152" s="62"/>
      <c r="F152" s="59"/>
      <c r="G152" s="62"/>
      <c r="H152" s="59"/>
      <c r="I152" s="59"/>
      <c r="J152" s="59"/>
      <c r="K152" s="59"/>
      <c r="L152" s="62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</row>
    <row r="153" spans="1:54">
      <c r="A153" s="59"/>
      <c r="B153" s="59"/>
      <c r="C153" s="62"/>
      <c r="D153" s="59"/>
      <c r="E153" s="62"/>
      <c r="F153" s="59"/>
      <c r="G153" s="62"/>
      <c r="H153" s="59"/>
      <c r="I153" s="59"/>
      <c r="J153" s="59"/>
      <c r="K153" s="59"/>
      <c r="L153" s="62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</row>
    <row r="154" spans="1:54">
      <c r="A154" s="59"/>
      <c r="B154" s="59"/>
      <c r="C154" s="62"/>
      <c r="D154" s="59"/>
      <c r="E154" s="62"/>
      <c r="F154" s="59"/>
      <c r="G154" s="62"/>
      <c r="H154" s="59"/>
      <c r="I154" s="59"/>
      <c r="J154" s="59"/>
      <c r="K154" s="59"/>
      <c r="L154" s="62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</row>
    <row r="155" spans="1:54">
      <c r="A155" s="59"/>
      <c r="B155" s="59"/>
      <c r="C155" s="62"/>
      <c r="D155" s="59"/>
      <c r="E155" s="62"/>
      <c r="F155" s="59"/>
      <c r="G155" s="62"/>
      <c r="H155" s="59"/>
      <c r="I155" s="59"/>
      <c r="J155" s="59"/>
      <c r="K155" s="59"/>
      <c r="L155" s="62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</row>
    <row r="156" spans="1:54">
      <c r="A156" s="59"/>
      <c r="B156" s="59"/>
      <c r="C156" s="62"/>
      <c r="D156" s="59"/>
      <c r="E156" s="62"/>
      <c r="F156" s="59"/>
      <c r="G156" s="62"/>
      <c r="H156" s="59"/>
      <c r="I156" s="59"/>
      <c r="J156" s="59"/>
      <c r="K156" s="59"/>
      <c r="L156" s="62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</row>
    <row r="157" spans="1:54">
      <c r="A157" s="59"/>
      <c r="B157" s="59"/>
      <c r="C157" s="62"/>
      <c r="D157" s="59"/>
      <c r="E157" s="62"/>
      <c r="F157" s="59"/>
      <c r="G157" s="62"/>
      <c r="H157" s="59"/>
      <c r="I157" s="59"/>
      <c r="J157" s="59"/>
      <c r="K157" s="59"/>
      <c r="L157" s="62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</row>
    <row r="158" spans="1:54">
      <c r="A158" s="59"/>
      <c r="B158" s="59"/>
      <c r="C158" s="62"/>
      <c r="D158" s="59"/>
      <c r="E158" s="62"/>
      <c r="F158" s="59"/>
      <c r="G158" s="62"/>
      <c r="H158" s="59"/>
      <c r="I158" s="59"/>
      <c r="J158" s="59"/>
      <c r="K158" s="59"/>
      <c r="L158" s="62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</row>
    <row r="159" spans="1:54">
      <c r="A159" s="59"/>
      <c r="B159" s="59"/>
      <c r="C159" s="62"/>
      <c r="D159" s="59"/>
      <c r="E159" s="62"/>
      <c r="F159" s="59"/>
      <c r="G159" s="62"/>
      <c r="H159" s="59"/>
      <c r="I159" s="59"/>
      <c r="J159" s="59"/>
      <c r="K159" s="59"/>
      <c r="L159" s="62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</row>
    <row r="160" spans="1:54">
      <c r="A160" s="59"/>
      <c r="B160" s="59"/>
      <c r="C160" s="62"/>
      <c r="D160" s="59"/>
      <c r="E160" s="62"/>
      <c r="F160" s="59"/>
      <c r="G160" s="62"/>
      <c r="H160" s="59"/>
      <c r="I160" s="59"/>
      <c r="J160" s="59"/>
      <c r="K160" s="59"/>
      <c r="L160" s="62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</row>
    <row r="161" spans="1:54">
      <c r="A161" s="59"/>
      <c r="B161" s="59"/>
      <c r="C161" s="62"/>
      <c r="D161" s="59"/>
      <c r="E161" s="62"/>
      <c r="F161" s="59"/>
      <c r="G161" s="62"/>
      <c r="H161" s="59"/>
      <c r="I161" s="59"/>
      <c r="J161" s="59"/>
      <c r="K161" s="59"/>
      <c r="L161" s="62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</row>
    <row r="162" spans="1:54">
      <c r="A162" s="59"/>
      <c r="B162" s="59"/>
      <c r="C162" s="62"/>
      <c r="D162" s="59"/>
      <c r="E162" s="62"/>
      <c r="F162" s="59"/>
      <c r="G162" s="62"/>
      <c r="H162" s="59"/>
      <c r="I162" s="59"/>
      <c r="J162" s="59"/>
      <c r="K162" s="59"/>
      <c r="L162" s="62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</row>
    <row r="163" spans="1:54">
      <c r="A163" s="59"/>
      <c r="B163" s="59"/>
      <c r="C163" s="62"/>
      <c r="D163" s="59"/>
      <c r="E163" s="62"/>
      <c r="F163" s="59"/>
      <c r="G163" s="62"/>
      <c r="H163" s="59"/>
      <c r="I163" s="59"/>
      <c r="J163" s="59"/>
      <c r="K163" s="59"/>
      <c r="L163" s="62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</row>
    <row r="164" spans="1:54">
      <c r="A164" s="59"/>
      <c r="B164" s="59"/>
      <c r="C164" s="62"/>
      <c r="D164" s="59"/>
      <c r="E164" s="62"/>
      <c r="F164" s="59"/>
      <c r="G164" s="62"/>
      <c r="H164" s="59"/>
      <c r="I164" s="59"/>
      <c r="J164" s="59"/>
      <c r="K164" s="59"/>
      <c r="L164" s="62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</row>
    <row r="165" spans="1:54">
      <c r="A165" s="59"/>
      <c r="B165" s="59"/>
      <c r="C165" s="62"/>
      <c r="D165" s="59"/>
      <c r="E165" s="62"/>
      <c r="F165" s="59"/>
      <c r="G165" s="62"/>
      <c r="H165" s="59"/>
      <c r="I165" s="59"/>
      <c r="J165" s="59"/>
      <c r="K165" s="59"/>
      <c r="L165" s="62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</row>
    <row r="166" spans="1:54">
      <c r="A166" s="59"/>
      <c r="B166" s="59"/>
      <c r="C166" s="62"/>
      <c r="D166" s="59"/>
      <c r="E166" s="62"/>
      <c r="F166" s="59"/>
      <c r="G166" s="62"/>
      <c r="H166" s="59"/>
      <c r="I166" s="59"/>
      <c r="J166" s="59"/>
      <c r="K166" s="59"/>
      <c r="L166" s="62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</row>
    <row r="167" spans="1:54">
      <c r="A167" s="59"/>
      <c r="B167" s="59"/>
      <c r="C167" s="62"/>
      <c r="D167" s="59"/>
      <c r="E167" s="62"/>
      <c r="F167" s="59"/>
      <c r="G167" s="62"/>
      <c r="H167" s="59"/>
      <c r="I167" s="59"/>
      <c r="J167" s="59"/>
      <c r="K167" s="59"/>
      <c r="L167" s="62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</row>
    <row r="168" spans="1:54">
      <c r="A168" s="59"/>
      <c r="B168" s="59"/>
      <c r="C168" s="62"/>
      <c r="D168" s="59"/>
      <c r="E168" s="62"/>
      <c r="F168" s="59"/>
      <c r="G168" s="62"/>
      <c r="H168" s="59"/>
      <c r="I168" s="59"/>
      <c r="J168" s="59"/>
      <c r="K168" s="59"/>
      <c r="L168" s="62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</row>
    <row r="169" spans="1:54">
      <c r="A169" s="59"/>
      <c r="B169" s="59"/>
      <c r="C169" s="62"/>
      <c r="D169" s="59"/>
      <c r="E169" s="62"/>
      <c r="F169" s="59"/>
      <c r="G169" s="62"/>
      <c r="H169" s="59"/>
      <c r="I169" s="59"/>
      <c r="J169" s="59"/>
      <c r="K169" s="59"/>
      <c r="L169" s="62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</row>
    <row r="170" spans="1:54">
      <c r="A170" s="59"/>
      <c r="B170" s="59"/>
      <c r="C170" s="62"/>
      <c r="D170" s="59"/>
      <c r="E170" s="62"/>
      <c r="F170" s="59"/>
      <c r="G170" s="62"/>
      <c r="H170" s="59"/>
      <c r="I170" s="59"/>
      <c r="J170" s="59"/>
      <c r="K170" s="59"/>
      <c r="L170" s="62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</row>
    <row r="171" spans="1:54">
      <c r="A171" s="59"/>
      <c r="B171" s="59"/>
      <c r="C171" s="62"/>
      <c r="D171" s="59"/>
      <c r="E171" s="62"/>
      <c r="F171" s="59"/>
      <c r="G171" s="62"/>
      <c r="H171" s="59"/>
      <c r="I171" s="59"/>
      <c r="J171" s="59"/>
      <c r="K171" s="59"/>
      <c r="L171" s="62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</row>
    <row r="172" spans="1:54">
      <c r="A172" s="59"/>
      <c r="B172" s="59"/>
      <c r="C172" s="62"/>
      <c r="D172" s="59"/>
      <c r="E172" s="62"/>
      <c r="F172" s="59"/>
      <c r="G172" s="62"/>
      <c r="H172" s="59"/>
      <c r="I172" s="59"/>
      <c r="J172" s="59"/>
      <c r="K172" s="59"/>
      <c r="L172" s="62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</row>
    <row r="173" spans="1:54">
      <c r="A173" s="59"/>
      <c r="B173" s="59"/>
      <c r="C173" s="62"/>
      <c r="D173" s="59"/>
      <c r="E173" s="62"/>
      <c r="F173" s="59"/>
      <c r="G173" s="62"/>
      <c r="H173" s="59"/>
      <c r="I173" s="59"/>
      <c r="J173" s="59"/>
      <c r="K173" s="59"/>
      <c r="L173" s="62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</row>
    <row r="174" spans="1:54">
      <c r="A174" s="59"/>
      <c r="B174" s="59"/>
      <c r="C174" s="62"/>
      <c r="D174" s="59"/>
      <c r="E174" s="62"/>
      <c r="F174" s="59"/>
      <c r="G174" s="62"/>
      <c r="H174" s="59"/>
      <c r="I174" s="59"/>
      <c r="J174" s="59"/>
      <c r="K174" s="59"/>
      <c r="L174" s="62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</row>
    <row r="175" spans="1:54">
      <c r="A175" s="59"/>
      <c r="B175" s="59"/>
      <c r="C175" s="62"/>
      <c r="D175" s="59"/>
      <c r="E175" s="62"/>
      <c r="F175" s="59"/>
      <c r="G175" s="62"/>
      <c r="H175" s="59"/>
      <c r="I175" s="59"/>
      <c r="J175" s="59"/>
      <c r="K175" s="59"/>
      <c r="L175" s="62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</row>
    <row r="176" spans="1:54">
      <c r="A176" s="59"/>
      <c r="B176" s="59"/>
      <c r="C176" s="62"/>
      <c r="D176" s="59"/>
      <c r="E176" s="62"/>
      <c r="F176" s="59"/>
      <c r="G176" s="62"/>
      <c r="H176" s="59"/>
      <c r="I176" s="59"/>
      <c r="J176" s="59"/>
      <c r="K176" s="59"/>
      <c r="L176" s="62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</row>
    <row r="177" spans="1:54">
      <c r="A177" s="59"/>
      <c r="B177" s="59"/>
      <c r="C177" s="62"/>
      <c r="D177" s="59"/>
      <c r="E177" s="62"/>
      <c r="F177" s="59"/>
      <c r="G177" s="62"/>
      <c r="H177" s="59"/>
      <c r="I177" s="59"/>
      <c r="J177" s="59"/>
      <c r="K177" s="59"/>
      <c r="L177" s="62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</row>
    <row r="178" spans="1:54">
      <c r="A178" s="59"/>
      <c r="B178" s="59"/>
      <c r="C178" s="62"/>
      <c r="D178" s="59"/>
      <c r="E178" s="62"/>
      <c r="F178" s="59"/>
      <c r="G178" s="62"/>
      <c r="H178" s="59"/>
      <c r="I178" s="59"/>
      <c r="J178" s="59"/>
      <c r="K178" s="59"/>
      <c r="L178" s="62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</row>
    <row r="179" spans="1:54">
      <c r="A179" s="59"/>
      <c r="B179" s="59"/>
      <c r="C179" s="62"/>
      <c r="D179" s="59"/>
      <c r="E179" s="62"/>
      <c r="F179" s="59"/>
      <c r="G179" s="62"/>
      <c r="H179" s="59"/>
      <c r="I179" s="59"/>
      <c r="J179" s="59"/>
      <c r="K179" s="59"/>
      <c r="L179" s="62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</row>
    <row r="180" spans="1:54">
      <c r="A180" s="59"/>
      <c r="B180" s="59"/>
      <c r="C180" s="62"/>
      <c r="D180" s="59"/>
      <c r="E180" s="62"/>
      <c r="F180" s="59"/>
      <c r="G180" s="62"/>
      <c r="H180" s="59"/>
      <c r="I180" s="59"/>
      <c r="J180" s="59"/>
      <c r="K180" s="59"/>
      <c r="L180" s="62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</row>
    <row r="181" spans="1:54">
      <c r="A181" s="59"/>
      <c r="B181" s="59"/>
      <c r="C181" s="62"/>
      <c r="D181" s="59"/>
      <c r="E181" s="62"/>
      <c r="F181" s="59"/>
      <c r="G181" s="62"/>
      <c r="H181" s="59"/>
      <c r="I181" s="59"/>
      <c r="J181" s="59"/>
      <c r="K181" s="59"/>
      <c r="L181" s="62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</row>
    <row r="182" spans="1:54">
      <c r="A182" s="59"/>
      <c r="B182" s="59"/>
      <c r="C182" s="62"/>
      <c r="D182" s="59"/>
      <c r="E182" s="62"/>
      <c r="F182" s="59"/>
      <c r="G182" s="62"/>
      <c r="H182" s="59"/>
      <c r="I182" s="59"/>
      <c r="J182" s="59"/>
      <c r="K182" s="59"/>
      <c r="L182" s="62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</row>
    <row r="183" spans="1:54">
      <c r="A183" s="59"/>
      <c r="B183" s="59"/>
      <c r="C183" s="62"/>
      <c r="D183" s="59"/>
      <c r="E183" s="62"/>
      <c r="F183" s="59"/>
      <c r="G183" s="62"/>
      <c r="H183" s="59"/>
      <c r="I183" s="59"/>
      <c r="J183" s="59"/>
      <c r="K183" s="59"/>
      <c r="L183" s="62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</row>
    <row r="184" spans="1:54">
      <c r="A184" s="59"/>
      <c r="B184" s="59"/>
      <c r="C184" s="62"/>
      <c r="D184" s="59"/>
      <c r="E184" s="62"/>
      <c r="F184" s="59"/>
      <c r="G184" s="62"/>
      <c r="H184" s="59"/>
      <c r="I184" s="59"/>
      <c r="J184" s="59"/>
      <c r="K184" s="59"/>
      <c r="L184" s="62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</row>
    <row r="185" spans="1:54">
      <c r="A185" s="59"/>
      <c r="B185" s="59"/>
      <c r="C185" s="62"/>
      <c r="D185" s="59"/>
      <c r="E185" s="62"/>
      <c r="F185" s="59"/>
      <c r="G185" s="62"/>
      <c r="H185" s="59"/>
      <c r="I185" s="59"/>
      <c r="J185" s="59"/>
      <c r="K185" s="59"/>
      <c r="L185" s="62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</row>
    <row r="186" spans="1:54">
      <c r="A186" s="59"/>
      <c r="B186" s="59"/>
      <c r="C186" s="62"/>
      <c r="D186" s="59"/>
      <c r="E186" s="62"/>
      <c r="F186" s="59"/>
      <c r="G186" s="62"/>
      <c r="H186" s="59"/>
      <c r="I186" s="59"/>
      <c r="J186" s="59"/>
      <c r="K186" s="59"/>
      <c r="L186" s="62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</row>
    <row r="187" spans="1:54">
      <c r="A187" s="59"/>
      <c r="B187" s="59"/>
      <c r="C187" s="62"/>
      <c r="D187" s="59"/>
      <c r="E187" s="62"/>
      <c r="F187" s="59"/>
      <c r="G187" s="62"/>
      <c r="H187" s="59"/>
      <c r="I187" s="59"/>
      <c r="J187" s="59"/>
      <c r="K187" s="59"/>
      <c r="L187" s="62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</row>
    <row r="188" spans="1:54">
      <c r="A188" s="59"/>
      <c r="B188" s="59"/>
      <c r="C188" s="62"/>
      <c r="D188" s="59"/>
      <c r="E188" s="62"/>
      <c r="F188" s="59"/>
      <c r="G188" s="62"/>
      <c r="H188" s="59"/>
      <c r="I188" s="59"/>
      <c r="J188" s="59"/>
      <c r="K188" s="59"/>
      <c r="L188" s="62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</row>
    <row r="189" spans="1:54">
      <c r="A189" s="59"/>
      <c r="B189" s="59"/>
      <c r="C189" s="62"/>
      <c r="D189" s="59"/>
      <c r="E189" s="62"/>
      <c r="F189" s="59"/>
      <c r="G189" s="62"/>
      <c r="H189" s="59"/>
      <c r="I189" s="59"/>
      <c r="J189" s="59"/>
      <c r="K189" s="59"/>
      <c r="L189" s="62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</row>
    <row r="190" spans="1:54">
      <c r="A190" s="59"/>
      <c r="B190" s="59"/>
      <c r="C190" s="62"/>
      <c r="D190" s="59"/>
      <c r="E190" s="62"/>
      <c r="F190" s="59"/>
      <c r="G190" s="62"/>
      <c r="H190" s="59"/>
      <c r="I190" s="59"/>
      <c r="J190" s="59"/>
      <c r="K190" s="59"/>
      <c r="L190" s="62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</row>
    <row r="191" spans="1:54">
      <c r="A191" s="59"/>
      <c r="B191" s="59"/>
      <c r="C191" s="62"/>
      <c r="D191" s="59"/>
      <c r="E191" s="62"/>
      <c r="F191" s="59"/>
      <c r="G191" s="62"/>
      <c r="H191" s="59"/>
      <c r="I191" s="59"/>
      <c r="J191" s="59"/>
      <c r="K191" s="59"/>
      <c r="L191" s="62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</row>
    <row r="192" spans="1:54">
      <c r="A192" s="59"/>
      <c r="B192" s="59"/>
      <c r="C192" s="62"/>
      <c r="D192" s="59"/>
      <c r="E192" s="62"/>
      <c r="F192" s="59"/>
      <c r="G192" s="62"/>
      <c r="H192" s="59"/>
      <c r="I192" s="59"/>
      <c r="J192" s="59"/>
      <c r="K192" s="59"/>
      <c r="L192" s="62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</row>
    <row r="193" spans="1:54">
      <c r="A193" s="59"/>
      <c r="B193" s="59"/>
      <c r="C193" s="62"/>
      <c r="D193" s="59"/>
      <c r="E193" s="62"/>
      <c r="F193" s="59"/>
      <c r="G193" s="62"/>
      <c r="H193" s="59"/>
      <c r="I193" s="59"/>
      <c r="J193" s="59"/>
      <c r="K193" s="59"/>
      <c r="L193" s="62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</row>
    <row r="194" spans="1:54">
      <c r="A194" s="59"/>
      <c r="B194" s="59"/>
      <c r="C194" s="62"/>
      <c r="D194" s="59"/>
      <c r="E194" s="62"/>
      <c r="F194" s="59"/>
      <c r="G194" s="62"/>
      <c r="H194" s="59"/>
      <c r="I194" s="59"/>
      <c r="J194" s="59"/>
      <c r="K194" s="59"/>
      <c r="L194" s="62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</row>
    <row r="195" spans="1:54">
      <c r="A195" s="59"/>
      <c r="B195" s="59"/>
      <c r="C195" s="62"/>
      <c r="D195" s="59"/>
      <c r="E195" s="62"/>
      <c r="F195" s="59"/>
      <c r="G195" s="62"/>
      <c r="H195" s="59"/>
      <c r="I195" s="59"/>
      <c r="J195" s="59"/>
      <c r="K195" s="59"/>
      <c r="L195" s="62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</row>
    <row r="196" spans="1:54">
      <c r="A196" s="59"/>
      <c r="B196" s="59"/>
      <c r="C196" s="62"/>
      <c r="D196" s="59"/>
      <c r="E196" s="62"/>
      <c r="F196" s="59"/>
      <c r="G196" s="62"/>
      <c r="H196" s="59"/>
      <c r="I196" s="59"/>
      <c r="J196" s="59"/>
      <c r="K196" s="59"/>
      <c r="L196" s="62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</row>
    <row r="197" spans="1:54">
      <c r="A197" s="59"/>
      <c r="B197" s="59"/>
      <c r="C197" s="62"/>
      <c r="D197" s="59"/>
      <c r="E197" s="62"/>
      <c r="F197" s="59"/>
      <c r="G197" s="62"/>
      <c r="H197" s="59"/>
      <c r="I197" s="59"/>
      <c r="J197" s="59"/>
      <c r="K197" s="59"/>
      <c r="L197" s="62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</row>
    <row r="198" spans="1:54">
      <c r="A198" s="59"/>
      <c r="B198" s="59"/>
      <c r="C198" s="62"/>
      <c r="D198" s="59"/>
      <c r="E198" s="62"/>
      <c r="F198" s="59"/>
      <c r="G198" s="62"/>
      <c r="H198" s="59"/>
      <c r="I198" s="59"/>
      <c r="J198" s="59"/>
      <c r="K198" s="59"/>
      <c r="L198" s="62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</row>
    <row r="199" spans="1:54">
      <c r="A199" s="59"/>
      <c r="B199" s="59"/>
      <c r="C199" s="62"/>
      <c r="D199" s="59"/>
      <c r="E199" s="62"/>
      <c r="F199" s="59"/>
      <c r="G199" s="62"/>
      <c r="H199" s="59"/>
      <c r="I199" s="59"/>
      <c r="J199" s="59"/>
      <c r="K199" s="59"/>
      <c r="L199" s="62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</row>
    <row r="200" spans="1:54">
      <c r="A200" s="59"/>
      <c r="B200" s="59"/>
      <c r="C200" s="62"/>
      <c r="D200" s="59"/>
      <c r="E200" s="62"/>
      <c r="F200" s="59"/>
      <c r="G200" s="62"/>
      <c r="H200" s="59"/>
      <c r="I200" s="59"/>
      <c r="J200" s="59"/>
      <c r="K200" s="59"/>
      <c r="L200" s="62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</row>
    <row r="201" spans="1:54">
      <c r="A201" s="59"/>
      <c r="B201" s="59"/>
      <c r="C201" s="62"/>
      <c r="D201" s="59"/>
      <c r="E201" s="62"/>
      <c r="F201" s="59"/>
      <c r="G201" s="62"/>
      <c r="H201" s="59"/>
      <c r="I201" s="59"/>
      <c r="J201" s="59"/>
      <c r="K201" s="59"/>
      <c r="L201" s="62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</row>
    <row r="202" spans="1:54">
      <c r="A202" s="59"/>
      <c r="B202" s="59"/>
      <c r="C202" s="62"/>
      <c r="D202" s="59"/>
      <c r="E202" s="62"/>
      <c r="F202" s="59"/>
      <c r="G202" s="62"/>
      <c r="H202" s="59"/>
      <c r="I202" s="59"/>
      <c r="J202" s="59"/>
      <c r="K202" s="59"/>
      <c r="L202" s="62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</row>
    <row r="203" spans="1:54">
      <c r="A203" s="59"/>
      <c r="B203" s="59"/>
      <c r="C203" s="62"/>
      <c r="D203" s="59"/>
      <c r="E203" s="62"/>
      <c r="F203" s="59"/>
      <c r="G203" s="62"/>
      <c r="H203" s="59"/>
      <c r="I203" s="59"/>
      <c r="J203" s="59"/>
      <c r="K203" s="59"/>
      <c r="L203" s="62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</row>
    <row r="204" spans="1:54">
      <c r="A204" s="59"/>
      <c r="B204" s="59"/>
      <c r="C204" s="62"/>
      <c r="D204" s="59"/>
      <c r="E204" s="62"/>
      <c r="F204" s="59"/>
      <c r="G204" s="62"/>
      <c r="H204" s="59"/>
      <c r="I204" s="59"/>
      <c r="J204" s="59"/>
      <c r="K204" s="59"/>
      <c r="L204" s="62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</row>
    <row r="205" spans="1:54">
      <c r="A205" s="59"/>
      <c r="B205" s="59"/>
      <c r="C205" s="62"/>
      <c r="D205" s="59"/>
      <c r="E205" s="62"/>
      <c r="F205" s="59"/>
      <c r="G205" s="62"/>
      <c r="H205" s="59"/>
      <c r="I205" s="59"/>
      <c r="J205" s="59"/>
      <c r="K205" s="59"/>
      <c r="L205" s="62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</row>
    <row r="206" spans="1:54">
      <c r="A206" s="59"/>
      <c r="B206" s="59"/>
      <c r="C206" s="62"/>
      <c r="D206" s="59"/>
      <c r="E206" s="62"/>
      <c r="F206" s="59"/>
      <c r="G206" s="62"/>
      <c r="H206" s="59"/>
      <c r="I206" s="59"/>
      <c r="J206" s="59"/>
      <c r="K206" s="59"/>
      <c r="L206" s="62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</row>
    <row r="207" spans="1:54">
      <c r="A207" s="59"/>
      <c r="B207" s="59"/>
      <c r="C207" s="62"/>
      <c r="D207" s="59"/>
      <c r="E207" s="62"/>
      <c r="F207" s="59"/>
      <c r="G207" s="62"/>
      <c r="H207" s="59"/>
      <c r="I207" s="59"/>
      <c r="J207" s="59"/>
      <c r="K207" s="59"/>
      <c r="L207" s="62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</row>
    <row r="208" spans="1:54">
      <c r="A208" s="59"/>
      <c r="B208" s="59"/>
      <c r="C208" s="62"/>
      <c r="D208" s="59"/>
      <c r="E208" s="62"/>
      <c r="F208" s="59"/>
      <c r="G208" s="62"/>
      <c r="H208" s="59"/>
      <c r="I208" s="59"/>
      <c r="J208" s="59"/>
      <c r="K208" s="59"/>
      <c r="L208" s="62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</row>
    <row r="209" spans="1:54">
      <c r="A209" s="59"/>
      <c r="B209" s="59"/>
      <c r="C209" s="62"/>
      <c r="D209" s="59"/>
      <c r="E209" s="62"/>
      <c r="F209" s="59"/>
      <c r="G209" s="62"/>
      <c r="H209" s="59"/>
      <c r="I209" s="59"/>
      <c r="J209" s="59"/>
      <c r="K209" s="59"/>
      <c r="L209" s="62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</row>
    <row r="210" spans="1:54">
      <c r="A210" s="59"/>
      <c r="B210" s="59"/>
      <c r="C210" s="62"/>
      <c r="D210" s="59"/>
      <c r="E210" s="62"/>
      <c r="F210" s="59"/>
      <c r="G210" s="62"/>
      <c r="H210" s="59"/>
      <c r="I210" s="59"/>
      <c r="J210" s="59"/>
      <c r="K210" s="59"/>
      <c r="L210" s="62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</row>
    <row r="211" spans="1:54">
      <c r="A211" s="59"/>
      <c r="B211" s="59"/>
      <c r="C211" s="62"/>
      <c r="D211" s="59"/>
      <c r="E211" s="62"/>
      <c r="F211" s="59"/>
      <c r="G211" s="62"/>
      <c r="H211" s="59"/>
      <c r="I211" s="59"/>
      <c r="J211" s="59"/>
      <c r="K211" s="59"/>
      <c r="L211" s="62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</row>
    <row r="212" spans="1:54">
      <c r="A212" s="59"/>
      <c r="B212" s="59"/>
      <c r="C212" s="62"/>
      <c r="D212" s="59"/>
      <c r="E212" s="62"/>
      <c r="F212" s="59"/>
      <c r="G212" s="62"/>
      <c r="H212" s="59"/>
      <c r="I212" s="59"/>
      <c r="J212" s="59"/>
      <c r="K212" s="59"/>
      <c r="L212" s="62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</row>
    <row r="213" spans="1:54">
      <c r="A213" s="59"/>
      <c r="B213" s="59"/>
      <c r="C213" s="62"/>
      <c r="D213" s="59"/>
      <c r="E213" s="62"/>
      <c r="F213" s="59"/>
      <c r="G213" s="62"/>
      <c r="H213" s="59"/>
      <c r="I213" s="59"/>
      <c r="J213" s="59"/>
      <c r="K213" s="59"/>
      <c r="L213" s="62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</row>
    <row r="214" spans="1:54">
      <c r="A214" s="59"/>
      <c r="B214" s="59"/>
      <c r="C214" s="62"/>
      <c r="D214" s="59"/>
      <c r="E214" s="62"/>
      <c r="F214" s="59"/>
      <c r="G214" s="62"/>
      <c r="H214" s="59"/>
      <c r="I214" s="59"/>
      <c r="J214" s="59"/>
      <c r="K214" s="59"/>
      <c r="L214" s="62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</row>
    <row r="215" spans="1:54">
      <c r="A215" s="59"/>
      <c r="B215" s="59"/>
      <c r="C215" s="62"/>
      <c r="D215" s="59"/>
      <c r="E215" s="62"/>
      <c r="F215" s="59"/>
      <c r="G215" s="62"/>
      <c r="H215" s="59"/>
      <c r="I215" s="59"/>
      <c r="J215" s="59"/>
      <c r="K215" s="59"/>
      <c r="L215" s="62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</row>
    <row r="216" spans="1:54">
      <c r="A216" s="59"/>
      <c r="B216" s="59"/>
      <c r="C216" s="62"/>
      <c r="D216" s="59"/>
      <c r="E216" s="62"/>
      <c r="F216" s="59"/>
      <c r="G216" s="62"/>
      <c r="H216" s="59"/>
      <c r="I216" s="59"/>
      <c r="J216" s="59"/>
      <c r="K216" s="59"/>
      <c r="L216" s="62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</row>
    <row r="217" spans="1:54">
      <c r="A217" s="59"/>
      <c r="B217" s="59"/>
      <c r="C217" s="62"/>
      <c r="D217" s="59"/>
      <c r="E217" s="62"/>
      <c r="F217" s="59"/>
      <c r="G217" s="62"/>
      <c r="H217" s="59"/>
      <c r="I217" s="59"/>
      <c r="J217" s="59"/>
      <c r="K217" s="59"/>
      <c r="L217" s="62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</row>
    <row r="218" spans="1:54">
      <c r="A218" s="59"/>
      <c r="B218" s="59"/>
      <c r="C218" s="62"/>
      <c r="D218" s="59"/>
      <c r="E218" s="62"/>
      <c r="F218" s="59"/>
      <c r="G218" s="62"/>
      <c r="H218" s="59"/>
      <c r="I218" s="59"/>
      <c r="J218" s="59"/>
      <c r="K218" s="59"/>
      <c r="L218" s="62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</row>
    <row r="219" spans="1:54">
      <c r="A219" s="59"/>
      <c r="B219" s="59"/>
      <c r="C219" s="62"/>
      <c r="D219" s="59"/>
      <c r="E219" s="62"/>
      <c r="F219" s="59"/>
      <c r="G219" s="62"/>
      <c r="H219" s="59"/>
      <c r="I219" s="59"/>
      <c r="J219" s="59"/>
      <c r="K219" s="59"/>
      <c r="L219" s="62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</row>
    <row r="220" spans="1:54">
      <c r="A220" s="59"/>
      <c r="B220" s="59"/>
      <c r="C220" s="62"/>
      <c r="D220" s="59"/>
      <c r="E220" s="62"/>
      <c r="F220" s="59"/>
      <c r="G220" s="62"/>
      <c r="H220" s="59"/>
      <c r="I220" s="59"/>
      <c r="J220" s="59"/>
      <c r="K220" s="59"/>
      <c r="L220" s="62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</row>
    <row r="221" spans="1:54">
      <c r="A221" s="59"/>
      <c r="B221" s="59"/>
      <c r="C221" s="62"/>
      <c r="D221" s="59"/>
      <c r="E221" s="62"/>
      <c r="F221" s="59"/>
      <c r="G221" s="62"/>
      <c r="H221" s="59"/>
      <c r="I221" s="59"/>
      <c r="J221" s="59"/>
      <c r="K221" s="59"/>
      <c r="L221" s="62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</row>
    <row r="222" spans="1:54">
      <c r="A222" s="59"/>
      <c r="B222" s="59"/>
      <c r="C222" s="62"/>
      <c r="D222" s="59"/>
      <c r="E222" s="62"/>
      <c r="F222" s="59"/>
      <c r="G222" s="62"/>
      <c r="H222" s="59"/>
      <c r="I222" s="59"/>
      <c r="J222" s="59"/>
      <c r="K222" s="59"/>
      <c r="L222" s="62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</row>
    <row r="223" spans="1:54">
      <c r="A223" s="59"/>
      <c r="B223" s="59"/>
      <c r="C223" s="62"/>
      <c r="D223" s="59"/>
      <c r="E223" s="62"/>
      <c r="F223" s="59"/>
      <c r="G223" s="62"/>
      <c r="H223" s="59"/>
      <c r="I223" s="59"/>
      <c r="J223" s="59"/>
      <c r="K223" s="59"/>
      <c r="L223" s="62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</row>
    <row r="224" spans="1:54">
      <c r="A224" s="59"/>
      <c r="B224" s="59"/>
      <c r="C224" s="62"/>
      <c r="D224" s="59"/>
      <c r="E224" s="62"/>
      <c r="F224" s="59"/>
      <c r="G224" s="62"/>
      <c r="H224" s="59"/>
      <c r="I224" s="59"/>
      <c r="J224" s="59"/>
      <c r="K224" s="59"/>
      <c r="L224" s="62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</row>
    <row r="225" spans="1:54">
      <c r="A225" s="59"/>
      <c r="B225" s="59"/>
      <c r="C225" s="62"/>
      <c r="D225" s="59"/>
      <c r="E225" s="62"/>
      <c r="F225" s="59"/>
      <c r="G225" s="62"/>
      <c r="H225" s="59"/>
      <c r="I225" s="59"/>
      <c r="J225" s="59"/>
      <c r="K225" s="59"/>
      <c r="L225" s="62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</row>
    <row r="226" spans="1:54">
      <c r="A226" s="59"/>
      <c r="B226" s="59"/>
      <c r="C226" s="62"/>
      <c r="D226" s="59"/>
      <c r="E226" s="62"/>
      <c r="F226" s="59"/>
      <c r="G226" s="62"/>
      <c r="H226" s="59"/>
      <c r="I226" s="59"/>
      <c r="J226" s="59"/>
      <c r="K226" s="59"/>
      <c r="L226" s="62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</row>
    <row r="227" spans="1:54">
      <c r="A227" s="59"/>
      <c r="B227" s="59"/>
      <c r="C227" s="62"/>
      <c r="D227" s="59"/>
      <c r="E227" s="62"/>
      <c r="F227" s="59"/>
      <c r="G227" s="62"/>
      <c r="H227" s="59"/>
      <c r="I227" s="59"/>
      <c r="J227" s="59"/>
      <c r="K227" s="59"/>
      <c r="L227" s="62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</row>
    <row r="228" spans="1:54">
      <c r="A228" s="59"/>
      <c r="B228" s="59"/>
      <c r="C228" s="62"/>
      <c r="D228" s="59"/>
      <c r="E228" s="62"/>
      <c r="F228" s="59"/>
      <c r="G228" s="62"/>
      <c r="H228" s="59"/>
      <c r="I228" s="59"/>
      <c r="J228" s="59"/>
      <c r="K228" s="59"/>
      <c r="L228" s="62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</row>
    <row r="229" spans="1:54">
      <c r="A229" s="59"/>
      <c r="B229" s="59"/>
      <c r="C229" s="62"/>
      <c r="D229" s="59"/>
      <c r="E229" s="62"/>
      <c r="F229" s="59"/>
      <c r="G229" s="62"/>
      <c r="H229" s="59"/>
      <c r="I229" s="59"/>
      <c r="J229" s="59"/>
      <c r="K229" s="59"/>
      <c r="L229" s="62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</row>
    <row r="230" spans="1:54">
      <c r="A230" s="59"/>
      <c r="B230" s="59"/>
      <c r="C230" s="62"/>
      <c r="D230" s="59"/>
      <c r="E230" s="62"/>
      <c r="F230" s="59"/>
      <c r="G230" s="62"/>
      <c r="H230" s="59"/>
      <c r="I230" s="59"/>
      <c r="J230" s="59"/>
      <c r="K230" s="59"/>
      <c r="L230" s="62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</row>
    <row r="231" spans="1:54">
      <c r="A231" s="59"/>
      <c r="B231" s="59"/>
      <c r="C231" s="62"/>
      <c r="D231" s="59"/>
      <c r="E231" s="62"/>
      <c r="F231" s="59"/>
      <c r="G231" s="62"/>
      <c r="H231" s="59"/>
      <c r="I231" s="59"/>
      <c r="J231" s="59"/>
      <c r="K231" s="59"/>
      <c r="L231" s="62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</row>
    <row r="232" spans="1:54">
      <c r="A232" s="59"/>
      <c r="B232" s="59"/>
      <c r="C232" s="62"/>
      <c r="D232" s="59"/>
      <c r="E232" s="62"/>
      <c r="F232" s="59"/>
      <c r="G232" s="62"/>
      <c r="H232" s="59"/>
      <c r="I232" s="59"/>
      <c r="J232" s="59"/>
      <c r="K232" s="59"/>
      <c r="L232" s="62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</row>
    <row r="233" spans="1:54">
      <c r="A233" s="59"/>
      <c r="B233" s="59"/>
      <c r="C233" s="62"/>
      <c r="D233" s="59"/>
      <c r="E233" s="62"/>
      <c r="F233" s="59"/>
      <c r="G233" s="62"/>
      <c r="H233" s="59"/>
      <c r="I233" s="59"/>
      <c r="J233" s="59"/>
      <c r="K233" s="59"/>
      <c r="L233" s="62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</row>
    <row r="234" spans="1:54">
      <c r="A234" s="59"/>
      <c r="B234" s="59"/>
      <c r="C234" s="62"/>
      <c r="D234" s="59"/>
      <c r="E234" s="62"/>
      <c r="F234" s="59"/>
      <c r="G234" s="62"/>
      <c r="H234" s="59"/>
      <c r="I234" s="59"/>
      <c r="J234" s="59"/>
      <c r="K234" s="59"/>
      <c r="L234" s="62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</row>
    <row r="235" spans="1:54">
      <c r="A235" s="59"/>
      <c r="B235" s="59"/>
      <c r="C235" s="62"/>
      <c r="D235" s="59"/>
      <c r="E235" s="62"/>
      <c r="F235" s="59"/>
      <c r="G235" s="62"/>
      <c r="H235" s="59"/>
      <c r="I235" s="59"/>
      <c r="J235" s="59"/>
      <c r="K235" s="59"/>
      <c r="L235" s="62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</row>
    <row r="236" spans="1:54">
      <c r="A236" s="59"/>
      <c r="B236" s="59"/>
      <c r="C236" s="62"/>
      <c r="D236" s="59"/>
      <c r="E236" s="62"/>
      <c r="F236" s="59"/>
      <c r="G236" s="62"/>
      <c r="H236" s="59"/>
      <c r="I236" s="59"/>
      <c r="J236" s="59"/>
      <c r="K236" s="59"/>
      <c r="L236" s="62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</row>
    <row r="237" spans="1:54">
      <c r="A237" s="59"/>
      <c r="B237" s="59"/>
      <c r="C237" s="62"/>
      <c r="D237" s="59"/>
      <c r="E237" s="62"/>
      <c r="F237" s="59"/>
      <c r="G237" s="62"/>
      <c r="H237" s="59"/>
      <c r="I237" s="59"/>
      <c r="J237" s="59"/>
      <c r="K237" s="59"/>
      <c r="L237" s="62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</row>
    <row r="238" spans="1:54">
      <c r="A238" s="59"/>
      <c r="B238" s="59"/>
      <c r="C238" s="62"/>
      <c r="D238" s="59"/>
      <c r="E238" s="62"/>
      <c r="F238" s="59"/>
      <c r="G238" s="62"/>
      <c r="H238" s="59"/>
      <c r="I238" s="59"/>
      <c r="J238" s="59"/>
      <c r="K238" s="59"/>
      <c r="L238" s="62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</row>
    <row r="239" spans="1:54">
      <c r="A239" s="59"/>
      <c r="B239" s="59"/>
      <c r="C239" s="62"/>
      <c r="D239" s="59"/>
      <c r="E239" s="62"/>
      <c r="F239" s="59"/>
      <c r="G239" s="62"/>
      <c r="H239" s="59"/>
      <c r="I239" s="59"/>
      <c r="J239" s="59"/>
      <c r="K239" s="59"/>
      <c r="L239" s="62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</row>
    <row r="240" spans="1:54">
      <c r="A240" s="59"/>
      <c r="B240" s="59"/>
      <c r="C240" s="62"/>
      <c r="D240" s="59"/>
      <c r="E240" s="62"/>
      <c r="F240" s="59"/>
      <c r="G240" s="62"/>
      <c r="H240" s="59"/>
      <c r="I240" s="59"/>
      <c r="J240" s="59"/>
      <c r="K240" s="59"/>
      <c r="L240" s="62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</row>
    <row r="241" spans="1:54">
      <c r="A241" s="59"/>
      <c r="B241" s="59"/>
      <c r="C241" s="62"/>
      <c r="D241" s="59"/>
      <c r="E241" s="62"/>
      <c r="F241" s="59"/>
      <c r="G241" s="62"/>
      <c r="H241" s="59"/>
      <c r="I241" s="59"/>
      <c r="J241" s="59"/>
      <c r="K241" s="59"/>
      <c r="L241" s="62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</row>
    <row r="242" spans="1:54">
      <c r="A242" s="59"/>
      <c r="B242" s="59"/>
      <c r="C242" s="62"/>
      <c r="D242" s="59"/>
      <c r="E242" s="62"/>
      <c r="F242" s="59"/>
      <c r="G242" s="62"/>
      <c r="H242" s="59"/>
      <c r="I242" s="59"/>
      <c r="J242" s="59"/>
      <c r="K242" s="59"/>
      <c r="L242" s="62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</row>
    <row r="243" spans="1:54">
      <c r="A243" s="59"/>
      <c r="B243" s="59"/>
      <c r="C243" s="62"/>
      <c r="D243" s="59"/>
      <c r="E243" s="62"/>
      <c r="F243" s="59"/>
      <c r="G243" s="62"/>
      <c r="H243" s="59"/>
      <c r="I243" s="59"/>
      <c r="J243" s="59"/>
      <c r="K243" s="59"/>
      <c r="L243" s="62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</row>
    <row r="244" spans="1:54">
      <c r="A244" s="59"/>
      <c r="B244" s="59"/>
      <c r="C244" s="62"/>
      <c r="D244" s="59"/>
      <c r="E244" s="62"/>
      <c r="F244" s="59"/>
      <c r="G244" s="62"/>
      <c r="H244" s="59"/>
      <c r="I244" s="59"/>
      <c r="J244" s="59"/>
      <c r="K244" s="59"/>
      <c r="L244" s="62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</row>
    <row r="245" spans="1:54">
      <c r="A245" s="59"/>
      <c r="B245" s="59"/>
      <c r="C245" s="62"/>
      <c r="D245" s="59"/>
      <c r="E245" s="62"/>
      <c r="F245" s="59"/>
      <c r="G245" s="62"/>
      <c r="H245" s="59"/>
      <c r="I245" s="59"/>
      <c r="J245" s="59"/>
      <c r="K245" s="59"/>
      <c r="L245" s="62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</row>
    <row r="246" spans="1:54">
      <c r="A246" s="59"/>
      <c r="B246" s="59"/>
      <c r="C246" s="62"/>
      <c r="D246" s="59"/>
      <c r="E246" s="62"/>
      <c r="F246" s="59"/>
      <c r="G246" s="62"/>
      <c r="H246" s="59"/>
      <c r="I246" s="59"/>
      <c r="J246" s="59"/>
      <c r="K246" s="59"/>
      <c r="L246" s="62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</row>
    <row r="247" spans="1:54">
      <c r="A247" s="59"/>
      <c r="B247" s="59"/>
      <c r="C247" s="62"/>
      <c r="D247" s="59"/>
      <c r="E247" s="62"/>
      <c r="F247" s="59"/>
      <c r="G247" s="62"/>
      <c r="H247" s="59"/>
      <c r="I247" s="59"/>
      <c r="J247" s="59"/>
      <c r="K247" s="59"/>
      <c r="L247" s="62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</row>
    <row r="248" spans="1:54">
      <c r="A248" s="59"/>
      <c r="B248" s="59"/>
      <c r="C248" s="62"/>
      <c r="D248" s="59"/>
      <c r="E248" s="62"/>
      <c r="F248" s="59"/>
      <c r="G248" s="62"/>
      <c r="H248" s="59"/>
      <c r="I248" s="59"/>
      <c r="J248" s="59"/>
      <c r="K248" s="59"/>
      <c r="L248" s="62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</row>
    <row r="249" spans="1:54">
      <c r="A249" s="59"/>
      <c r="B249" s="59"/>
      <c r="C249" s="62"/>
      <c r="D249" s="59"/>
      <c r="E249" s="62"/>
      <c r="F249" s="59"/>
      <c r="G249" s="62"/>
      <c r="H249" s="59"/>
      <c r="I249" s="59"/>
      <c r="J249" s="59"/>
      <c r="K249" s="59"/>
      <c r="L249" s="62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</row>
    <row r="250" spans="1:54">
      <c r="A250" s="59"/>
      <c r="B250" s="59"/>
      <c r="C250" s="62"/>
      <c r="D250" s="59"/>
      <c r="E250" s="62"/>
      <c r="F250" s="59"/>
      <c r="G250" s="62"/>
      <c r="H250" s="59"/>
      <c r="I250" s="59"/>
      <c r="J250" s="59"/>
      <c r="K250" s="59"/>
      <c r="L250" s="62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</row>
    <row r="251" spans="1:54">
      <c r="A251" s="59"/>
      <c r="B251" s="59"/>
      <c r="C251" s="62"/>
      <c r="D251" s="59"/>
      <c r="E251" s="62"/>
      <c r="F251" s="59"/>
      <c r="G251" s="62"/>
      <c r="H251" s="59"/>
      <c r="I251" s="59"/>
      <c r="J251" s="59"/>
      <c r="K251" s="59"/>
      <c r="L251" s="62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</row>
    <row r="252" spans="1:54">
      <c r="A252" s="59"/>
      <c r="B252" s="59"/>
      <c r="C252" s="62"/>
      <c r="D252" s="59"/>
      <c r="E252" s="62"/>
      <c r="F252" s="59"/>
      <c r="G252" s="62"/>
      <c r="H252" s="59"/>
      <c r="I252" s="59"/>
      <c r="J252" s="59"/>
      <c r="K252" s="59"/>
      <c r="L252" s="62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</row>
    <row r="253" spans="1:54">
      <c r="A253" s="59"/>
      <c r="B253" s="59"/>
      <c r="C253" s="62"/>
      <c r="D253" s="59"/>
      <c r="E253" s="62"/>
      <c r="F253" s="59"/>
      <c r="G253" s="62"/>
      <c r="H253" s="59"/>
      <c r="I253" s="59"/>
      <c r="J253" s="59"/>
      <c r="K253" s="59"/>
      <c r="L253" s="62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</row>
    <row r="254" spans="1:54">
      <c r="A254" s="59"/>
      <c r="B254" s="59"/>
      <c r="C254" s="62"/>
      <c r="D254" s="59"/>
      <c r="E254" s="62"/>
      <c r="F254" s="59"/>
      <c r="G254" s="62"/>
      <c r="H254" s="59"/>
      <c r="I254" s="59"/>
      <c r="J254" s="59"/>
      <c r="K254" s="59"/>
      <c r="L254" s="62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</row>
    <row r="255" spans="1:54">
      <c r="A255" s="59"/>
      <c r="B255" s="59"/>
      <c r="C255" s="62"/>
      <c r="D255" s="59"/>
      <c r="E255" s="62"/>
      <c r="F255" s="59"/>
      <c r="G255" s="62"/>
      <c r="H255" s="59"/>
      <c r="I255" s="59"/>
      <c r="J255" s="59"/>
      <c r="K255" s="59"/>
      <c r="L255" s="62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</row>
    <row r="256" spans="1:54">
      <c r="A256" s="59"/>
      <c r="B256" s="59"/>
      <c r="C256" s="62"/>
      <c r="D256" s="59"/>
      <c r="E256" s="62"/>
      <c r="F256" s="59"/>
      <c r="G256" s="62"/>
      <c r="H256" s="59"/>
      <c r="I256" s="59"/>
      <c r="J256" s="59"/>
      <c r="K256" s="59"/>
      <c r="L256" s="62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</row>
    <row r="257" spans="1:54">
      <c r="A257" s="59"/>
      <c r="B257" s="59"/>
      <c r="C257" s="62"/>
      <c r="D257" s="59"/>
      <c r="E257" s="62"/>
      <c r="F257" s="59"/>
      <c r="G257" s="62"/>
      <c r="H257" s="59"/>
      <c r="I257" s="59"/>
      <c r="J257" s="59"/>
      <c r="K257" s="59"/>
      <c r="L257" s="62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</row>
    <row r="258" spans="1:54">
      <c r="A258" s="59"/>
      <c r="B258" s="59"/>
      <c r="C258" s="62"/>
      <c r="D258" s="59"/>
      <c r="E258" s="62"/>
      <c r="F258" s="59"/>
      <c r="G258" s="62"/>
      <c r="H258" s="59"/>
      <c r="I258" s="59"/>
      <c r="J258" s="59"/>
      <c r="K258" s="59"/>
      <c r="L258" s="62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</row>
    <row r="259" spans="1:54">
      <c r="A259" s="59"/>
      <c r="B259" s="59"/>
      <c r="C259" s="62"/>
      <c r="D259" s="59"/>
      <c r="E259" s="62"/>
      <c r="F259" s="59"/>
      <c r="G259" s="62"/>
      <c r="H259" s="59"/>
      <c r="I259" s="59"/>
      <c r="J259" s="59"/>
      <c r="K259" s="59"/>
      <c r="L259" s="62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</row>
    <row r="260" spans="1:54">
      <c r="A260" s="59"/>
      <c r="B260" s="59"/>
      <c r="C260" s="62"/>
      <c r="D260" s="59"/>
      <c r="E260" s="62"/>
      <c r="F260" s="59"/>
      <c r="G260" s="62"/>
      <c r="H260" s="59"/>
      <c r="I260" s="59"/>
      <c r="J260" s="59"/>
      <c r="K260" s="59"/>
      <c r="L260" s="62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</row>
    <row r="261" spans="1:54">
      <c r="A261" s="59"/>
      <c r="B261" s="59"/>
      <c r="C261" s="62"/>
      <c r="D261" s="59"/>
      <c r="E261" s="62"/>
      <c r="F261" s="59"/>
      <c r="G261" s="62"/>
      <c r="H261" s="59"/>
      <c r="I261" s="59"/>
      <c r="J261" s="59"/>
      <c r="K261" s="59"/>
      <c r="L261" s="62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</row>
    <row r="262" spans="1:54">
      <c r="A262" s="59"/>
      <c r="B262" s="59"/>
      <c r="C262" s="62"/>
      <c r="D262" s="59"/>
      <c r="E262" s="62"/>
      <c r="F262" s="59"/>
      <c r="G262" s="62"/>
      <c r="H262" s="59"/>
      <c r="I262" s="59"/>
      <c r="J262" s="59"/>
      <c r="K262" s="59"/>
      <c r="L262" s="62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</row>
    <row r="263" spans="1:54">
      <c r="A263" s="59"/>
      <c r="B263" s="59"/>
      <c r="C263" s="62"/>
      <c r="D263" s="59"/>
      <c r="E263" s="62"/>
      <c r="F263" s="59"/>
      <c r="G263" s="62"/>
      <c r="H263" s="59"/>
      <c r="I263" s="59"/>
      <c r="J263" s="59"/>
      <c r="K263" s="59"/>
      <c r="L263" s="62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</row>
    <row r="264" spans="1:54">
      <c r="A264" s="59"/>
      <c r="B264" s="59"/>
      <c r="C264" s="62"/>
      <c r="D264" s="59"/>
      <c r="E264" s="62"/>
      <c r="F264" s="59"/>
      <c r="G264" s="62"/>
      <c r="H264" s="59"/>
      <c r="I264" s="59"/>
      <c r="J264" s="59"/>
      <c r="K264" s="59"/>
      <c r="L264" s="62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</row>
    <row r="265" spans="1:54">
      <c r="A265" s="59"/>
      <c r="B265" s="59"/>
      <c r="C265" s="62"/>
      <c r="D265" s="59"/>
      <c r="E265" s="62"/>
      <c r="F265" s="59"/>
      <c r="G265" s="62"/>
      <c r="H265" s="59"/>
      <c r="I265" s="59"/>
      <c r="J265" s="59"/>
      <c r="K265" s="59"/>
      <c r="L265" s="62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</row>
    <row r="266" spans="1:54">
      <c r="A266" s="59"/>
      <c r="B266" s="59"/>
      <c r="C266" s="62"/>
      <c r="D266" s="59"/>
      <c r="E266" s="62"/>
      <c r="F266" s="59"/>
      <c r="G266" s="62"/>
      <c r="H266" s="59"/>
      <c r="I266" s="59"/>
      <c r="J266" s="59"/>
      <c r="K266" s="59"/>
      <c r="L266" s="62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</row>
    <row r="267" spans="1:54">
      <c r="A267" s="59"/>
      <c r="B267" s="59"/>
      <c r="C267" s="62"/>
      <c r="D267" s="59"/>
      <c r="E267" s="62"/>
      <c r="F267" s="59"/>
      <c r="G267" s="62"/>
      <c r="H267" s="59"/>
      <c r="I267" s="59"/>
      <c r="J267" s="59"/>
      <c r="K267" s="59"/>
      <c r="L267" s="62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</row>
    <row r="268" spans="1:54">
      <c r="A268" s="59"/>
      <c r="B268" s="59"/>
      <c r="C268" s="62"/>
      <c r="D268" s="59"/>
      <c r="E268" s="62"/>
      <c r="F268" s="59"/>
      <c r="G268" s="62"/>
      <c r="H268" s="59"/>
      <c r="I268" s="59"/>
      <c r="J268" s="59"/>
      <c r="K268" s="59"/>
      <c r="L268" s="62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</row>
    <row r="269" spans="1:54">
      <c r="A269" s="59"/>
      <c r="B269" s="59"/>
      <c r="C269" s="62"/>
      <c r="D269" s="59"/>
      <c r="E269" s="62"/>
      <c r="F269" s="59"/>
      <c r="G269" s="62"/>
      <c r="H269" s="59"/>
      <c r="I269" s="59"/>
      <c r="J269" s="59"/>
      <c r="K269" s="59"/>
      <c r="L269" s="62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</row>
    <row r="270" spans="1:54">
      <c r="A270" s="59"/>
      <c r="B270" s="59"/>
      <c r="C270" s="62"/>
      <c r="D270" s="59"/>
      <c r="E270" s="62"/>
      <c r="F270" s="59"/>
      <c r="G270" s="62"/>
      <c r="H270" s="59"/>
      <c r="I270" s="59"/>
      <c r="J270" s="59"/>
      <c r="K270" s="59"/>
      <c r="L270" s="62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</row>
    <row r="271" spans="1:54">
      <c r="A271" s="59"/>
      <c r="B271" s="59"/>
      <c r="C271" s="62"/>
      <c r="D271" s="59"/>
      <c r="E271" s="62"/>
      <c r="F271" s="59"/>
      <c r="G271" s="62"/>
      <c r="H271" s="59"/>
      <c r="I271" s="59"/>
      <c r="J271" s="59"/>
      <c r="K271" s="59"/>
      <c r="L271" s="62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</row>
    <row r="272" spans="1:54">
      <c r="A272" s="59"/>
      <c r="B272" s="59"/>
      <c r="C272" s="62"/>
      <c r="D272" s="59"/>
      <c r="E272" s="62"/>
      <c r="F272" s="59"/>
      <c r="G272" s="62"/>
      <c r="H272" s="59"/>
      <c r="I272" s="59"/>
      <c r="J272" s="59"/>
      <c r="K272" s="59"/>
      <c r="L272" s="62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</row>
    <row r="273" spans="1:54">
      <c r="A273" s="59"/>
      <c r="B273" s="59"/>
      <c r="C273" s="62"/>
      <c r="D273" s="59"/>
      <c r="E273" s="62"/>
      <c r="F273" s="59"/>
      <c r="G273" s="62"/>
      <c r="H273" s="59"/>
      <c r="I273" s="59"/>
      <c r="J273" s="59"/>
      <c r="K273" s="59"/>
      <c r="L273" s="62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</row>
    <row r="274" spans="1:54">
      <c r="A274" s="59"/>
      <c r="B274" s="59"/>
      <c r="C274" s="62"/>
      <c r="D274" s="59"/>
      <c r="E274" s="62"/>
      <c r="F274" s="59"/>
      <c r="G274" s="62"/>
      <c r="H274" s="59"/>
      <c r="I274" s="59"/>
      <c r="J274" s="59"/>
      <c r="K274" s="59"/>
      <c r="L274" s="62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</row>
    <row r="275" spans="1:54">
      <c r="A275" s="59"/>
      <c r="B275" s="59"/>
      <c r="C275" s="62"/>
      <c r="D275" s="59"/>
      <c r="E275" s="62"/>
      <c r="F275" s="59"/>
      <c r="G275" s="62"/>
      <c r="H275" s="59"/>
      <c r="I275" s="59"/>
      <c r="J275" s="59"/>
      <c r="K275" s="59"/>
      <c r="L275" s="62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</row>
    <row r="276" spans="1:54">
      <c r="A276" s="59"/>
      <c r="B276" s="59"/>
      <c r="C276" s="62"/>
      <c r="D276" s="59"/>
      <c r="E276" s="62"/>
      <c r="F276" s="59"/>
      <c r="G276" s="62"/>
      <c r="H276" s="59"/>
      <c r="I276" s="59"/>
      <c r="J276" s="59"/>
      <c r="K276" s="59"/>
      <c r="L276" s="62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</row>
    <row r="277" spans="1:54">
      <c r="A277" s="59"/>
      <c r="B277" s="59"/>
      <c r="C277" s="62"/>
      <c r="D277" s="59"/>
      <c r="E277" s="62"/>
      <c r="F277" s="59"/>
      <c r="G277" s="62"/>
      <c r="H277" s="59"/>
      <c r="I277" s="59"/>
      <c r="J277" s="59"/>
      <c r="K277" s="59"/>
      <c r="L277" s="62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</row>
    <row r="278" spans="1:54">
      <c r="A278" s="59"/>
      <c r="B278" s="59"/>
      <c r="C278" s="62"/>
      <c r="D278" s="59"/>
      <c r="E278" s="62"/>
      <c r="F278" s="59"/>
      <c r="G278" s="62"/>
      <c r="H278" s="59"/>
      <c r="I278" s="59"/>
      <c r="J278" s="59"/>
      <c r="K278" s="59"/>
      <c r="L278" s="62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</row>
    <row r="279" spans="1:54">
      <c r="A279" s="59"/>
      <c r="B279" s="59"/>
      <c r="C279" s="62"/>
      <c r="D279" s="59"/>
      <c r="E279" s="62"/>
      <c r="F279" s="59"/>
      <c r="G279" s="62"/>
      <c r="H279" s="59"/>
      <c r="I279" s="59"/>
      <c r="J279" s="59"/>
      <c r="K279" s="59"/>
      <c r="L279" s="62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</row>
    <row r="280" spans="1:54">
      <c r="A280" s="59"/>
      <c r="B280" s="59"/>
      <c r="C280" s="62"/>
      <c r="D280" s="59"/>
      <c r="E280" s="62"/>
      <c r="F280" s="59"/>
      <c r="G280" s="62"/>
      <c r="H280" s="59"/>
      <c r="I280" s="59"/>
      <c r="J280" s="59"/>
      <c r="K280" s="59"/>
      <c r="L280" s="62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</row>
    <row r="281" spans="1:54">
      <c r="A281" s="59"/>
      <c r="B281" s="59"/>
      <c r="C281" s="62"/>
      <c r="D281" s="59"/>
      <c r="E281" s="62"/>
      <c r="F281" s="59"/>
      <c r="G281" s="62"/>
      <c r="H281" s="59"/>
      <c r="I281" s="59"/>
      <c r="J281" s="59"/>
      <c r="K281" s="59"/>
      <c r="L281" s="62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</row>
    <row r="282" spans="1:54">
      <c r="A282" s="59"/>
      <c r="B282" s="59"/>
      <c r="C282" s="62"/>
      <c r="D282" s="59"/>
      <c r="E282" s="62"/>
      <c r="F282" s="59"/>
      <c r="G282" s="62"/>
      <c r="H282" s="59"/>
      <c r="I282" s="59"/>
      <c r="J282" s="59"/>
      <c r="K282" s="59"/>
      <c r="L282" s="62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</row>
    <row r="283" spans="1:54">
      <c r="A283" s="59"/>
      <c r="B283" s="59"/>
      <c r="C283" s="62"/>
      <c r="D283" s="59"/>
      <c r="E283" s="62"/>
      <c r="F283" s="59"/>
      <c r="G283" s="62"/>
      <c r="H283" s="59"/>
      <c r="I283" s="59"/>
      <c r="J283" s="59"/>
      <c r="K283" s="59"/>
      <c r="L283" s="62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</row>
    <row r="284" spans="1:54">
      <c r="A284" s="59"/>
      <c r="B284" s="59"/>
      <c r="C284" s="62"/>
      <c r="D284" s="59"/>
      <c r="E284" s="62"/>
      <c r="F284" s="59"/>
      <c r="G284" s="62"/>
      <c r="H284" s="59"/>
      <c r="I284" s="59"/>
      <c r="J284" s="59"/>
      <c r="K284" s="59"/>
      <c r="L284" s="62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</row>
    <row r="285" spans="1:54">
      <c r="A285" s="59"/>
      <c r="B285" s="59"/>
      <c r="C285" s="62"/>
      <c r="D285" s="59"/>
      <c r="E285" s="62"/>
      <c r="F285" s="59"/>
      <c r="G285" s="62"/>
      <c r="H285" s="59"/>
      <c r="I285" s="59"/>
      <c r="J285" s="59"/>
      <c r="K285" s="59"/>
      <c r="L285" s="62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</row>
    <row r="286" spans="1:54">
      <c r="A286" s="59"/>
      <c r="B286" s="59"/>
      <c r="C286" s="62"/>
      <c r="D286" s="59"/>
      <c r="E286" s="62"/>
      <c r="F286" s="59"/>
      <c r="G286" s="62"/>
      <c r="H286" s="59"/>
      <c r="I286" s="59"/>
      <c r="J286" s="59"/>
      <c r="K286" s="59"/>
      <c r="L286" s="62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</row>
    <row r="287" spans="1:54">
      <c r="A287" s="59"/>
      <c r="B287" s="59"/>
      <c r="C287" s="62"/>
      <c r="D287" s="59"/>
      <c r="E287" s="62"/>
      <c r="F287" s="59"/>
      <c r="G287" s="62"/>
      <c r="H287" s="59"/>
      <c r="I287" s="59"/>
      <c r="J287" s="59"/>
      <c r="K287" s="59"/>
      <c r="L287" s="62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</row>
    <row r="288" spans="1:54">
      <c r="A288" s="59"/>
      <c r="B288" s="59"/>
      <c r="C288" s="62"/>
      <c r="D288" s="59"/>
      <c r="E288" s="62"/>
      <c r="F288" s="59"/>
      <c r="G288" s="62"/>
      <c r="H288" s="59"/>
      <c r="I288" s="59"/>
      <c r="J288" s="59"/>
      <c r="K288" s="59"/>
      <c r="L288" s="62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</row>
    <row r="289" spans="1:54">
      <c r="A289" s="59"/>
      <c r="B289" s="59"/>
      <c r="C289" s="62"/>
      <c r="D289" s="59"/>
      <c r="E289" s="62"/>
      <c r="F289" s="59"/>
      <c r="G289" s="62"/>
      <c r="H289" s="59"/>
      <c r="I289" s="59"/>
      <c r="J289" s="59"/>
      <c r="K289" s="59"/>
      <c r="L289" s="62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</row>
    <row r="290" spans="1:54">
      <c r="A290" s="59"/>
      <c r="B290" s="59"/>
      <c r="C290" s="62"/>
      <c r="D290" s="59"/>
      <c r="E290" s="62"/>
      <c r="F290" s="59"/>
      <c r="G290" s="62"/>
      <c r="H290" s="59"/>
      <c r="I290" s="59"/>
      <c r="J290" s="59"/>
      <c r="K290" s="59"/>
      <c r="L290" s="62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</row>
    <row r="291" spans="1:54">
      <c r="A291" s="59"/>
      <c r="B291" s="59"/>
      <c r="C291" s="62"/>
      <c r="D291" s="59"/>
      <c r="E291" s="62"/>
      <c r="F291" s="59"/>
      <c r="G291" s="62"/>
      <c r="H291" s="59"/>
      <c r="I291" s="59"/>
      <c r="J291" s="59"/>
      <c r="K291" s="59"/>
      <c r="L291" s="62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</row>
    <row r="292" spans="1:54">
      <c r="A292" s="59"/>
      <c r="B292" s="59"/>
      <c r="C292" s="62"/>
      <c r="D292" s="59"/>
      <c r="E292" s="62"/>
      <c r="F292" s="59"/>
      <c r="G292" s="62"/>
      <c r="H292" s="59"/>
      <c r="I292" s="59"/>
      <c r="J292" s="59"/>
      <c r="K292" s="59"/>
      <c r="L292" s="62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</row>
    <row r="293" spans="1:54">
      <c r="A293" s="59"/>
      <c r="B293" s="59"/>
      <c r="C293" s="62"/>
      <c r="D293" s="59"/>
      <c r="E293" s="62"/>
      <c r="F293" s="59"/>
      <c r="G293" s="62"/>
      <c r="H293" s="59"/>
      <c r="I293" s="59"/>
      <c r="J293" s="59"/>
      <c r="K293" s="59"/>
      <c r="L293" s="62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</row>
    <row r="294" spans="1:54">
      <c r="A294" s="59"/>
      <c r="B294" s="59"/>
      <c r="C294" s="62"/>
      <c r="D294" s="59"/>
      <c r="E294" s="62"/>
      <c r="F294" s="59"/>
      <c r="G294" s="62"/>
      <c r="H294" s="59"/>
      <c r="I294" s="59"/>
      <c r="J294" s="59"/>
      <c r="K294" s="59"/>
      <c r="L294" s="62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</row>
    <row r="295" spans="1:54">
      <c r="A295" s="59"/>
      <c r="B295" s="59"/>
      <c r="C295" s="62"/>
      <c r="D295" s="59"/>
      <c r="E295" s="62"/>
      <c r="F295" s="59"/>
      <c r="G295" s="62"/>
      <c r="H295" s="59"/>
      <c r="I295" s="59"/>
      <c r="J295" s="59"/>
      <c r="K295" s="59"/>
      <c r="L295" s="62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</row>
    <row r="296" spans="1:54">
      <c r="A296" s="59"/>
      <c r="B296" s="59"/>
      <c r="C296" s="62"/>
      <c r="D296" s="59"/>
      <c r="E296" s="62"/>
      <c r="F296" s="59"/>
      <c r="G296" s="62"/>
      <c r="H296" s="59"/>
      <c r="I296" s="59"/>
      <c r="J296" s="59"/>
      <c r="K296" s="59"/>
      <c r="L296" s="62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</row>
    <row r="297" spans="1:54">
      <c r="A297" s="59"/>
      <c r="B297" s="59"/>
      <c r="C297" s="62"/>
      <c r="D297" s="59"/>
      <c r="E297" s="62"/>
      <c r="F297" s="59"/>
      <c r="G297" s="62"/>
      <c r="H297" s="59"/>
      <c r="I297" s="59"/>
      <c r="J297" s="59"/>
      <c r="K297" s="59"/>
      <c r="L297" s="62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</row>
    <row r="298" spans="1:54">
      <c r="A298" s="59"/>
      <c r="B298" s="59"/>
      <c r="C298" s="62"/>
      <c r="D298" s="59"/>
      <c r="E298" s="62"/>
      <c r="F298" s="59"/>
      <c r="G298" s="62"/>
      <c r="H298" s="59"/>
      <c r="I298" s="59"/>
      <c r="J298" s="59"/>
      <c r="K298" s="59"/>
      <c r="L298" s="62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</row>
    <row r="299" spans="1:54">
      <c r="A299" s="59"/>
      <c r="B299" s="59"/>
      <c r="C299" s="62"/>
      <c r="D299" s="59"/>
      <c r="E299" s="62"/>
      <c r="F299" s="59"/>
      <c r="G299" s="62"/>
      <c r="H299" s="59"/>
      <c r="I299" s="59"/>
      <c r="J299" s="59"/>
      <c r="K299" s="59"/>
      <c r="L299" s="62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</row>
    <row r="300" spans="1:54">
      <c r="A300" s="59"/>
      <c r="B300" s="59"/>
      <c r="C300" s="62"/>
      <c r="D300" s="59"/>
      <c r="E300" s="62"/>
      <c r="F300" s="59"/>
      <c r="G300" s="62"/>
      <c r="H300" s="59"/>
      <c r="I300" s="59"/>
      <c r="J300" s="59"/>
      <c r="K300" s="59"/>
      <c r="L300" s="62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</row>
    <row r="301" spans="1:54">
      <c r="A301" s="59"/>
      <c r="B301" s="59"/>
      <c r="C301" s="62"/>
      <c r="D301" s="59"/>
      <c r="E301" s="62"/>
      <c r="F301" s="59"/>
      <c r="G301" s="62"/>
      <c r="H301" s="59"/>
      <c r="I301" s="59"/>
      <c r="J301" s="59"/>
      <c r="K301" s="59"/>
      <c r="L301" s="62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</row>
    <row r="302" spans="1:54">
      <c r="A302" s="59"/>
      <c r="B302" s="59"/>
      <c r="C302" s="62"/>
      <c r="D302" s="59"/>
      <c r="E302" s="62"/>
      <c r="F302" s="59"/>
      <c r="G302" s="62"/>
      <c r="H302" s="59"/>
      <c r="I302" s="59"/>
      <c r="J302" s="59"/>
      <c r="K302" s="59"/>
      <c r="L302" s="62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</row>
    <row r="303" spans="1:54">
      <c r="A303" s="59"/>
      <c r="B303" s="59"/>
      <c r="C303" s="62"/>
      <c r="D303" s="59"/>
      <c r="E303" s="62"/>
      <c r="F303" s="59"/>
      <c r="G303" s="62"/>
      <c r="H303" s="59"/>
      <c r="I303" s="59"/>
      <c r="J303" s="59"/>
      <c r="K303" s="59"/>
      <c r="L303" s="62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</row>
    <row r="304" spans="1:54">
      <c r="A304" s="59"/>
      <c r="B304" s="59"/>
      <c r="C304" s="62"/>
      <c r="D304" s="59"/>
      <c r="E304" s="62"/>
      <c r="F304" s="59"/>
      <c r="G304" s="62"/>
      <c r="H304" s="59"/>
      <c r="I304" s="59"/>
      <c r="J304" s="59"/>
      <c r="K304" s="59"/>
      <c r="L304" s="62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</row>
    <row r="305" spans="1:54">
      <c r="A305" s="59"/>
      <c r="B305" s="59"/>
      <c r="C305" s="62"/>
      <c r="D305" s="59"/>
      <c r="E305" s="62"/>
      <c r="F305" s="59"/>
      <c r="G305" s="62"/>
      <c r="H305" s="59"/>
      <c r="I305" s="59"/>
      <c r="J305" s="59"/>
      <c r="K305" s="59"/>
      <c r="L305" s="62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</row>
    <row r="306" spans="1:54">
      <c r="A306" s="59"/>
      <c r="B306" s="59"/>
      <c r="C306" s="62"/>
      <c r="D306" s="59"/>
      <c r="E306" s="62"/>
      <c r="F306" s="59"/>
      <c r="G306" s="62"/>
      <c r="H306" s="59"/>
      <c r="I306" s="59"/>
      <c r="J306" s="59"/>
      <c r="K306" s="59"/>
      <c r="L306" s="62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</row>
    <row r="307" spans="1:54">
      <c r="A307" s="59"/>
      <c r="B307" s="59"/>
      <c r="C307" s="62"/>
      <c r="D307" s="59"/>
      <c r="E307" s="62"/>
      <c r="F307" s="59"/>
      <c r="G307" s="62"/>
      <c r="H307" s="59"/>
      <c r="I307" s="59"/>
      <c r="J307" s="59"/>
      <c r="K307" s="59"/>
      <c r="L307" s="62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</row>
    <row r="308" spans="1:54">
      <c r="A308" s="59"/>
      <c r="B308" s="59"/>
      <c r="C308" s="62"/>
      <c r="D308" s="59"/>
      <c r="E308" s="62"/>
      <c r="F308" s="59"/>
      <c r="G308" s="62"/>
      <c r="H308" s="59"/>
      <c r="I308" s="59"/>
      <c r="J308" s="59"/>
      <c r="K308" s="59"/>
      <c r="L308" s="62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</row>
    <row r="309" spans="1:54">
      <c r="A309" s="59"/>
      <c r="B309" s="59"/>
      <c r="C309" s="62"/>
      <c r="D309" s="59"/>
      <c r="E309" s="62"/>
      <c r="F309" s="59"/>
      <c r="G309" s="62"/>
      <c r="H309" s="59"/>
      <c r="I309" s="59"/>
      <c r="J309" s="59"/>
      <c r="K309" s="59"/>
      <c r="L309" s="62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</row>
    <row r="310" spans="1:54">
      <c r="A310" s="59"/>
      <c r="B310" s="59"/>
      <c r="C310" s="62"/>
      <c r="D310" s="59"/>
      <c r="E310" s="62"/>
      <c r="F310" s="59"/>
      <c r="G310" s="62"/>
      <c r="H310" s="59"/>
      <c r="I310" s="59"/>
      <c r="J310" s="59"/>
      <c r="K310" s="59"/>
      <c r="L310" s="62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</row>
    <row r="311" spans="1:54">
      <c r="A311" s="59"/>
      <c r="B311" s="59"/>
      <c r="C311" s="62"/>
      <c r="D311" s="59"/>
      <c r="E311" s="62"/>
      <c r="F311" s="59"/>
      <c r="G311" s="62"/>
      <c r="H311" s="59"/>
      <c r="I311" s="59"/>
      <c r="J311" s="59"/>
      <c r="K311" s="59"/>
      <c r="L311" s="62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</row>
    <row r="312" spans="1:54">
      <c r="A312" s="59"/>
      <c r="B312" s="59"/>
      <c r="C312" s="62"/>
      <c r="D312" s="59"/>
      <c r="E312" s="62"/>
      <c r="F312" s="59"/>
      <c r="G312" s="62"/>
      <c r="H312" s="59"/>
      <c r="I312" s="59"/>
      <c r="J312" s="59"/>
      <c r="K312" s="59"/>
      <c r="L312" s="62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</row>
    <row r="313" spans="1:54">
      <c r="A313" s="59"/>
      <c r="B313" s="59"/>
      <c r="C313" s="62"/>
      <c r="D313" s="59"/>
      <c r="E313" s="62"/>
      <c r="F313" s="59"/>
      <c r="G313" s="62"/>
      <c r="H313" s="59"/>
      <c r="I313" s="59"/>
      <c r="J313" s="59"/>
      <c r="K313" s="59"/>
      <c r="L313" s="62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</row>
    <row r="314" spans="1:54">
      <c r="A314" s="59"/>
      <c r="B314" s="59"/>
      <c r="C314" s="62"/>
      <c r="D314" s="59"/>
      <c r="E314" s="62"/>
      <c r="F314" s="59"/>
      <c r="G314" s="62"/>
      <c r="H314" s="59"/>
      <c r="I314" s="59"/>
      <c r="J314" s="59"/>
      <c r="K314" s="59"/>
      <c r="L314" s="62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</row>
    <row r="315" spans="1:54">
      <c r="A315" s="59"/>
      <c r="B315" s="59"/>
      <c r="C315" s="62"/>
      <c r="D315" s="59"/>
      <c r="E315" s="62"/>
      <c r="F315" s="59"/>
      <c r="G315" s="62"/>
      <c r="H315" s="59"/>
      <c r="I315" s="59"/>
      <c r="J315" s="59"/>
      <c r="K315" s="59"/>
      <c r="L315" s="62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</row>
    <row r="316" spans="1:54">
      <c r="A316" s="59"/>
      <c r="B316" s="59"/>
      <c r="C316" s="62"/>
      <c r="D316" s="59"/>
      <c r="E316" s="62"/>
      <c r="F316" s="59"/>
      <c r="G316" s="62"/>
      <c r="H316" s="59"/>
      <c r="I316" s="59"/>
      <c r="J316" s="59"/>
      <c r="K316" s="59"/>
      <c r="L316" s="62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</row>
    <row r="317" spans="1:54">
      <c r="A317" s="59"/>
      <c r="B317" s="59"/>
      <c r="C317" s="62"/>
      <c r="D317" s="59"/>
      <c r="E317" s="62"/>
      <c r="F317" s="59"/>
      <c r="G317" s="62"/>
      <c r="H317" s="59"/>
      <c r="I317" s="59"/>
      <c r="J317" s="59"/>
      <c r="K317" s="59"/>
      <c r="L317" s="62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</row>
    <row r="318" spans="1:54">
      <c r="A318" s="59"/>
      <c r="B318" s="59"/>
      <c r="C318" s="62"/>
      <c r="D318" s="59"/>
      <c r="E318" s="62"/>
      <c r="F318" s="59"/>
      <c r="G318" s="62"/>
      <c r="H318" s="59"/>
      <c r="I318" s="59"/>
      <c r="J318" s="59"/>
      <c r="K318" s="59"/>
      <c r="L318" s="62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</row>
    <row r="319" spans="1:54">
      <c r="A319" s="59"/>
      <c r="B319" s="59"/>
      <c r="C319" s="62"/>
      <c r="D319" s="59"/>
      <c r="E319" s="62"/>
      <c r="F319" s="59"/>
      <c r="G319" s="62"/>
      <c r="H319" s="59"/>
      <c r="I319" s="59"/>
      <c r="J319" s="59"/>
      <c r="K319" s="59"/>
      <c r="L319" s="62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</row>
    <row r="320" spans="1:54">
      <c r="A320" s="59"/>
      <c r="B320" s="59"/>
      <c r="C320" s="62"/>
      <c r="D320" s="59"/>
      <c r="E320" s="62"/>
      <c r="F320" s="59"/>
      <c r="G320" s="62"/>
      <c r="H320" s="59"/>
      <c r="I320" s="59"/>
      <c r="J320" s="59"/>
      <c r="K320" s="59"/>
      <c r="L320" s="62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</row>
    <row r="321" spans="1:54">
      <c r="A321" s="59"/>
      <c r="B321" s="59"/>
      <c r="C321" s="62"/>
      <c r="D321" s="59"/>
      <c r="E321" s="62"/>
      <c r="F321" s="59"/>
      <c r="G321" s="62"/>
      <c r="H321" s="59"/>
      <c r="I321" s="59"/>
      <c r="J321" s="59"/>
      <c r="K321" s="59"/>
      <c r="L321" s="62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</row>
    <row r="322" spans="1:54">
      <c r="A322" s="59"/>
      <c r="B322" s="59"/>
      <c r="C322" s="62"/>
      <c r="D322" s="59"/>
      <c r="E322" s="62"/>
      <c r="F322" s="59"/>
      <c r="G322" s="62"/>
      <c r="H322" s="59"/>
      <c r="I322" s="59"/>
      <c r="J322" s="59"/>
      <c r="K322" s="59"/>
      <c r="L322" s="62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</row>
    <row r="323" spans="1:54">
      <c r="A323" s="59"/>
      <c r="B323" s="59"/>
      <c r="C323" s="62"/>
      <c r="D323" s="59"/>
      <c r="E323" s="62"/>
      <c r="F323" s="59"/>
      <c r="G323" s="62"/>
      <c r="H323" s="59"/>
      <c r="I323" s="59"/>
      <c r="J323" s="59"/>
      <c r="K323" s="59"/>
      <c r="L323" s="62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</row>
    <row r="324" spans="1:54">
      <c r="A324" s="59"/>
      <c r="B324" s="59"/>
      <c r="C324" s="62"/>
      <c r="D324" s="59"/>
      <c r="E324" s="62"/>
      <c r="F324" s="59"/>
      <c r="G324" s="62"/>
      <c r="H324" s="59"/>
      <c r="I324" s="59"/>
      <c r="J324" s="59"/>
      <c r="K324" s="59"/>
      <c r="L324" s="62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</row>
    <row r="325" spans="1:54">
      <c r="A325" s="59"/>
      <c r="B325" s="59"/>
      <c r="C325" s="62"/>
      <c r="D325" s="59"/>
      <c r="E325" s="62"/>
      <c r="F325" s="59"/>
      <c r="G325" s="62"/>
      <c r="H325" s="59"/>
      <c r="I325" s="59"/>
      <c r="J325" s="59"/>
      <c r="K325" s="59"/>
      <c r="L325" s="62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</row>
    <row r="326" spans="1:54">
      <c r="A326" s="59"/>
      <c r="B326" s="59"/>
      <c r="C326" s="62"/>
      <c r="D326" s="59"/>
      <c r="E326" s="62"/>
      <c r="F326" s="59"/>
      <c r="G326" s="62"/>
      <c r="H326" s="59"/>
      <c r="I326" s="59"/>
      <c r="J326" s="59"/>
      <c r="K326" s="59"/>
      <c r="L326" s="62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</row>
    <row r="327" spans="1:54">
      <c r="A327" s="59"/>
      <c r="B327" s="59"/>
      <c r="C327" s="62"/>
      <c r="D327" s="59"/>
      <c r="E327" s="62"/>
      <c r="F327" s="59"/>
      <c r="G327" s="62"/>
      <c r="H327" s="59"/>
      <c r="I327" s="59"/>
      <c r="J327" s="59"/>
      <c r="K327" s="59"/>
      <c r="L327" s="62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</row>
    <row r="328" spans="1:54">
      <c r="A328" s="59"/>
      <c r="B328" s="59"/>
      <c r="C328" s="62"/>
      <c r="D328" s="59"/>
      <c r="E328" s="62"/>
      <c r="F328" s="59"/>
      <c r="G328" s="62"/>
      <c r="H328" s="59"/>
      <c r="I328" s="59"/>
      <c r="J328" s="59"/>
      <c r="K328" s="59"/>
      <c r="L328" s="62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</row>
    <row r="329" spans="1:54">
      <c r="A329" s="59"/>
      <c r="B329" s="59"/>
      <c r="C329" s="62"/>
      <c r="D329" s="59"/>
      <c r="E329" s="62"/>
      <c r="F329" s="59"/>
      <c r="G329" s="62"/>
      <c r="H329" s="59"/>
      <c r="I329" s="59"/>
      <c r="J329" s="59"/>
      <c r="K329" s="59"/>
      <c r="L329" s="62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</row>
    <row r="330" spans="1:54">
      <c r="A330" s="59"/>
      <c r="B330" s="59"/>
      <c r="C330" s="62"/>
      <c r="D330" s="59"/>
      <c r="E330" s="62"/>
      <c r="F330" s="59"/>
      <c r="G330" s="62"/>
      <c r="H330" s="59"/>
      <c r="I330" s="59"/>
      <c r="J330" s="59"/>
      <c r="K330" s="59"/>
      <c r="L330" s="62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</row>
    <row r="331" spans="1:54">
      <c r="A331" s="59"/>
      <c r="B331" s="59"/>
      <c r="C331" s="62"/>
      <c r="D331" s="59"/>
      <c r="E331" s="62"/>
      <c r="F331" s="59"/>
      <c r="G331" s="62"/>
      <c r="H331" s="59"/>
      <c r="I331" s="59"/>
      <c r="J331" s="59"/>
      <c r="K331" s="59"/>
      <c r="L331" s="62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</row>
    <row r="332" spans="1:54">
      <c r="A332" s="59"/>
      <c r="B332" s="59"/>
      <c r="C332" s="62"/>
      <c r="D332" s="59"/>
      <c r="E332" s="62"/>
      <c r="F332" s="59"/>
      <c r="G332" s="62"/>
      <c r="H332" s="59"/>
      <c r="I332" s="59"/>
      <c r="J332" s="59"/>
      <c r="K332" s="59"/>
      <c r="L332" s="62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</row>
    <row r="333" spans="1:54">
      <c r="A333" s="59"/>
      <c r="B333" s="59"/>
      <c r="C333" s="62"/>
      <c r="D333" s="59"/>
      <c r="E333" s="62"/>
      <c r="F333" s="59"/>
      <c r="G333" s="62"/>
      <c r="H333" s="59"/>
      <c r="I333" s="59"/>
      <c r="J333" s="59"/>
      <c r="K333" s="59"/>
      <c r="L333" s="62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</row>
    <row r="334" spans="1:54">
      <c r="A334" s="59"/>
      <c r="B334" s="59"/>
      <c r="C334" s="62"/>
      <c r="D334" s="59"/>
      <c r="E334" s="62"/>
      <c r="F334" s="59"/>
      <c r="G334" s="62"/>
      <c r="H334" s="59"/>
      <c r="I334" s="59"/>
      <c r="J334" s="59"/>
      <c r="K334" s="59"/>
      <c r="L334" s="62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</row>
    <row r="335" spans="1:54">
      <c r="A335" s="59"/>
      <c r="B335" s="59"/>
      <c r="C335" s="62"/>
      <c r="D335" s="59"/>
      <c r="E335" s="62"/>
      <c r="F335" s="59"/>
      <c r="G335" s="62"/>
      <c r="H335" s="59"/>
      <c r="I335" s="59"/>
      <c r="J335" s="59"/>
      <c r="K335" s="59"/>
      <c r="L335" s="62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</row>
    <row r="336" spans="1:54">
      <c r="A336" s="59"/>
      <c r="B336" s="59"/>
      <c r="C336" s="62"/>
      <c r="D336" s="59"/>
      <c r="E336" s="62"/>
      <c r="F336" s="59"/>
      <c r="G336" s="62"/>
      <c r="H336" s="59"/>
      <c r="I336" s="59"/>
      <c r="J336" s="59"/>
      <c r="K336" s="59"/>
      <c r="L336" s="62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</row>
    <row r="337" spans="1:54">
      <c r="A337" s="59"/>
      <c r="B337" s="59"/>
      <c r="C337" s="62"/>
      <c r="D337" s="59"/>
      <c r="E337" s="62"/>
      <c r="F337" s="59"/>
      <c r="G337" s="62"/>
      <c r="H337" s="59"/>
      <c r="I337" s="59"/>
      <c r="J337" s="59"/>
      <c r="K337" s="59"/>
      <c r="L337" s="62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</row>
    <row r="338" spans="1:54">
      <c r="A338" s="59"/>
      <c r="B338" s="59"/>
      <c r="C338" s="62"/>
      <c r="D338" s="59"/>
      <c r="E338" s="62"/>
      <c r="F338" s="59"/>
      <c r="G338" s="62"/>
      <c r="H338" s="59"/>
      <c r="I338" s="59"/>
      <c r="J338" s="59"/>
      <c r="K338" s="59"/>
      <c r="L338" s="62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</row>
    <row r="339" spans="1:54">
      <c r="A339" s="59"/>
      <c r="B339" s="59"/>
      <c r="C339" s="62"/>
      <c r="D339" s="59"/>
      <c r="E339" s="62"/>
      <c r="F339" s="59"/>
      <c r="G339" s="62"/>
      <c r="H339" s="59"/>
      <c r="I339" s="59"/>
      <c r="J339" s="59"/>
      <c r="K339" s="59"/>
      <c r="L339" s="62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</row>
    <row r="340" spans="1:54">
      <c r="A340" s="59"/>
      <c r="B340" s="59"/>
      <c r="C340" s="62"/>
      <c r="D340" s="59"/>
      <c r="E340" s="62"/>
      <c r="F340" s="59"/>
      <c r="G340" s="62"/>
      <c r="H340" s="59"/>
      <c r="I340" s="59"/>
      <c r="J340" s="59"/>
      <c r="K340" s="59"/>
      <c r="L340" s="62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</row>
    <row r="341" spans="1:54">
      <c r="A341" s="59"/>
      <c r="B341" s="59"/>
      <c r="C341" s="62"/>
      <c r="D341" s="59"/>
      <c r="E341" s="62"/>
      <c r="F341" s="59"/>
      <c r="G341" s="62"/>
      <c r="H341" s="59"/>
      <c r="I341" s="59"/>
      <c r="J341" s="59"/>
      <c r="K341" s="59"/>
      <c r="L341" s="62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</row>
    <row r="342" spans="1:54">
      <c r="A342" s="59"/>
      <c r="B342" s="59"/>
      <c r="C342" s="62"/>
      <c r="D342" s="59"/>
      <c r="E342" s="62"/>
      <c r="F342" s="59"/>
      <c r="G342" s="62"/>
      <c r="H342" s="59"/>
      <c r="I342" s="59"/>
      <c r="J342" s="59"/>
      <c r="K342" s="59"/>
      <c r="L342" s="62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</row>
    <row r="343" spans="1:54">
      <c r="A343" s="59"/>
      <c r="B343" s="59"/>
      <c r="C343" s="62"/>
      <c r="D343" s="59"/>
      <c r="E343" s="62"/>
      <c r="F343" s="59"/>
      <c r="G343" s="62"/>
      <c r="H343" s="59"/>
      <c r="I343" s="59"/>
      <c r="J343" s="59"/>
      <c r="K343" s="59"/>
      <c r="L343" s="62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</row>
    <row r="344" spans="1:54">
      <c r="A344" s="59"/>
      <c r="B344" s="59"/>
      <c r="C344" s="62"/>
      <c r="D344" s="59"/>
      <c r="E344" s="62"/>
      <c r="F344" s="59"/>
      <c r="G344" s="62"/>
      <c r="H344" s="59"/>
      <c r="I344" s="59"/>
      <c r="J344" s="59"/>
      <c r="K344" s="59"/>
      <c r="L344" s="62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</row>
    <row r="345" spans="1:54">
      <c r="A345" s="59"/>
      <c r="B345" s="59"/>
      <c r="C345" s="62"/>
      <c r="D345" s="59"/>
      <c r="E345" s="62"/>
      <c r="F345" s="59"/>
      <c r="G345" s="62"/>
      <c r="H345" s="59"/>
      <c r="I345" s="59"/>
      <c r="J345" s="59"/>
      <c r="K345" s="59"/>
      <c r="L345" s="62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</row>
    <row r="346" spans="1:54">
      <c r="A346" s="59"/>
      <c r="B346" s="59"/>
      <c r="C346" s="62"/>
      <c r="D346" s="59"/>
      <c r="E346" s="62"/>
      <c r="F346" s="59"/>
      <c r="G346" s="62"/>
      <c r="H346" s="59"/>
      <c r="I346" s="59"/>
      <c r="J346" s="59"/>
      <c r="K346" s="59"/>
      <c r="L346" s="62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</row>
    <row r="347" spans="1:54">
      <c r="A347" s="59"/>
      <c r="B347" s="59"/>
      <c r="C347" s="62"/>
      <c r="D347" s="59"/>
      <c r="E347" s="62"/>
      <c r="F347" s="59"/>
      <c r="G347" s="62"/>
      <c r="H347" s="59"/>
      <c r="I347" s="59"/>
      <c r="J347" s="59"/>
      <c r="K347" s="59"/>
      <c r="L347" s="62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</row>
    <row r="348" spans="1:54">
      <c r="A348" s="59"/>
      <c r="B348" s="59"/>
      <c r="C348" s="62"/>
      <c r="D348" s="59"/>
      <c r="E348" s="62"/>
      <c r="F348" s="59"/>
      <c r="G348" s="62"/>
      <c r="H348" s="59"/>
      <c r="I348" s="59"/>
      <c r="J348" s="59"/>
      <c r="K348" s="59"/>
      <c r="L348" s="62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</row>
    <row r="349" spans="1:54">
      <c r="A349" s="59"/>
      <c r="B349" s="59"/>
      <c r="C349" s="62"/>
      <c r="D349" s="59"/>
      <c r="E349" s="62"/>
      <c r="F349" s="59"/>
      <c r="G349" s="62"/>
      <c r="H349" s="59"/>
      <c r="I349" s="59"/>
      <c r="J349" s="59"/>
      <c r="K349" s="59"/>
      <c r="L349" s="62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</row>
    <row r="350" spans="1:54">
      <c r="A350" s="59"/>
      <c r="B350" s="59"/>
      <c r="C350" s="62"/>
      <c r="D350" s="59"/>
      <c r="E350" s="62"/>
      <c r="F350" s="59"/>
      <c r="G350" s="62"/>
      <c r="H350" s="59"/>
      <c r="I350" s="59"/>
      <c r="J350" s="59"/>
      <c r="K350" s="59"/>
      <c r="L350" s="62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</row>
    <row r="351" spans="1:54">
      <c r="A351" s="59"/>
      <c r="B351" s="59"/>
      <c r="C351" s="62"/>
      <c r="D351" s="59"/>
      <c r="E351" s="62"/>
      <c r="F351" s="59"/>
      <c r="G351" s="62"/>
      <c r="H351" s="59"/>
      <c r="I351" s="59"/>
      <c r="J351" s="59"/>
      <c r="K351" s="59"/>
      <c r="L351" s="62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</row>
    <row r="352" spans="1:54">
      <c r="A352" s="59"/>
      <c r="B352" s="59"/>
      <c r="C352" s="62"/>
      <c r="D352" s="59"/>
      <c r="E352" s="62"/>
      <c r="F352" s="59"/>
      <c r="G352" s="62"/>
      <c r="H352" s="59"/>
      <c r="I352" s="59"/>
      <c r="J352" s="59"/>
      <c r="K352" s="59"/>
      <c r="L352" s="62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</row>
    <row r="353" spans="1:54">
      <c r="A353" s="59"/>
      <c r="B353" s="59"/>
      <c r="C353" s="62"/>
      <c r="D353" s="59"/>
      <c r="E353" s="62"/>
      <c r="F353" s="59"/>
      <c r="G353" s="62"/>
      <c r="H353" s="59"/>
      <c r="I353" s="59"/>
      <c r="J353" s="59"/>
      <c r="K353" s="59"/>
      <c r="L353" s="62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</row>
    <row r="354" spans="1:54">
      <c r="A354" s="59"/>
      <c r="B354" s="59"/>
      <c r="C354" s="62"/>
      <c r="D354" s="59"/>
      <c r="E354" s="62"/>
      <c r="F354" s="59"/>
      <c r="G354" s="62"/>
      <c r="H354" s="59"/>
      <c r="I354" s="59"/>
      <c r="J354" s="59"/>
      <c r="K354" s="59"/>
      <c r="L354" s="62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</row>
    <row r="355" spans="1:54">
      <c r="A355" s="59"/>
      <c r="B355" s="59"/>
      <c r="C355" s="62"/>
      <c r="D355" s="59"/>
      <c r="E355" s="62"/>
      <c r="F355" s="59"/>
      <c r="G355" s="62"/>
      <c r="H355" s="59"/>
      <c r="I355" s="59"/>
      <c r="J355" s="59"/>
      <c r="K355" s="59"/>
      <c r="L355" s="62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</row>
    <row r="356" spans="1:54">
      <c r="A356" s="59"/>
      <c r="B356" s="59"/>
      <c r="C356" s="62"/>
      <c r="D356" s="59"/>
      <c r="E356" s="62"/>
      <c r="F356" s="59"/>
      <c r="G356" s="62"/>
      <c r="H356" s="59"/>
      <c r="I356" s="59"/>
      <c r="J356" s="59"/>
      <c r="K356" s="59"/>
      <c r="L356" s="62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</row>
    <row r="357" spans="1:54">
      <c r="A357" s="59"/>
      <c r="B357" s="59"/>
      <c r="C357" s="62"/>
      <c r="D357" s="59"/>
      <c r="E357" s="62"/>
      <c r="F357" s="59"/>
      <c r="G357" s="62"/>
      <c r="H357" s="59"/>
      <c r="I357" s="59"/>
      <c r="J357" s="59"/>
      <c r="K357" s="59"/>
      <c r="L357" s="62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</row>
    <row r="358" spans="1:54">
      <c r="A358" s="59"/>
      <c r="B358" s="59"/>
      <c r="C358" s="62"/>
      <c r="D358" s="59"/>
      <c r="E358" s="62"/>
      <c r="F358" s="59"/>
      <c r="G358" s="62"/>
      <c r="H358" s="59"/>
      <c r="I358" s="59"/>
      <c r="J358" s="59"/>
      <c r="K358" s="59"/>
      <c r="L358" s="62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</row>
    <row r="359" spans="1:54">
      <c r="A359" s="59"/>
      <c r="B359" s="59"/>
      <c r="C359" s="62"/>
      <c r="D359" s="59"/>
      <c r="E359" s="62"/>
      <c r="F359" s="59"/>
      <c r="G359" s="62"/>
      <c r="H359" s="59"/>
      <c r="I359" s="59"/>
      <c r="J359" s="59"/>
      <c r="K359" s="59"/>
      <c r="L359" s="62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</row>
    <row r="360" spans="1:54">
      <c r="A360" s="59"/>
      <c r="B360" s="59"/>
      <c r="C360" s="62"/>
      <c r="D360" s="59"/>
      <c r="E360" s="62"/>
      <c r="F360" s="59"/>
      <c r="G360" s="62"/>
      <c r="H360" s="59"/>
      <c r="I360" s="59"/>
      <c r="J360" s="59"/>
      <c r="K360" s="59"/>
      <c r="L360" s="62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</row>
    <row r="361" spans="1:54">
      <c r="A361" s="59"/>
      <c r="B361" s="59"/>
      <c r="C361" s="62"/>
      <c r="D361" s="59"/>
      <c r="E361" s="62"/>
      <c r="F361" s="59"/>
      <c r="G361" s="62"/>
      <c r="H361" s="59"/>
      <c r="I361" s="59"/>
      <c r="J361" s="59"/>
      <c r="K361" s="59"/>
      <c r="L361" s="62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</row>
    <row r="362" spans="1:54">
      <c r="A362" s="59"/>
      <c r="B362" s="59"/>
      <c r="C362" s="62"/>
      <c r="D362" s="59"/>
      <c r="E362" s="62"/>
      <c r="F362" s="59"/>
      <c r="G362" s="62"/>
      <c r="H362" s="59"/>
      <c r="I362" s="59"/>
      <c r="J362" s="59"/>
      <c r="K362" s="59"/>
      <c r="L362" s="62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</row>
    <row r="363" spans="1:54">
      <c r="A363" s="59"/>
      <c r="B363" s="59"/>
      <c r="C363" s="62"/>
      <c r="D363" s="59"/>
      <c r="E363" s="62"/>
      <c r="F363" s="59"/>
      <c r="G363" s="62"/>
      <c r="H363" s="59"/>
      <c r="I363" s="59"/>
      <c r="J363" s="59"/>
      <c r="K363" s="59"/>
      <c r="L363" s="62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</row>
    <row r="364" spans="1:54">
      <c r="A364" s="59"/>
      <c r="B364" s="59"/>
      <c r="C364" s="62"/>
      <c r="D364" s="59"/>
      <c r="E364" s="62"/>
      <c r="F364" s="59"/>
      <c r="G364" s="62"/>
      <c r="H364" s="59"/>
      <c r="I364" s="59"/>
      <c r="J364" s="59"/>
      <c r="K364" s="59"/>
      <c r="L364" s="62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</row>
    <row r="365" spans="1:54">
      <c r="A365" s="59"/>
      <c r="B365" s="59"/>
      <c r="C365" s="62"/>
      <c r="D365" s="59"/>
      <c r="E365" s="62"/>
      <c r="F365" s="59"/>
      <c r="G365" s="62"/>
      <c r="H365" s="59"/>
      <c r="I365" s="59"/>
      <c r="J365" s="59"/>
      <c r="K365" s="59"/>
      <c r="L365" s="62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</row>
    <row r="366" spans="1:54">
      <c r="A366" s="59"/>
      <c r="B366" s="59"/>
      <c r="C366" s="62"/>
      <c r="D366" s="59"/>
      <c r="E366" s="62"/>
      <c r="F366" s="59"/>
      <c r="G366" s="62"/>
      <c r="H366" s="59"/>
      <c r="I366" s="59"/>
      <c r="J366" s="59"/>
      <c r="K366" s="59"/>
      <c r="L366" s="62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</row>
    <row r="367" spans="1:54">
      <c r="A367" s="59"/>
      <c r="B367" s="59"/>
      <c r="C367" s="62"/>
      <c r="D367" s="59"/>
      <c r="E367" s="62"/>
      <c r="F367" s="59"/>
      <c r="G367" s="62"/>
      <c r="H367" s="59"/>
      <c r="I367" s="59"/>
      <c r="J367" s="59"/>
      <c r="K367" s="59"/>
      <c r="L367" s="62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</row>
    <row r="368" spans="1:54">
      <c r="A368" s="59"/>
      <c r="B368" s="59"/>
      <c r="C368" s="62"/>
      <c r="D368" s="59"/>
      <c r="E368" s="62"/>
      <c r="F368" s="59"/>
      <c r="G368" s="62"/>
      <c r="H368" s="59"/>
      <c r="I368" s="59"/>
      <c r="J368" s="59"/>
      <c r="K368" s="59"/>
      <c r="L368" s="62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</row>
    <row r="369" spans="1:54">
      <c r="A369" s="59"/>
      <c r="B369" s="59"/>
      <c r="C369" s="62"/>
      <c r="D369" s="59"/>
      <c r="E369" s="62"/>
      <c r="F369" s="59"/>
      <c r="G369" s="62"/>
      <c r="H369" s="59"/>
      <c r="I369" s="59"/>
      <c r="J369" s="59"/>
      <c r="K369" s="59"/>
      <c r="L369" s="62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</row>
    <row r="370" spans="1:54">
      <c r="A370" s="59"/>
      <c r="B370" s="59"/>
      <c r="C370" s="62"/>
      <c r="D370" s="59"/>
      <c r="E370" s="62"/>
      <c r="F370" s="59"/>
      <c r="G370" s="62"/>
      <c r="H370" s="59"/>
      <c r="I370" s="59"/>
      <c r="J370" s="59"/>
      <c r="K370" s="59"/>
      <c r="L370" s="62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</row>
    <row r="371" spans="1:54">
      <c r="A371" s="59"/>
      <c r="B371" s="59"/>
      <c r="C371" s="62"/>
      <c r="D371" s="59"/>
      <c r="E371" s="62"/>
      <c r="F371" s="59"/>
      <c r="G371" s="62"/>
      <c r="H371" s="59"/>
      <c r="I371" s="59"/>
      <c r="J371" s="59"/>
      <c r="K371" s="59"/>
      <c r="L371" s="62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</row>
    <row r="372" spans="1:54">
      <c r="A372" s="59"/>
      <c r="B372" s="59"/>
      <c r="C372" s="62"/>
      <c r="D372" s="59"/>
      <c r="E372" s="62"/>
      <c r="F372" s="59"/>
      <c r="G372" s="62"/>
      <c r="H372" s="59"/>
      <c r="I372" s="59"/>
      <c r="J372" s="59"/>
      <c r="K372" s="59"/>
      <c r="L372" s="62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</row>
    <row r="373" spans="1:54">
      <c r="A373" s="59"/>
      <c r="B373" s="59"/>
      <c r="C373" s="62"/>
      <c r="D373" s="59"/>
      <c r="E373" s="62"/>
      <c r="F373" s="59"/>
      <c r="G373" s="62"/>
      <c r="H373" s="59"/>
      <c r="I373" s="59"/>
      <c r="J373" s="59"/>
      <c r="K373" s="59"/>
      <c r="L373" s="62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</row>
    <row r="374" spans="1:54">
      <c r="A374" s="59"/>
      <c r="B374" s="59"/>
      <c r="C374" s="62"/>
      <c r="D374" s="59"/>
      <c r="E374" s="62"/>
      <c r="F374" s="59"/>
      <c r="G374" s="62"/>
      <c r="H374" s="59"/>
      <c r="I374" s="59"/>
      <c r="J374" s="59"/>
      <c r="K374" s="59"/>
      <c r="L374" s="62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</row>
    <row r="375" spans="1:54">
      <c r="A375" s="59"/>
      <c r="B375" s="59"/>
      <c r="C375" s="62"/>
      <c r="D375" s="59"/>
      <c r="E375" s="62"/>
      <c r="F375" s="59"/>
      <c r="G375" s="62"/>
      <c r="H375" s="59"/>
      <c r="I375" s="59"/>
      <c r="J375" s="59"/>
      <c r="K375" s="59"/>
      <c r="L375" s="62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</row>
    <row r="376" spans="1:54">
      <c r="A376" s="59"/>
      <c r="B376" s="59"/>
      <c r="C376" s="62"/>
      <c r="D376" s="59"/>
      <c r="E376" s="62"/>
      <c r="F376" s="59"/>
      <c r="G376" s="62"/>
      <c r="H376" s="59"/>
      <c r="I376" s="59"/>
      <c r="J376" s="59"/>
      <c r="K376" s="59"/>
      <c r="L376" s="62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</row>
    <row r="377" spans="1:54">
      <c r="A377" s="59"/>
      <c r="B377" s="59"/>
      <c r="C377" s="62"/>
      <c r="D377" s="59"/>
      <c r="E377" s="62"/>
      <c r="F377" s="59"/>
      <c r="G377" s="62"/>
      <c r="H377" s="59"/>
      <c r="I377" s="59"/>
      <c r="J377" s="59"/>
      <c r="K377" s="59"/>
      <c r="L377" s="62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</row>
    <row r="378" spans="1:54">
      <c r="A378" s="59"/>
      <c r="B378" s="59"/>
      <c r="C378" s="62"/>
      <c r="D378" s="59"/>
      <c r="E378" s="62"/>
      <c r="F378" s="59"/>
      <c r="G378" s="62"/>
      <c r="H378" s="59"/>
      <c r="I378" s="59"/>
      <c r="J378" s="59"/>
      <c r="K378" s="59"/>
      <c r="L378" s="62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</row>
    <row r="379" spans="1:54">
      <c r="A379" s="59"/>
      <c r="B379" s="59"/>
      <c r="C379" s="62"/>
      <c r="D379" s="59"/>
      <c r="E379" s="62"/>
      <c r="F379" s="59"/>
      <c r="G379" s="62"/>
      <c r="H379" s="59"/>
      <c r="I379" s="59"/>
      <c r="J379" s="59"/>
      <c r="K379" s="59"/>
      <c r="L379" s="62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</row>
    <row r="380" spans="1:54">
      <c r="A380" s="59"/>
      <c r="B380" s="59"/>
      <c r="C380" s="62"/>
      <c r="D380" s="59"/>
      <c r="E380" s="62"/>
      <c r="F380" s="59"/>
      <c r="G380" s="62"/>
      <c r="H380" s="59"/>
      <c r="I380" s="59"/>
      <c r="J380" s="59"/>
      <c r="K380" s="59"/>
      <c r="L380" s="62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</row>
    <row r="381" spans="1:54">
      <c r="A381" s="59"/>
      <c r="B381" s="59"/>
      <c r="C381" s="62"/>
      <c r="D381" s="59"/>
      <c r="E381" s="62"/>
      <c r="F381" s="59"/>
      <c r="G381" s="62"/>
      <c r="H381" s="59"/>
      <c r="I381" s="59"/>
      <c r="J381" s="59"/>
      <c r="K381" s="59"/>
      <c r="L381" s="62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</row>
    <row r="382" spans="1:54">
      <c r="A382" s="59"/>
      <c r="B382" s="59"/>
      <c r="C382" s="62"/>
      <c r="D382" s="59"/>
      <c r="E382" s="62"/>
      <c r="F382" s="59"/>
      <c r="G382" s="62"/>
      <c r="H382" s="59"/>
      <c r="I382" s="59"/>
      <c r="J382" s="59"/>
      <c r="K382" s="59"/>
      <c r="L382" s="62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</row>
    <row r="383" spans="1:54">
      <c r="A383" s="59"/>
      <c r="B383" s="59"/>
      <c r="C383" s="62"/>
      <c r="D383" s="59"/>
      <c r="E383" s="62"/>
      <c r="F383" s="59"/>
      <c r="G383" s="62"/>
      <c r="H383" s="59"/>
      <c r="I383" s="59"/>
      <c r="J383" s="59"/>
      <c r="K383" s="59"/>
      <c r="L383" s="62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</row>
    <row r="384" spans="1:54">
      <c r="A384" s="59"/>
      <c r="B384" s="59"/>
      <c r="C384" s="62"/>
      <c r="D384" s="59"/>
      <c r="E384" s="62"/>
      <c r="F384" s="59"/>
      <c r="G384" s="62"/>
      <c r="H384" s="59"/>
      <c r="I384" s="59"/>
      <c r="J384" s="59"/>
      <c r="K384" s="59"/>
      <c r="L384" s="62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</row>
    <row r="385" spans="1:54">
      <c r="A385" s="59"/>
      <c r="B385" s="59"/>
      <c r="C385" s="62"/>
      <c r="D385" s="59"/>
      <c r="E385" s="62"/>
      <c r="F385" s="59"/>
      <c r="G385" s="62"/>
      <c r="H385" s="59"/>
      <c r="I385" s="59"/>
      <c r="J385" s="59"/>
      <c r="K385" s="59"/>
      <c r="L385" s="62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</row>
    <row r="386" spans="1:54">
      <c r="A386" s="59"/>
      <c r="B386" s="59"/>
      <c r="C386" s="62"/>
      <c r="D386" s="59"/>
      <c r="E386" s="62"/>
      <c r="F386" s="59"/>
      <c r="G386" s="62"/>
      <c r="H386" s="59"/>
      <c r="I386" s="59"/>
      <c r="J386" s="59"/>
      <c r="K386" s="59"/>
      <c r="L386" s="62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</row>
    <row r="387" spans="1:54">
      <c r="A387" s="59"/>
      <c r="B387" s="59"/>
      <c r="C387" s="62"/>
      <c r="D387" s="59"/>
      <c r="E387" s="62"/>
      <c r="F387" s="59"/>
      <c r="G387" s="62"/>
      <c r="H387" s="59"/>
      <c r="I387" s="59"/>
      <c r="J387" s="59"/>
      <c r="K387" s="59"/>
      <c r="L387" s="62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</row>
    <row r="388" spans="1:54">
      <c r="A388" s="59"/>
      <c r="B388" s="59"/>
      <c r="C388" s="62"/>
      <c r="D388" s="59"/>
      <c r="E388" s="62"/>
      <c r="F388" s="59"/>
      <c r="G388" s="62"/>
      <c r="H388" s="59"/>
      <c r="I388" s="59"/>
      <c r="J388" s="59"/>
      <c r="K388" s="59"/>
      <c r="L388" s="62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</row>
    <row r="389" spans="1:54">
      <c r="A389" s="59"/>
      <c r="B389" s="59"/>
      <c r="C389" s="62"/>
      <c r="D389" s="59"/>
      <c r="E389" s="62"/>
      <c r="F389" s="59"/>
      <c r="G389" s="62"/>
      <c r="H389" s="59"/>
      <c r="I389" s="59"/>
      <c r="J389" s="59"/>
      <c r="K389" s="59"/>
      <c r="L389" s="62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</row>
    <row r="390" spans="1:54">
      <c r="A390" s="59"/>
      <c r="B390" s="59"/>
      <c r="C390" s="62"/>
      <c r="D390" s="59"/>
      <c r="E390" s="62"/>
      <c r="F390" s="59"/>
      <c r="G390" s="62"/>
      <c r="H390" s="59"/>
      <c r="I390" s="59"/>
      <c r="J390" s="59"/>
      <c r="K390" s="59"/>
      <c r="L390" s="62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</row>
    <row r="391" spans="1:54">
      <c r="A391" s="59"/>
      <c r="B391" s="59"/>
      <c r="C391" s="62"/>
      <c r="D391" s="59"/>
      <c r="E391" s="62"/>
      <c r="F391" s="59"/>
      <c r="G391" s="62"/>
      <c r="H391" s="59"/>
      <c r="I391" s="59"/>
      <c r="J391" s="59"/>
      <c r="K391" s="59"/>
      <c r="L391" s="62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</row>
    <row r="392" spans="1:54">
      <c r="A392" s="59"/>
      <c r="B392" s="59"/>
      <c r="C392" s="62"/>
      <c r="D392" s="59"/>
      <c r="E392" s="62"/>
      <c r="F392" s="59"/>
      <c r="G392" s="62"/>
      <c r="H392" s="59"/>
      <c r="I392" s="59"/>
      <c r="J392" s="59"/>
      <c r="K392" s="59"/>
      <c r="L392" s="62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</row>
    <row r="393" spans="1:54">
      <c r="A393" s="59"/>
      <c r="B393" s="59"/>
      <c r="C393" s="62"/>
      <c r="D393" s="59"/>
      <c r="E393" s="62"/>
      <c r="F393" s="59"/>
      <c r="G393" s="62"/>
      <c r="H393" s="59"/>
      <c r="I393" s="59"/>
      <c r="J393" s="59"/>
      <c r="K393" s="59"/>
      <c r="L393" s="62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</row>
    <row r="394" spans="1:54">
      <c r="A394" s="59"/>
      <c r="B394" s="59"/>
      <c r="C394" s="62"/>
      <c r="D394" s="59"/>
      <c r="E394" s="62"/>
      <c r="F394" s="59"/>
      <c r="G394" s="62"/>
      <c r="H394" s="59"/>
      <c r="I394" s="59"/>
      <c r="J394" s="59"/>
      <c r="K394" s="59"/>
      <c r="L394" s="62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</row>
    <row r="395" spans="1:54">
      <c r="A395" s="59"/>
      <c r="B395" s="59"/>
      <c r="C395" s="62"/>
      <c r="D395" s="59"/>
      <c r="E395" s="62"/>
      <c r="F395" s="59"/>
      <c r="G395" s="62"/>
      <c r="H395" s="59"/>
      <c r="I395" s="59"/>
      <c r="J395" s="59"/>
      <c r="K395" s="59"/>
      <c r="L395" s="62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</row>
    <row r="396" spans="1:54">
      <c r="A396" s="59"/>
      <c r="B396" s="59"/>
      <c r="C396" s="62"/>
      <c r="D396" s="59"/>
      <c r="E396" s="62"/>
      <c r="F396" s="59"/>
      <c r="G396" s="62"/>
      <c r="H396" s="59"/>
      <c r="I396" s="59"/>
      <c r="J396" s="59"/>
      <c r="K396" s="59"/>
      <c r="L396" s="62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</row>
    <row r="397" spans="1:54">
      <c r="A397" s="59"/>
      <c r="B397" s="59"/>
      <c r="C397" s="62"/>
      <c r="D397" s="59"/>
      <c r="E397" s="62"/>
      <c r="F397" s="59"/>
      <c r="G397" s="62"/>
      <c r="H397" s="59"/>
      <c r="I397" s="59"/>
      <c r="J397" s="59"/>
      <c r="K397" s="59"/>
      <c r="L397" s="62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</row>
    <row r="398" spans="1:54">
      <c r="A398" s="59"/>
      <c r="B398" s="59"/>
      <c r="C398" s="62"/>
      <c r="D398" s="59"/>
      <c r="E398" s="62"/>
      <c r="F398" s="59"/>
      <c r="G398" s="62"/>
      <c r="H398" s="59"/>
      <c r="I398" s="59"/>
      <c r="J398" s="59"/>
      <c r="K398" s="59"/>
      <c r="L398" s="62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</row>
    <row r="399" spans="1:54">
      <c r="A399" s="59"/>
      <c r="B399" s="59"/>
      <c r="C399" s="62"/>
      <c r="D399" s="59"/>
      <c r="E399" s="62"/>
      <c r="F399" s="59"/>
      <c r="G399" s="62"/>
      <c r="H399" s="59"/>
      <c r="I399" s="59"/>
      <c r="J399" s="59"/>
      <c r="K399" s="59"/>
      <c r="L399" s="62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</row>
    <row r="400" spans="1:54">
      <c r="A400" s="59"/>
      <c r="B400" s="59"/>
      <c r="C400" s="62"/>
      <c r="D400" s="59"/>
      <c r="E400" s="62"/>
      <c r="F400" s="59"/>
      <c r="G400" s="62"/>
      <c r="H400" s="59"/>
      <c r="I400" s="59"/>
      <c r="J400" s="59"/>
      <c r="K400" s="59"/>
      <c r="L400" s="62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</row>
    <row r="401" spans="1:54">
      <c r="A401" s="59"/>
      <c r="B401" s="59"/>
      <c r="C401" s="62"/>
      <c r="D401" s="59"/>
      <c r="E401" s="62"/>
      <c r="F401" s="59"/>
      <c r="G401" s="62"/>
      <c r="H401" s="59"/>
      <c r="I401" s="59"/>
      <c r="J401" s="59"/>
      <c r="K401" s="59"/>
      <c r="L401" s="62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</row>
    <row r="402" spans="1:54">
      <c r="A402" s="59"/>
      <c r="B402" s="59"/>
      <c r="C402" s="62"/>
      <c r="D402" s="59"/>
      <c r="E402" s="62"/>
      <c r="F402" s="59"/>
      <c r="G402" s="62"/>
      <c r="H402" s="59"/>
      <c r="I402" s="59"/>
      <c r="J402" s="59"/>
      <c r="K402" s="59"/>
      <c r="L402" s="62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</row>
    <row r="403" spans="1:54">
      <c r="A403" s="59"/>
      <c r="B403" s="59"/>
      <c r="C403" s="62"/>
      <c r="D403" s="59"/>
      <c r="E403" s="62"/>
      <c r="F403" s="59"/>
      <c r="G403" s="62"/>
      <c r="H403" s="59"/>
      <c r="I403" s="59"/>
      <c r="J403" s="59"/>
      <c r="K403" s="59"/>
      <c r="L403" s="62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</row>
    <row r="404" spans="1:54">
      <c r="A404" s="59"/>
      <c r="B404" s="59"/>
      <c r="C404" s="62"/>
      <c r="D404" s="59"/>
      <c r="E404" s="62"/>
      <c r="F404" s="59"/>
      <c r="G404" s="62"/>
      <c r="H404" s="59"/>
      <c r="I404" s="59"/>
      <c r="J404" s="59"/>
      <c r="K404" s="59"/>
      <c r="L404" s="62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</row>
    <row r="405" spans="1:54">
      <c r="A405" s="59"/>
      <c r="B405" s="59"/>
      <c r="C405" s="62"/>
      <c r="D405" s="59"/>
      <c r="E405" s="62"/>
      <c r="F405" s="59"/>
      <c r="G405" s="62"/>
      <c r="H405" s="59"/>
      <c r="I405" s="59"/>
      <c r="J405" s="59"/>
      <c r="K405" s="59"/>
      <c r="L405" s="62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</row>
    <row r="406" spans="1:54">
      <c r="A406" s="59"/>
      <c r="B406" s="59"/>
      <c r="C406" s="62"/>
      <c r="D406" s="59"/>
      <c r="E406" s="62"/>
      <c r="F406" s="59"/>
      <c r="G406" s="62"/>
      <c r="H406" s="59"/>
      <c r="I406" s="59"/>
      <c r="J406" s="59"/>
      <c r="K406" s="59"/>
      <c r="L406" s="62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</row>
    <row r="407" spans="1:54">
      <c r="A407" s="59"/>
      <c r="B407" s="59"/>
      <c r="C407" s="62"/>
      <c r="D407" s="59"/>
      <c r="E407" s="62"/>
      <c r="F407" s="59"/>
      <c r="G407" s="62"/>
      <c r="H407" s="59"/>
      <c r="I407" s="59"/>
      <c r="J407" s="59"/>
      <c r="K407" s="59"/>
      <c r="L407" s="62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</row>
    <row r="408" spans="1:54">
      <c r="A408" s="59"/>
      <c r="B408" s="59"/>
      <c r="C408" s="62"/>
      <c r="D408" s="59"/>
      <c r="E408" s="62"/>
      <c r="F408" s="59"/>
      <c r="G408" s="62"/>
      <c r="H408" s="59"/>
      <c r="I408" s="59"/>
      <c r="J408" s="59"/>
      <c r="K408" s="59"/>
      <c r="L408" s="62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G1" zoomScaleNormal="100" workbookViewId="0">
      <selection activeCell="H87" sqref="H87"/>
    </sheetView>
  </sheetViews>
  <sheetFormatPr baseColWidth="10" defaultColWidth="11.42578125" defaultRowHeight="12.75"/>
  <cols>
    <col min="1" max="1" width="28.28515625" style="18" bestFit="1" customWidth="1"/>
    <col min="2" max="2" width="17.7109375" style="18" customWidth="1"/>
    <col min="3" max="3" width="18.28515625" style="18" customWidth="1"/>
    <col min="4" max="4" width="15.5703125" style="18" customWidth="1"/>
    <col min="5" max="5" width="21.7109375" style="18" customWidth="1"/>
    <col min="6" max="6" width="23.42578125" style="18" customWidth="1"/>
    <col min="7" max="7" width="18.28515625" style="18" customWidth="1"/>
    <col min="8" max="8" width="17.5703125" style="18" customWidth="1"/>
    <col min="9" max="9" width="18.42578125" style="18" customWidth="1"/>
    <col min="10" max="10" width="21.42578125" style="18" customWidth="1"/>
    <col min="11" max="11" width="17.140625" style="18" customWidth="1"/>
    <col min="12" max="12" width="33.28515625" style="18" customWidth="1"/>
    <col min="13" max="13" width="21.42578125" style="18" customWidth="1"/>
    <col min="14" max="14" width="17.7109375" style="18" customWidth="1"/>
    <col min="15" max="15" width="17.7109375" style="18" bestFit="1" customWidth="1"/>
    <col min="16" max="16" width="22.7109375" style="18" customWidth="1"/>
    <col min="17" max="17" width="20.7109375" style="18" customWidth="1"/>
    <col min="18" max="18" width="0.28515625" style="18" customWidth="1"/>
    <col min="19" max="20" width="11.42578125" style="18" customWidth="1"/>
    <col min="21" max="21" width="21.28515625" style="18" customWidth="1"/>
    <col min="22" max="22" width="16.7109375" style="18" bestFit="1" customWidth="1"/>
    <col min="23" max="24" width="15.28515625" style="18" bestFit="1" customWidth="1"/>
    <col min="25" max="25" width="14.28515625" style="18" bestFit="1" customWidth="1"/>
    <col min="26" max="26" width="13.28515625" style="18" bestFit="1" customWidth="1"/>
    <col min="27" max="27" width="12.5703125" style="18" bestFit="1" customWidth="1"/>
    <col min="28" max="28" width="14.28515625" style="18" bestFit="1" customWidth="1"/>
    <col min="29" max="16384" width="11.42578125" style="18"/>
  </cols>
  <sheetData>
    <row r="1" spans="1:29" ht="38.25" customHeight="1" thickBot="1">
      <c r="A1" s="38"/>
      <c r="B1" s="463" t="s">
        <v>149</v>
      </c>
      <c r="C1" s="463"/>
      <c r="D1" s="463"/>
      <c r="E1" s="463"/>
      <c r="F1" s="463" t="s">
        <v>148</v>
      </c>
      <c r="G1" s="463"/>
      <c r="H1" s="463"/>
      <c r="I1" s="463"/>
      <c r="J1" s="49" t="s">
        <v>147</v>
      </c>
      <c r="L1" s="464" t="s">
        <v>340</v>
      </c>
      <c r="M1" s="464"/>
      <c r="N1" s="464"/>
      <c r="O1" s="464"/>
      <c r="P1" s="464"/>
      <c r="Q1" s="464"/>
      <c r="T1" s="48"/>
    </row>
    <row r="2" spans="1:29" ht="68.25" customHeight="1" thickTop="1" thickBot="1">
      <c r="A2" s="47" t="s">
        <v>0</v>
      </c>
      <c r="B2" s="46" t="s">
        <v>331</v>
      </c>
      <c r="C2" s="45" t="s">
        <v>330</v>
      </c>
      <c r="D2" s="45" t="s">
        <v>146</v>
      </c>
      <c r="E2" s="44" t="s">
        <v>145</v>
      </c>
      <c r="F2" s="45" t="s">
        <v>223</v>
      </c>
      <c r="G2" s="45" t="s">
        <v>144</v>
      </c>
      <c r="H2" s="45" t="s">
        <v>143</v>
      </c>
      <c r="I2" s="42" t="s">
        <v>222</v>
      </c>
      <c r="J2" s="43" t="s">
        <v>142</v>
      </c>
      <c r="L2" s="47" t="s">
        <v>0</v>
      </c>
      <c r="M2" s="46" t="s">
        <v>141</v>
      </c>
      <c r="N2" s="45" t="s">
        <v>140</v>
      </c>
      <c r="O2" s="44" t="s">
        <v>139</v>
      </c>
      <c r="P2" s="43" t="s">
        <v>138</v>
      </c>
      <c r="Q2" s="42" t="s">
        <v>78</v>
      </c>
    </row>
    <row r="3" spans="1:29" ht="26.25" customHeight="1" thickTop="1">
      <c r="A3" s="38"/>
      <c r="B3" s="41" t="s">
        <v>137</v>
      </c>
      <c r="C3" s="41" t="s">
        <v>136</v>
      </c>
      <c r="D3" s="41" t="s">
        <v>135</v>
      </c>
      <c r="E3" s="41" t="s">
        <v>134</v>
      </c>
      <c r="F3" s="41" t="s">
        <v>133</v>
      </c>
      <c r="G3" s="41" t="s">
        <v>132</v>
      </c>
      <c r="H3" s="41"/>
      <c r="I3" s="41" t="s">
        <v>131</v>
      </c>
      <c r="J3" s="41" t="s">
        <v>130</v>
      </c>
      <c r="M3" s="40">
        <f>M4*P3</f>
        <v>12338065.5</v>
      </c>
      <c r="N3" s="40">
        <f>P3*N4</f>
        <v>7402839.2999999998</v>
      </c>
      <c r="O3" s="40">
        <f>P3*O4</f>
        <v>4935226.2</v>
      </c>
      <c r="P3" s="40">
        <f>+'PART MES'!E11</f>
        <v>24676131</v>
      </c>
    </row>
    <row r="4" spans="1:29" ht="13.5" thickBot="1">
      <c r="F4" s="39"/>
      <c r="G4" s="38"/>
      <c r="H4" s="38"/>
      <c r="I4" s="38"/>
      <c r="M4" s="164">
        <v>0.5</v>
      </c>
      <c r="N4" s="164">
        <v>0.3</v>
      </c>
      <c r="O4" s="164">
        <v>0.2</v>
      </c>
      <c r="P4" s="37" t="s">
        <v>129</v>
      </c>
      <c r="Q4" s="37"/>
    </row>
    <row r="5" spans="1:29" ht="13.5" thickTop="1">
      <c r="A5" s="33" t="s">
        <v>1</v>
      </c>
      <c r="B5" s="32">
        <v>685947</v>
      </c>
      <c r="C5" s="31">
        <v>200922.61</v>
      </c>
      <c r="D5" s="165">
        <f t="shared" ref="D5:D55" si="0">IFERROR(C5/B5,0)</f>
        <v>0.29291273232480058</v>
      </c>
      <c r="E5" s="36">
        <f t="shared" ref="E5:E55" si="1">IFERROR(D5/$D$56,0)</f>
        <v>1.8633927432824153E-2</v>
      </c>
      <c r="F5" s="151">
        <v>145672.85</v>
      </c>
      <c r="G5" s="152">
        <f t="shared" ref="G5:G55" si="2">IFERROR((C5/F5)-1,0)</f>
        <v>0.37927287068249149</v>
      </c>
      <c r="H5" s="35">
        <f t="shared" ref="H5:H55" si="3">IF(G5&lt;0,0,G5)</f>
        <v>0.37927287068249149</v>
      </c>
      <c r="I5" s="28">
        <f t="shared" ref="I5:I55" si="4">IFERROR(H5/$H$56,0)</f>
        <v>3.6405629422176358E-2</v>
      </c>
      <c r="J5" s="34">
        <f t="shared" ref="J5:J55" si="5">IFERROR(C5/$C$56,0)</f>
        <v>8.3458031995285368E-5</v>
      </c>
      <c r="L5" s="33" t="s">
        <v>1</v>
      </c>
      <c r="M5" s="32">
        <f t="shared" ref="M5:M55" si="6">IFERROR($M$3*E5,0)</f>
        <v>229906.61718843126</v>
      </c>
      <c r="N5" s="31">
        <f t="shared" ref="N5:N55" si="7">IFERROR($N$3*I5,0)</f>
        <v>269505.02422772342</v>
      </c>
      <c r="O5" s="30">
        <f t="shared" ref="O5:O55" si="8">IFERROR($O$3*J5,0)</f>
        <v>411.88426610357061</v>
      </c>
      <c r="P5" s="29">
        <f>IFERROR(SUM(M5:O5),2)</f>
        <v>499823.52568225825</v>
      </c>
      <c r="Q5" s="183">
        <f t="shared" ref="Q5:Q55" si="9">IFERROR(P5/$P$56,0)</f>
        <v>2.025534414946404E-2</v>
      </c>
      <c r="S5" s="19" t="s">
        <v>154</v>
      </c>
      <c r="T5" s="19"/>
      <c r="AC5" s="19"/>
    </row>
    <row r="6" spans="1:29">
      <c r="A6" s="24" t="s">
        <v>2</v>
      </c>
      <c r="B6" s="23">
        <v>2702829</v>
      </c>
      <c r="C6" s="22">
        <v>996274</v>
      </c>
      <c r="D6" s="166">
        <f t="shared" si="0"/>
        <v>0.3686041551278309</v>
      </c>
      <c r="E6" s="27">
        <f t="shared" si="1"/>
        <v>2.3449110673936745E-2</v>
      </c>
      <c r="F6" s="56">
        <v>768052</v>
      </c>
      <c r="G6" s="153">
        <f t="shared" si="2"/>
        <v>0.29714394337883365</v>
      </c>
      <c r="H6" s="26">
        <f t="shared" si="3"/>
        <v>0.29714394337883365</v>
      </c>
      <c r="I6" s="20">
        <f t="shared" si="4"/>
        <v>2.8522241172240413E-2</v>
      </c>
      <c r="J6" s="25">
        <f t="shared" si="5"/>
        <v>4.1382633526446295E-4</v>
      </c>
      <c r="L6" s="24" t="s">
        <v>2</v>
      </c>
      <c r="M6" s="23">
        <f t="shared" si="6"/>
        <v>289316.66341178073</v>
      </c>
      <c r="N6" s="22">
        <f t="shared" si="7"/>
        <v>211145.56787393941</v>
      </c>
      <c r="O6" s="21">
        <f t="shared" si="8"/>
        <v>2042.3265720471616</v>
      </c>
      <c r="P6" s="154">
        <f t="shared" ref="P6:P55" si="10">IFERROR(SUM(M6:O6),2)</f>
        <v>502504.55785776727</v>
      </c>
      <c r="Q6" s="184">
        <f t="shared" si="9"/>
        <v>2.036399295569339E-2</v>
      </c>
      <c r="S6" s="19"/>
      <c r="T6" s="19"/>
      <c r="U6" s="19"/>
      <c r="V6" s="19"/>
      <c r="W6" s="19"/>
      <c r="X6" s="19"/>
      <c r="Y6" s="19"/>
      <c r="Z6" s="19"/>
    </row>
    <row r="7" spans="1:29">
      <c r="A7" s="24" t="s">
        <v>3</v>
      </c>
      <c r="B7" s="23">
        <v>1181103</v>
      </c>
      <c r="C7" s="22">
        <v>288767</v>
      </c>
      <c r="D7" s="166">
        <f t="shared" si="0"/>
        <v>0.24448926130913223</v>
      </c>
      <c r="E7" s="27">
        <f t="shared" si="1"/>
        <v>1.555342137974184E-2</v>
      </c>
      <c r="F7" s="56">
        <v>272877</v>
      </c>
      <c r="G7" s="153">
        <f t="shared" si="2"/>
        <v>5.8231364314324852E-2</v>
      </c>
      <c r="H7" s="26">
        <f t="shared" si="3"/>
        <v>5.8231364314324852E-2</v>
      </c>
      <c r="I7" s="20">
        <f t="shared" si="4"/>
        <v>5.5895099118485917E-3</v>
      </c>
      <c r="J7" s="25">
        <f t="shared" si="5"/>
        <v>1.1994630930377905E-4</v>
      </c>
      <c r="L7" s="24" t="s">
        <v>3</v>
      </c>
      <c r="M7" s="23">
        <f t="shared" si="6"/>
        <v>191899.13173235519</v>
      </c>
      <c r="N7" s="22">
        <f t="shared" si="7"/>
        <v>41378.243643172289</v>
      </c>
      <c r="O7" s="21">
        <f t="shared" si="8"/>
        <v>591.96216826931413</v>
      </c>
      <c r="P7" s="154">
        <f t="shared" si="10"/>
        <v>233869.33754379681</v>
      </c>
      <c r="Q7" s="184">
        <f t="shared" si="9"/>
        <v>9.4775529252862541E-3</v>
      </c>
      <c r="S7" s="19"/>
      <c r="T7" s="19"/>
      <c r="U7" s="19"/>
      <c r="V7" s="19"/>
      <c r="W7" s="19"/>
      <c r="X7" s="19"/>
      <c r="Y7" s="19"/>
      <c r="Z7" s="19"/>
    </row>
    <row r="8" spans="1:29">
      <c r="A8" s="24" t="s">
        <v>4</v>
      </c>
      <c r="B8" s="23">
        <v>56374737</v>
      </c>
      <c r="C8" s="22">
        <v>25832482</v>
      </c>
      <c r="D8" s="166">
        <f t="shared" si="0"/>
        <v>0.45822798250925767</v>
      </c>
      <c r="E8" s="27">
        <f t="shared" si="1"/>
        <v>2.9150617339156106E-2</v>
      </c>
      <c r="F8" s="56">
        <v>23142962</v>
      </c>
      <c r="G8" s="153">
        <f t="shared" si="2"/>
        <v>0.11621330061381085</v>
      </c>
      <c r="H8" s="26">
        <f t="shared" si="3"/>
        <v>0.11621330061381085</v>
      </c>
      <c r="I8" s="20">
        <f t="shared" si="4"/>
        <v>1.1155077737200482E-2</v>
      </c>
      <c r="J8" s="25">
        <f t="shared" si="5"/>
        <v>1.0730141865435819E-2</v>
      </c>
      <c r="L8" s="24" t="s">
        <v>4</v>
      </c>
      <c r="M8" s="23">
        <f t="shared" si="6"/>
        <v>359662.22609594377</v>
      </c>
      <c r="N8" s="22">
        <f t="shared" si="7"/>
        <v>82579.247867502796</v>
      </c>
      <c r="O8" s="21">
        <f t="shared" si="8"/>
        <v>52955.677264015729</v>
      </c>
      <c r="P8" s="154">
        <f t="shared" si="10"/>
        <v>495197.15122746228</v>
      </c>
      <c r="Q8" s="184">
        <f t="shared" si="9"/>
        <v>2.0067860363825362E-2</v>
      </c>
      <c r="S8" s="19"/>
      <c r="T8" s="19"/>
      <c r="U8" s="19"/>
      <c r="V8" s="19"/>
      <c r="W8" s="19"/>
      <c r="X8" s="19"/>
      <c r="Y8" s="19"/>
      <c r="Z8" s="19"/>
    </row>
    <row r="9" spans="1:29">
      <c r="A9" s="24" t="s">
        <v>5</v>
      </c>
      <c r="B9" s="23">
        <v>10911069</v>
      </c>
      <c r="C9" s="22">
        <v>1947895</v>
      </c>
      <c r="D9" s="166">
        <f t="shared" si="0"/>
        <v>0.17852467068075548</v>
      </c>
      <c r="E9" s="27">
        <f t="shared" si="1"/>
        <v>1.1357019997154855E-2</v>
      </c>
      <c r="F9" s="56">
        <v>2531264</v>
      </c>
      <c r="G9" s="153">
        <f t="shared" si="2"/>
        <v>-0.23046549075876721</v>
      </c>
      <c r="H9" s="26">
        <f t="shared" si="3"/>
        <v>0</v>
      </c>
      <c r="I9" s="20">
        <f t="shared" si="4"/>
        <v>0</v>
      </c>
      <c r="J9" s="25">
        <f t="shared" si="5"/>
        <v>8.0910497446482702E-4</v>
      </c>
      <c r="L9" s="24" t="s">
        <v>5</v>
      </c>
      <c r="M9" s="23">
        <f t="shared" si="6"/>
        <v>140123.65660970641</v>
      </c>
      <c r="N9" s="22">
        <f t="shared" si="7"/>
        <v>0</v>
      </c>
      <c r="O9" s="21">
        <f t="shared" si="8"/>
        <v>3993.1160685291457</v>
      </c>
      <c r="P9" s="154">
        <f t="shared" si="10"/>
        <v>144116.77267823555</v>
      </c>
      <c r="Q9" s="184">
        <f t="shared" si="9"/>
        <v>5.8403309934703922E-3</v>
      </c>
      <c r="S9" s="19"/>
      <c r="T9" s="19"/>
      <c r="U9" s="19"/>
      <c r="V9" s="19"/>
      <c r="W9" s="19"/>
      <c r="X9" s="19"/>
      <c r="Y9" s="19"/>
      <c r="Z9" s="19"/>
    </row>
    <row r="10" spans="1:29">
      <c r="A10" s="24" t="s">
        <v>6</v>
      </c>
      <c r="B10" s="23">
        <v>696327770</v>
      </c>
      <c r="C10" s="22">
        <v>336540527.27999997</v>
      </c>
      <c r="D10" s="166">
        <f t="shared" si="0"/>
        <v>0.48330763439177499</v>
      </c>
      <c r="E10" s="27">
        <f t="shared" si="1"/>
        <v>3.0746083707279399E-2</v>
      </c>
      <c r="F10" s="56">
        <v>299493654.98000002</v>
      </c>
      <c r="G10" s="153">
        <f t="shared" si="2"/>
        <v>0.12369835448592026</v>
      </c>
      <c r="H10" s="26">
        <f t="shared" si="3"/>
        <v>0.12369835448592026</v>
      </c>
      <c r="I10" s="20">
        <f t="shared" si="4"/>
        <v>1.1873552794440112E-2</v>
      </c>
      <c r="J10" s="25">
        <f t="shared" si="5"/>
        <v>0.13979019132512985</v>
      </c>
      <c r="L10" s="24" t="s">
        <v>6</v>
      </c>
      <c r="M10" s="23">
        <f t="shared" si="6"/>
        <v>379347.19464889605</v>
      </c>
      <c r="N10" s="22">
        <f t="shared" si="7"/>
        <v>87898.003257306074</v>
      </c>
      <c r="O10" s="21">
        <f t="shared" si="8"/>
        <v>689896.21473079361</v>
      </c>
      <c r="P10" s="154">
        <f t="shared" si="10"/>
        <v>1157141.4126369958</v>
      </c>
      <c r="Q10" s="184">
        <f t="shared" si="9"/>
        <v>4.6893145956997707E-2</v>
      </c>
      <c r="S10" s="19"/>
      <c r="T10" s="19"/>
      <c r="U10" s="19"/>
      <c r="V10" s="19"/>
      <c r="W10" s="19"/>
      <c r="X10" s="19"/>
      <c r="Y10" s="19"/>
      <c r="Z10" s="19"/>
    </row>
    <row r="11" spans="1:29">
      <c r="A11" s="24" t="s">
        <v>7</v>
      </c>
      <c r="B11" s="23">
        <v>1849663</v>
      </c>
      <c r="C11" s="22">
        <v>792296.3</v>
      </c>
      <c r="D11" s="166">
        <f t="shared" si="0"/>
        <v>0.42834629875820623</v>
      </c>
      <c r="E11" s="27">
        <f t="shared" si="1"/>
        <v>2.7249665058357801E-2</v>
      </c>
      <c r="F11" s="56">
        <v>788778.4</v>
      </c>
      <c r="G11" s="153">
        <f t="shared" si="2"/>
        <v>4.459934501249041E-3</v>
      </c>
      <c r="H11" s="26">
        <f t="shared" si="3"/>
        <v>4.459934501249041E-3</v>
      </c>
      <c r="I11" s="20">
        <f t="shared" si="4"/>
        <v>4.2810001782483655E-4</v>
      </c>
      <c r="J11" s="25">
        <f t="shared" si="5"/>
        <v>3.2909929825790249E-4</v>
      </c>
      <c r="L11" s="24" t="s">
        <v>7</v>
      </c>
      <c r="M11" s="23">
        <f t="shared" si="6"/>
        <v>336208.15234307986</v>
      </c>
      <c r="N11" s="22">
        <f t="shared" si="7"/>
        <v>3169.1556362844003</v>
      </c>
      <c r="O11" s="21">
        <f t="shared" si="8"/>
        <v>1624.1794791640148</v>
      </c>
      <c r="P11" s="154">
        <f t="shared" si="10"/>
        <v>341001.48745852825</v>
      </c>
      <c r="Q11" s="184">
        <f t="shared" si="9"/>
        <v>1.381908239417793E-2</v>
      </c>
      <c r="S11" s="19"/>
      <c r="T11" s="19"/>
      <c r="U11" s="19"/>
      <c r="V11" s="19"/>
      <c r="W11" s="19"/>
      <c r="X11" s="19"/>
      <c r="Y11" s="19"/>
      <c r="Z11" s="19"/>
    </row>
    <row r="12" spans="1:29">
      <c r="A12" s="24" t="s">
        <v>8</v>
      </c>
      <c r="B12" s="23">
        <v>2325037</v>
      </c>
      <c r="C12" s="22">
        <v>960189</v>
      </c>
      <c r="D12" s="166">
        <f t="shared" si="0"/>
        <v>0.41297794400691257</v>
      </c>
      <c r="E12" s="27">
        <f t="shared" si="1"/>
        <v>2.6271992271911782E-2</v>
      </c>
      <c r="F12" s="56">
        <v>799410</v>
      </c>
      <c r="G12" s="153">
        <f t="shared" si="2"/>
        <v>0.20112207753218003</v>
      </c>
      <c r="H12" s="26">
        <f t="shared" si="3"/>
        <v>0.20112207753218003</v>
      </c>
      <c r="I12" s="20">
        <f t="shared" si="4"/>
        <v>1.9305298082826401E-2</v>
      </c>
      <c r="J12" s="25">
        <f t="shared" si="5"/>
        <v>3.9883756379394564E-4</v>
      </c>
      <c r="L12" s="24" t="s">
        <v>8</v>
      </c>
      <c r="M12" s="23">
        <f t="shared" si="6"/>
        <v>324145.56146634137</v>
      </c>
      <c r="N12" s="22">
        <f t="shared" si="7"/>
        <v>142914.01934576192</v>
      </c>
      <c r="O12" s="21">
        <f t="shared" si="8"/>
        <v>1968.3535943800521</v>
      </c>
      <c r="P12" s="154">
        <f t="shared" si="10"/>
        <v>469027.93440648331</v>
      </c>
      <c r="Q12" s="184">
        <f t="shared" si="9"/>
        <v>1.9007353073562598E-2</v>
      </c>
      <c r="S12" s="19"/>
      <c r="T12" s="19"/>
      <c r="U12" s="19"/>
      <c r="V12" s="19"/>
      <c r="W12" s="19"/>
      <c r="X12" s="19"/>
      <c r="Y12" s="19"/>
      <c r="Z12" s="19"/>
    </row>
    <row r="13" spans="1:29">
      <c r="A13" s="24" t="s">
        <v>9</v>
      </c>
      <c r="B13" s="23">
        <v>116630005</v>
      </c>
      <c r="C13" s="22">
        <v>36285132.439999998</v>
      </c>
      <c r="D13" s="166">
        <f t="shared" si="0"/>
        <v>0.31111318601075255</v>
      </c>
      <c r="E13" s="27">
        <f t="shared" si="1"/>
        <v>1.9791766938593535E-2</v>
      </c>
      <c r="F13" s="56">
        <v>27527682</v>
      </c>
      <c r="G13" s="153">
        <f t="shared" si="2"/>
        <v>0.31813250530865611</v>
      </c>
      <c r="H13" s="26">
        <f t="shared" si="3"/>
        <v>0.31813250530865611</v>
      </c>
      <c r="I13" s="20">
        <f t="shared" si="4"/>
        <v>3.0536890430824436E-2</v>
      </c>
      <c r="J13" s="25">
        <f t="shared" si="5"/>
        <v>1.5071901286424095E-2</v>
      </c>
      <c r="L13" s="24" t="s">
        <v>9</v>
      </c>
      <c r="M13" s="23">
        <f t="shared" si="6"/>
        <v>244192.11684910153</v>
      </c>
      <c r="N13" s="22">
        <f t="shared" si="7"/>
        <v>226059.69258110106</v>
      </c>
      <c r="O13" s="21">
        <f t="shared" si="8"/>
        <v>74383.242112573906</v>
      </c>
      <c r="P13" s="154">
        <f t="shared" si="10"/>
        <v>544635.05154277652</v>
      </c>
      <c r="Q13" s="184">
        <f t="shared" si="9"/>
        <v>2.2071330855828918E-2</v>
      </c>
      <c r="S13" s="19"/>
      <c r="T13" s="19"/>
      <c r="U13" s="19"/>
      <c r="V13" s="19"/>
      <c r="W13" s="19"/>
      <c r="X13" s="19"/>
      <c r="Y13" s="19"/>
      <c r="Z13" s="19"/>
    </row>
    <row r="14" spans="1:29">
      <c r="A14" s="24" t="s">
        <v>10</v>
      </c>
      <c r="B14" s="23">
        <v>36098646</v>
      </c>
      <c r="C14" s="22">
        <v>5537234.6299999999</v>
      </c>
      <c r="D14" s="166">
        <f t="shared" si="0"/>
        <v>0.15339175408407285</v>
      </c>
      <c r="E14" s="27">
        <f t="shared" si="1"/>
        <v>9.7581651426021446E-3</v>
      </c>
      <c r="F14" s="56">
        <v>4946842.92</v>
      </c>
      <c r="G14" s="153">
        <f t="shared" si="2"/>
        <v>0.1193471714278731</v>
      </c>
      <c r="H14" s="26">
        <f t="shared" si="3"/>
        <v>0.1193471714278731</v>
      </c>
      <c r="I14" s="20">
        <f t="shared" si="4"/>
        <v>1.1455891605876144E-2</v>
      </c>
      <c r="J14" s="25">
        <f t="shared" si="5"/>
        <v>2.300023401626836E-3</v>
      </c>
      <c r="L14" s="24" t="s">
        <v>10</v>
      </c>
      <c r="M14" s="23">
        <f t="shared" si="6"/>
        <v>120396.8806892421</v>
      </c>
      <c r="N14" s="22">
        <f t="shared" si="7"/>
        <v>84806.124596520021</v>
      </c>
      <c r="O14" s="21">
        <f t="shared" si="8"/>
        <v>11351.135752321883</v>
      </c>
      <c r="P14" s="154">
        <f t="shared" si="10"/>
        <v>216554.14103808402</v>
      </c>
      <c r="Q14" s="184">
        <f t="shared" si="9"/>
        <v>8.7758547333892829E-3</v>
      </c>
      <c r="S14" s="19"/>
      <c r="T14" s="19"/>
      <c r="U14" s="19"/>
      <c r="V14" s="19"/>
      <c r="W14" s="19"/>
      <c r="X14" s="19"/>
      <c r="Y14" s="19"/>
      <c r="Z14" s="19"/>
    </row>
    <row r="15" spans="1:29">
      <c r="A15" s="24" t="s">
        <v>11</v>
      </c>
      <c r="B15" s="23">
        <v>3294944</v>
      </c>
      <c r="C15" s="22">
        <v>1064298</v>
      </c>
      <c r="D15" s="166">
        <f t="shared" si="0"/>
        <v>0.32300943506171881</v>
      </c>
      <c r="E15" s="27">
        <f t="shared" si="1"/>
        <v>2.0548558354859803E-2</v>
      </c>
      <c r="F15" s="56">
        <v>1221813</v>
      </c>
      <c r="G15" s="153">
        <f t="shared" si="2"/>
        <v>-0.12891907354071364</v>
      </c>
      <c r="H15" s="26">
        <f t="shared" si="3"/>
        <v>0</v>
      </c>
      <c r="I15" s="20">
        <f t="shared" si="4"/>
        <v>0</v>
      </c>
      <c r="J15" s="25">
        <f t="shared" si="5"/>
        <v>4.4208173752330923E-4</v>
      </c>
      <c r="L15" s="24" t="s">
        <v>11</v>
      </c>
      <c r="M15" s="23">
        <f t="shared" si="6"/>
        <v>253529.45891283249</v>
      </c>
      <c r="N15" s="22">
        <f t="shared" si="7"/>
        <v>0</v>
      </c>
      <c r="O15" s="21">
        <f t="shared" si="8"/>
        <v>2181.7733735665588</v>
      </c>
      <c r="P15" s="154">
        <f t="shared" si="10"/>
        <v>255711.23228639906</v>
      </c>
      <c r="Q15" s="184">
        <f t="shared" si="9"/>
        <v>1.0362695524934563E-2</v>
      </c>
      <c r="S15" s="19"/>
      <c r="T15" s="19"/>
      <c r="U15" s="19"/>
      <c r="V15" s="19"/>
      <c r="W15" s="19"/>
      <c r="X15" s="19"/>
      <c r="Y15" s="19"/>
      <c r="Z15" s="19"/>
    </row>
    <row r="16" spans="1:29">
      <c r="A16" s="24" t="s">
        <v>12</v>
      </c>
      <c r="B16" s="23">
        <v>5282316</v>
      </c>
      <c r="C16" s="22">
        <v>1864847</v>
      </c>
      <c r="D16" s="166">
        <f t="shared" si="0"/>
        <v>0.35303586532876868</v>
      </c>
      <c r="E16" s="27">
        <f t="shared" si="1"/>
        <v>2.2458718825598717E-2</v>
      </c>
      <c r="F16" s="56">
        <v>1408205</v>
      </c>
      <c r="G16" s="153">
        <f t="shared" si="2"/>
        <v>0.32427238931831659</v>
      </c>
      <c r="H16" s="26">
        <f t="shared" si="3"/>
        <v>0.32427238931831659</v>
      </c>
      <c r="I16" s="20">
        <f t="shared" si="4"/>
        <v>3.1126245376113866E-2</v>
      </c>
      <c r="J16" s="25">
        <f t="shared" si="5"/>
        <v>7.7460899294664709E-4</v>
      </c>
      <c r="L16" s="24" t="s">
        <v>12</v>
      </c>
      <c r="M16" s="23">
        <f t="shared" si="6"/>
        <v>277097.14391632006</v>
      </c>
      <c r="N16" s="22">
        <f t="shared" si="7"/>
        <v>230422.59253173901</v>
      </c>
      <c r="O16" s="21">
        <f t="shared" si="8"/>
        <v>3822.8705967459082</v>
      </c>
      <c r="P16" s="154">
        <f t="shared" si="10"/>
        <v>511342.60704480502</v>
      </c>
      <c r="Q16" s="184">
        <f t="shared" si="9"/>
        <v>2.0722154824222849E-2</v>
      </c>
      <c r="S16" s="19"/>
      <c r="T16" s="19"/>
      <c r="U16" s="19"/>
      <c r="V16" s="19"/>
      <c r="W16" s="19"/>
      <c r="X16" s="19"/>
      <c r="Y16" s="19"/>
      <c r="Z16" s="19"/>
    </row>
    <row r="17" spans="1:26">
      <c r="A17" s="24" t="s">
        <v>13</v>
      </c>
      <c r="B17" s="23">
        <v>53700075</v>
      </c>
      <c r="C17" s="22">
        <v>14209085</v>
      </c>
      <c r="D17" s="166">
        <f t="shared" si="0"/>
        <v>0.26460084087405839</v>
      </c>
      <c r="E17" s="27">
        <f t="shared" si="1"/>
        <v>1.6832839011054458E-2</v>
      </c>
      <c r="F17" s="56">
        <v>12990205</v>
      </c>
      <c r="G17" s="153">
        <f t="shared" si="2"/>
        <v>9.3830697821935871E-2</v>
      </c>
      <c r="H17" s="26">
        <f t="shared" si="3"/>
        <v>9.3830697821935871E-2</v>
      </c>
      <c r="I17" s="20">
        <f t="shared" si="4"/>
        <v>9.0066173390748148E-3</v>
      </c>
      <c r="J17" s="25">
        <f t="shared" si="5"/>
        <v>5.9020847407553053E-3</v>
      </c>
      <c r="L17" s="24" t="s">
        <v>13</v>
      </c>
      <c r="M17" s="23">
        <f t="shared" si="6"/>
        <v>207684.67026934514</v>
      </c>
      <c r="N17" s="22">
        <f t="shared" si="7"/>
        <v>66674.540797764465</v>
      </c>
      <c r="O17" s="21">
        <f t="shared" si="8"/>
        <v>29128.123247195792</v>
      </c>
      <c r="P17" s="154">
        <f t="shared" si="10"/>
        <v>303487.33431430539</v>
      </c>
      <c r="Q17" s="184">
        <f t="shared" si="9"/>
        <v>1.2298821655400735E-2</v>
      </c>
      <c r="S17" s="19"/>
      <c r="T17" s="19"/>
      <c r="U17" s="19"/>
      <c r="V17" s="19"/>
      <c r="W17" s="19"/>
      <c r="X17" s="19"/>
      <c r="Y17" s="19"/>
      <c r="Z17" s="19"/>
    </row>
    <row r="18" spans="1:26">
      <c r="A18" s="24" t="s">
        <v>14</v>
      </c>
      <c r="B18" s="23">
        <v>7034210</v>
      </c>
      <c r="C18" s="22">
        <v>838434</v>
      </c>
      <c r="D18" s="166">
        <f t="shared" si="0"/>
        <v>0.11919376873877806</v>
      </c>
      <c r="E18" s="27">
        <f t="shared" si="1"/>
        <v>7.5826271514219216E-3</v>
      </c>
      <c r="F18" s="56">
        <v>691812</v>
      </c>
      <c r="G18" s="153">
        <f t="shared" si="2"/>
        <v>0.21193908171584197</v>
      </c>
      <c r="H18" s="26">
        <f t="shared" si="3"/>
        <v>0.21193908171584197</v>
      </c>
      <c r="I18" s="20">
        <f t="shared" si="4"/>
        <v>2.0343600255770897E-2</v>
      </c>
      <c r="J18" s="25">
        <f t="shared" si="5"/>
        <v>3.4826370012780092E-4</v>
      </c>
      <c r="L18" s="24" t="s">
        <v>14</v>
      </c>
      <c r="M18" s="23">
        <f t="shared" si="6"/>
        <v>93554.950456322083</v>
      </c>
      <c r="N18" s="22">
        <f t="shared" si="7"/>
        <v>150600.40347691084</v>
      </c>
      <c r="O18" s="21">
        <f t="shared" si="8"/>
        <v>1718.7601373796665</v>
      </c>
      <c r="P18" s="154">
        <f t="shared" si="10"/>
        <v>245874.11407061259</v>
      </c>
      <c r="Q18" s="184">
        <f t="shared" si="9"/>
        <v>9.9640463924677899E-3</v>
      </c>
      <c r="S18" s="19"/>
      <c r="T18" s="19"/>
      <c r="U18" s="19"/>
      <c r="V18" s="19"/>
      <c r="W18" s="19"/>
      <c r="X18" s="19"/>
      <c r="Y18" s="19"/>
      <c r="Z18" s="19"/>
    </row>
    <row r="19" spans="1:26">
      <c r="A19" s="24" t="s">
        <v>15</v>
      </c>
      <c r="B19" s="23">
        <v>1629962</v>
      </c>
      <c r="C19" s="22">
        <v>363195</v>
      </c>
      <c r="D19" s="166">
        <f t="shared" si="0"/>
        <v>0.22282421307981412</v>
      </c>
      <c r="E19" s="27">
        <f t="shared" si="1"/>
        <v>1.4175178333324536E-2</v>
      </c>
      <c r="F19" s="56">
        <v>329170</v>
      </c>
      <c r="G19" s="153">
        <f t="shared" si="2"/>
        <v>0.10336604186286724</v>
      </c>
      <c r="H19" s="26">
        <f t="shared" si="3"/>
        <v>0.10336604186286724</v>
      </c>
      <c r="I19" s="20">
        <f t="shared" si="4"/>
        <v>9.9218955685522765E-3</v>
      </c>
      <c r="J19" s="25">
        <f t="shared" si="5"/>
        <v>1.5086176677939664E-4</v>
      </c>
      <c r="L19" s="24" t="s">
        <v>15</v>
      </c>
      <c r="M19" s="23">
        <f t="shared" si="6"/>
        <v>174894.27875073897</v>
      </c>
      <c r="N19" s="22">
        <f t="shared" si="7"/>
        <v>73450.198445374641</v>
      </c>
      <c r="O19" s="21">
        <f t="shared" si="8"/>
        <v>744.5369439879679</v>
      </c>
      <c r="P19" s="154">
        <f t="shared" si="10"/>
        <v>249089.01414010159</v>
      </c>
      <c r="Q19" s="184">
        <f t="shared" si="9"/>
        <v>1.0094330190583832E-2</v>
      </c>
      <c r="S19" s="19"/>
      <c r="T19" s="19"/>
      <c r="U19" s="19"/>
      <c r="V19" s="19"/>
      <c r="W19" s="19"/>
      <c r="X19" s="19"/>
      <c r="Y19" s="19"/>
      <c r="Z19" s="19"/>
    </row>
    <row r="20" spans="1:26">
      <c r="A20" s="24" t="s">
        <v>16</v>
      </c>
      <c r="B20" s="23">
        <v>2243867</v>
      </c>
      <c r="C20" s="22">
        <v>1038863</v>
      </c>
      <c r="D20" s="166">
        <f t="shared" si="0"/>
        <v>0.46297886639448771</v>
      </c>
      <c r="E20" s="27">
        <f t="shared" si="1"/>
        <v>2.9452849423287516E-2</v>
      </c>
      <c r="F20" s="56">
        <v>632096</v>
      </c>
      <c r="G20" s="153">
        <f t="shared" si="2"/>
        <v>0.64352092087277879</v>
      </c>
      <c r="H20" s="26">
        <f t="shared" si="3"/>
        <v>0.64352092087277879</v>
      </c>
      <c r="I20" s="20">
        <f t="shared" si="4"/>
        <v>6.1770260890409545E-2</v>
      </c>
      <c r="J20" s="25">
        <f t="shared" si="5"/>
        <v>4.315166993536374E-4</v>
      </c>
      <c r="L20" s="24" t="s">
        <v>16</v>
      </c>
      <c r="M20" s="23">
        <f t="shared" si="6"/>
        <v>363391.18534615857</v>
      </c>
      <c r="N20" s="22">
        <f t="shared" si="7"/>
        <v>457275.31489077676</v>
      </c>
      <c r="O20" s="21">
        <f t="shared" si="8"/>
        <v>2129.6325203875945</v>
      </c>
      <c r="P20" s="154">
        <f t="shared" si="10"/>
        <v>822796.13275732298</v>
      </c>
      <c r="Q20" s="184">
        <f t="shared" si="9"/>
        <v>3.3343806318637349E-2</v>
      </c>
      <c r="S20" s="19"/>
      <c r="T20" s="19"/>
      <c r="U20" s="19"/>
      <c r="V20" s="19"/>
      <c r="W20" s="19"/>
      <c r="X20" s="19"/>
      <c r="Y20" s="19"/>
      <c r="Z20" s="19"/>
    </row>
    <row r="21" spans="1:26">
      <c r="A21" s="24" t="s">
        <v>17</v>
      </c>
      <c r="B21" s="23">
        <v>10409374</v>
      </c>
      <c r="C21" s="22">
        <v>1281029</v>
      </c>
      <c r="D21" s="166">
        <f t="shared" si="0"/>
        <v>0.12306494127312555</v>
      </c>
      <c r="E21" s="27">
        <f t="shared" si="1"/>
        <v>7.8288955451255617E-3</v>
      </c>
      <c r="F21" s="56">
        <v>1193413</v>
      </c>
      <c r="G21" s="153">
        <f t="shared" si="2"/>
        <v>7.3416327792641844E-2</v>
      </c>
      <c r="H21" s="26">
        <f t="shared" si="3"/>
        <v>7.3416327792641844E-2</v>
      </c>
      <c r="I21" s="20">
        <f t="shared" si="4"/>
        <v>7.0470835900979982E-3</v>
      </c>
      <c r="J21" s="25">
        <f t="shared" si="5"/>
        <v>5.3210616400458082E-4</v>
      </c>
      <c r="L21" s="24" t="s">
        <v>17</v>
      </c>
      <c r="M21" s="23">
        <f t="shared" si="6"/>
        <v>96593.42602841738</v>
      </c>
      <c r="N21" s="22">
        <f t="shared" si="7"/>
        <v>52168.427351162551</v>
      </c>
      <c r="O21" s="21">
        <f t="shared" si="8"/>
        <v>2626.0642817769044</v>
      </c>
      <c r="P21" s="154">
        <f t="shared" si="10"/>
        <v>151387.91766135683</v>
      </c>
      <c r="Q21" s="184">
        <f t="shared" si="9"/>
        <v>6.1349940823930962E-3</v>
      </c>
      <c r="S21" s="19"/>
      <c r="T21" s="19"/>
      <c r="U21" s="19"/>
      <c r="V21" s="19"/>
      <c r="W21" s="19"/>
      <c r="X21" s="19"/>
      <c r="Y21" s="19"/>
      <c r="Z21" s="19"/>
    </row>
    <row r="22" spans="1:26">
      <c r="A22" s="24" t="s">
        <v>18</v>
      </c>
      <c r="B22" s="23">
        <v>415292639</v>
      </c>
      <c r="C22" s="22">
        <v>103525907.23999999</v>
      </c>
      <c r="D22" s="166">
        <f t="shared" si="0"/>
        <v>0.24928423361724933</v>
      </c>
      <c r="E22" s="27">
        <f t="shared" si="1"/>
        <v>1.5858458191636993E-2</v>
      </c>
      <c r="F22" s="56">
        <v>90011508</v>
      </c>
      <c r="G22" s="153">
        <f t="shared" si="2"/>
        <v>0.15014079355275323</v>
      </c>
      <c r="H22" s="26">
        <f t="shared" si="3"/>
        <v>0.15014079355275323</v>
      </c>
      <c r="I22" s="20">
        <f t="shared" si="4"/>
        <v>1.4411708597551812E-2</v>
      </c>
      <c r="J22" s="25">
        <f t="shared" si="5"/>
        <v>4.300197214627495E-2</v>
      </c>
      <c r="L22" s="24" t="s">
        <v>18</v>
      </c>
      <c r="M22" s="23">
        <f t="shared" si="6"/>
        <v>195662.69589742878</v>
      </c>
      <c r="N22" s="22">
        <f t="shared" si="7"/>
        <v>106687.56278610443</v>
      </c>
      <c r="O22" s="21">
        <f t="shared" si="8"/>
        <v>212224.45958796638</v>
      </c>
      <c r="P22" s="154">
        <f t="shared" si="10"/>
        <v>514574.71827149962</v>
      </c>
      <c r="Q22" s="184">
        <f t="shared" si="9"/>
        <v>2.0853136104339032E-2</v>
      </c>
      <c r="S22" s="19"/>
      <c r="T22" s="19"/>
      <c r="U22" s="19"/>
      <c r="V22" s="19"/>
      <c r="W22" s="19"/>
      <c r="X22" s="19"/>
      <c r="Y22" s="19"/>
      <c r="Z22" s="19"/>
    </row>
    <row r="23" spans="1:26">
      <c r="A23" s="24" t="s">
        <v>19</v>
      </c>
      <c r="B23" s="23">
        <v>4596412</v>
      </c>
      <c r="C23" s="22">
        <v>3566422</v>
      </c>
      <c r="D23" s="166">
        <f t="shared" si="0"/>
        <v>0.77591434362280842</v>
      </c>
      <c r="E23" s="27">
        <f t="shared" si="1"/>
        <v>4.9360543184317651E-2</v>
      </c>
      <c r="F23" s="56">
        <v>877317</v>
      </c>
      <c r="G23" s="153">
        <f t="shared" si="2"/>
        <v>3.0651463496090923</v>
      </c>
      <c r="H23" s="26">
        <f t="shared" si="3"/>
        <v>3.0651463496090923</v>
      </c>
      <c r="I23" s="20">
        <f t="shared" si="4"/>
        <v>0.29421714747960892</v>
      </c>
      <c r="J23" s="25">
        <f t="shared" si="5"/>
        <v>1.4813990390861915E-3</v>
      </c>
      <c r="L23" s="24" t="s">
        <v>19</v>
      </c>
      <c r="M23" s="23">
        <f t="shared" si="6"/>
        <v>609013.61492368975</v>
      </c>
      <c r="N23" s="22">
        <f t="shared" si="7"/>
        <v>2178042.262095945</v>
      </c>
      <c r="O23" s="21">
        <f t="shared" si="8"/>
        <v>7311.0393503529967</v>
      </c>
      <c r="P23" s="154">
        <f t="shared" si="10"/>
        <v>2794366.9163699877</v>
      </c>
      <c r="Q23" s="184">
        <f t="shared" si="9"/>
        <v>0.11324169564385875</v>
      </c>
      <c r="S23" s="19"/>
      <c r="T23" s="19"/>
      <c r="U23" s="19"/>
      <c r="V23" s="19"/>
      <c r="W23" s="19"/>
      <c r="X23" s="19"/>
      <c r="Y23" s="19"/>
      <c r="Z23" s="19"/>
    </row>
    <row r="24" spans="1:26">
      <c r="A24" s="24" t="s">
        <v>20</v>
      </c>
      <c r="B24" s="23">
        <v>459479979</v>
      </c>
      <c r="C24" s="22">
        <v>154603349.86000001</v>
      </c>
      <c r="D24" s="166">
        <f t="shared" si="0"/>
        <v>0.33647461679717716</v>
      </c>
      <c r="E24" s="27">
        <f t="shared" si="1"/>
        <v>2.1405158944861113E-2</v>
      </c>
      <c r="F24" s="56">
        <v>130662277.23999999</v>
      </c>
      <c r="G24" s="153">
        <f t="shared" si="2"/>
        <v>0.18322864965857844</v>
      </c>
      <c r="H24" s="26">
        <f t="shared" si="3"/>
        <v>0.18322864965857844</v>
      </c>
      <c r="I24" s="20">
        <f t="shared" si="4"/>
        <v>1.758774443052703E-2</v>
      </c>
      <c r="J24" s="25">
        <f t="shared" si="5"/>
        <v>6.4218214760370568E-2</v>
      </c>
      <c r="L24" s="24" t="s">
        <v>20</v>
      </c>
      <c r="M24" s="23">
        <f t="shared" si="6"/>
        <v>264098.2530996073</v>
      </c>
      <c r="N24" s="22">
        <f t="shared" si="7"/>
        <v>130199.24566866161</v>
      </c>
      <c r="O24" s="21">
        <f t="shared" si="8"/>
        <v>316931.41600260756</v>
      </c>
      <c r="P24" s="154">
        <f t="shared" si="10"/>
        <v>711228.91477087652</v>
      </c>
      <c r="Q24" s="184">
        <f t="shared" si="9"/>
        <v>2.8822545753662783E-2</v>
      </c>
      <c r="S24" s="19"/>
      <c r="T24" s="19"/>
      <c r="U24" s="19"/>
      <c r="V24" s="19"/>
      <c r="W24" s="19"/>
      <c r="X24" s="19"/>
      <c r="Y24" s="19"/>
      <c r="Z24" s="19"/>
    </row>
    <row r="25" spans="1:26">
      <c r="A25" s="24" t="s">
        <v>21</v>
      </c>
      <c r="B25" s="23">
        <v>12996129</v>
      </c>
      <c r="C25" s="22">
        <v>4608992</v>
      </c>
      <c r="D25" s="166">
        <f t="shared" si="0"/>
        <v>0.35464344806057252</v>
      </c>
      <c r="E25" s="27">
        <f t="shared" si="1"/>
        <v>2.2560986759563011E-2</v>
      </c>
      <c r="F25" s="56">
        <v>3648762.03</v>
      </c>
      <c r="G25" s="153">
        <f t="shared" si="2"/>
        <v>0.26316596207289522</v>
      </c>
      <c r="H25" s="26">
        <f t="shared" si="3"/>
        <v>0.26316596207289522</v>
      </c>
      <c r="I25" s="20">
        <f t="shared" si="4"/>
        <v>2.5260764036499857E-2</v>
      </c>
      <c r="J25" s="25">
        <f t="shared" si="5"/>
        <v>1.9144555299277384E-3</v>
      </c>
      <c r="L25" s="24" t="s">
        <v>21</v>
      </c>
      <c r="M25" s="23">
        <f t="shared" si="6"/>
        <v>278358.93238412117</v>
      </c>
      <c r="N25" s="22">
        <f t="shared" si="7"/>
        <v>187001.37675742776</v>
      </c>
      <c r="O25" s="21">
        <f t="shared" si="8"/>
        <v>9448.271090034259</v>
      </c>
      <c r="P25" s="154">
        <f t="shared" si="10"/>
        <v>474808.58023158321</v>
      </c>
      <c r="Q25" s="184">
        <f t="shared" si="9"/>
        <v>1.9241613696717012E-2</v>
      </c>
      <c r="S25" s="19"/>
      <c r="T25" s="19"/>
      <c r="U25" s="19"/>
      <c r="V25" s="19"/>
      <c r="W25" s="19"/>
      <c r="X25" s="19"/>
      <c r="Y25" s="19"/>
      <c r="Z25" s="19"/>
    </row>
    <row r="26" spans="1:26">
      <c r="A26" s="24" t="s">
        <v>22</v>
      </c>
      <c r="B26" s="23">
        <v>844965</v>
      </c>
      <c r="C26" s="22">
        <v>246797</v>
      </c>
      <c r="D26" s="166">
        <f t="shared" si="0"/>
        <v>0.29207955359097715</v>
      </c>
      <c r="E26" s="27">
        <f t="shared" si="1"/>
        <v>1.858092395994192E-2</v>
      </c>
      <c r="F26" s="56">
        <v>218938</v>
      </c>
      <c r="G26" s="153">
        <f t="shared" si="2"/>
        <v>0.12724606966355778</v>
      </c>
      <c r="H26" s="26">
        <f t="shared" si="3"/>
        <v>0.12724606966355778</v>
      </c>
      <c r="I26" s="20">
        <f t="shared" si="4"/>
        <v>1.2214090739640589E-2</v>
      </c>
      <c r="J26" s="25">
        <f t="shared" si="5"/>
        <v>1.0251306173227813E-4</v>
      </c>
      <c r="L26" s="24" t="s">
        <v>22</v>
      </c>
      <c r="M26" s="23">
        <f t="shared" si="6"/>
        <v>229252.65686828279</v>
      </c>
      <c r="N26" s="22">
        <f t="shared" si="7"/>
        <v>90418.95094117742</v>
      </c>
      <c r="O26" s="21">
        <f t="shared" si="8"/>
        <v>505.92514810335643</v>
      </c>
      <c r="P26" s="154">
        <f t="shared" si="10"/>
        <v>320177.53295756353</v>
      </c>
      <c r="Q26" s="184">
        <f t="shared" si="9"/>
        <v>1.2975191814209591E-2</v>
      </c>
      <c r="S26" s="19"/>
      <c r="T26" s="19"/>
      <c r="U26" s="19"/>
      <c r="V26" s="19"/>
      <c r="W26" s="19"/>
      <c r="X26" s="19"/>
      <c r="Y26" s="19"/>
      <c r="Z26" s="19"/>
    </row>
    <row r="27" spans="1:26">
      <c r="A27" s="24" t="s">
        <v>23</v>
      </c>
      <c r="B27" s="23">
        <v>1658016</v>
      </c>
      <c r="C27" s="22">
        <v>165744</v>
      </c>
      <c r="D27" s="166">
        <f t="shared" si="0"/>
        <v>9.996525968386312E-2</v>
      </c>
      <c r="E27" s="27">
        <f t="shared" si="1"/>
        <v>6.3593869067015999E-3</v>
      </c>
      <c r="F27" s="56">
        <v>140414</v>
      </c>
      <c r="G27" s="153">
        <f t="shared" si="2"/>
        <v>0.18039511729599611</v>
      </c>
      <c r="H27" s="26">
        <f t="shared" si="3"/>
        <v>0.18039511729599611</v>
      </c>
      <c r="I27" s="20">
        <f t="shared" si="4"/>
        <v>1.7315759437341809E-2</v>
      </c>
      <c r="J27" s="25">
        <f t="shared" si="5"/>
        <v>6.8845751381721446E-5</v>
      </c>
      <c r="L27" s="24" t="s">
        <v>23</v>
      </c>
      <c r="M27" s="23">
        <f t="shared" si="6"/>
        <v>78462.532194726722</v>
      </c>
      <c r="N27" s="22">
        <f t="shared" si="7"/>
        <v>128185.78447209983</v>
      </c>
      <c r="O27" s="21">
        <f t="shared" si="8"/>
        <v>339.76935597775787</v>
      </c>
      <c r="P27" s="154">
        <f t="shared" si="10"/>
        <v>206988.08602280432</v>
      </c>
      <c r="Q27" s="184">
        <f t="shared" si="9"/>
        <v>8.3881904348296864E-3</v>
      </c>
      <c r="S27" s="19"/>
      <c r="T27" s="19"/>
      <c r="U27" s="19"/>
      <c r="V27" s="19"/>
      <c r="W27" s="19"/>
      <c r="X27" s="19"/>
      <c r="Y27" s="19"/>
      <c r="Z27" s="19"/>
    </row>
    <row r="28" spans="1:26">
      <c r="A28" s="24" t="s">
        <v>24</v>
      </c>
      <c r="B28" s="23">
        <v>69984471</v>
      </c>
      <c r="C28" s="22">
        <v>12472493</v>
      </c>
      <c r="D28" s="166">
        <f t="shared" si="0"/>
        <v>0.17821800782062067</v>
      </c>
      <c r="E28" s="27">
        <f t="shared" si="1"/>
        <v>1.1337511342011254E-2</v>
      </c>
      <c r="F28" s="56">
        <v>9156806</v>
      </c>
      <c r="G28" s="153">
        <f t="shared" si="2"/>
        <v>0.36210082423936907</v>
      </c>
      <c r="H28" s="26">
        <f t="shared" si="3"/>
        <v>0.36210082423936907</v>
      </c>
      <c r="I28" s="20">
        <f t="shared" si="4"/>
        <v>3.4757319702306971E-2</v>
      </c>
      <c r="J28" s="25">
        <f t="shared" si="5"/>
        <v>5.1807495425973847E-3</v>
      </c>
      <c r="L28" s="24" t="s">
        <v>24</v>
      </c>
      <c r="M28" s="23">
        <f t="shared" si="6"/>
        <v>139882.95754472775</v>
      </c>
      <c r="N28" s="22">
        <f t="shared" si="7"/>
        <v>257302.85225490233</v>
      </c>
      <c r="O28" s="21">
        <f t="shared" si="8"/>
        <v>25568.170878264631</v>
      </c>
      <c r="P28" s="154">
        <f t="shared" si="10"/>
        <v>422753.98067789472</v>
      </c>
      <c r="Q28" s="184">
        <f t="shared" si="9"/>
        <v>1.7132101490217194E-2</v>
      </c>
      <c r="S28" s="19"/>
      <c r="T28" s="19"/>
      <c r="U28" s="19"/>
      <c r="V28" s="19"/>
      <c r="W28" s="19"/>
      <c r="X28" s="19"/>
      <c r="Y28" s="19"/>
      <c r="Z28" s="19"/>
    </row>
    <row r="29" spans="1:26">
      <c r="A29" s="24" t="s">
        <v>25</v>
      </c>
      <c r="B29" s="23">
        <v>534177051</v>
      </c>
      <c r="C29" s="22">
        <v>210861820.25999999</v>
      </c>
      <c r="D29" s="166">
        <f t="shared" si="0"/>
        <v>0.39474144361922425</v>
      </c>
      <c r="E29" s="27">
        <f t="shared" si="1"/>
        <v>2.5111859620265756E-2</v>
      </c>
      <c r="F29" s="56">
        <v>215375991.11000001</v>
      </c>
      <c r="G29" s="153">
        <f t="shared" si="2"/>
        <v>-2.0959489619687854E-2</v>
      </c>
      <c r="H29" s="26">
        <f t="shared" si="3"/>
        <v>0</v>
      </c>
      <c r="I29" s="20">
        <f t="shared" si="4"/>
        <v>0</v>
      </c>
      <c r="J29" s="25">
        <f t="shared" si="5"/>
        <v>8.7586521705263487E-2</v>
      </c>
      <c r="L29" s="24" t="s">
        <v>25</v>
      </c>
      <c r="M29" s="23">
        <f t="shared" si="6"/>
        <v>309831.76882164401</v>
      </c>
      <c r="N29" s="22">
        <f t="shared" si="7"/>
        <v>0</v>
      </c>
      <c r="O29" s="21">
        <f t="shared" si="8"/>
        <v>432259.29668668506</v>
      </c>
      <c r="P29" s="154">
        <f t="shared" si="10"/>
        <v>742091.06550832908</v>
      </c>
      <c r="Q29" s="184">
        <f t="shared" si="9"/>
        <v>3.0073234151185575E-2</v>
      </c>
      <c r="S29" s="19"/>
      <c r="T29" s="19"/>
      <c r="U29" s="19"/>
      <c r="V29" s="19"/>
      <c r="W29" s="19"/>
      <c r="X29" s="19"/>
      <c r="Y29" s="19"/>
      <c r="Z29" s="19"/>
    </row>
    <row r="30" spans="1:26">
      <c r="A30" s="24" t="s">
        <v>26</v>
      </c>
      <c r="B30" s="23">
        <v>1059673</v>
      </c>
      <c r="C30" s="22">
        <v>297293.69</v>
      </c>
      <c r="D30" s="166">
        <f t="shared" si="0"/>
        <v>0.28055229301869539</v>
      </c>
      <c r="E30" s="27">
        <f t="shared" si="1"/>
        <v>1.7847606103465231E-2</v>
      </c>
      <c r="F30" s="56">
        <v>288216.5</v>
      </c>
      <c r="G30" s="153">
        <f t="shared" si="2"/>
        <v>3.1494345396603007E-2</v>
      </c>
      <c r="H30" s="26">
        <f t="shared" si="3"/>
        <v>3.1494345396603007E-2</v>
      </c>
      <c r="I30" s="20">
        <f t="shared" si="4"/>
        <v>3.0230779895739184E-3</v>
      </c>
      <c r="J30" s="25">
        <f t="shared" si="5"/>
        <v>1.2348807479664161E-4</v>
      </c>
      <c r="L30" s="24" t="s">
        <v>26</v>
      </c>
      <c r="M30" s="23">
        <f t="shared" si="6"/>
        <v>220204.93312275381</v>
      </c>
      <c r="N30" s="22">
        <f t="shared" si="7"/>
        <v>22379.360548182791</v>
      </c>
      <c r="O30" s="21">
        <f t="shared" si="8"/>
        <v>609.44158212394541</v>
      </c>
      <c r="P30" s="154">
        <f t="shared" si="10"/>
        <v>243193.73525306056</v>
      </c>
      <c r="Q30" s="184">
        <f t="shared" si="9"/>
        <v>9.8554240635641208E-3</v>
      </c>
      <c r="S30" s="19"/>
      <c r="T30" s="19"/>
      <c r="U30" s="19"/>
      <c r="V30" s="19"/>
      <c r="W30" s="19"/>
      <c r="X30" s="19"/>
      <c r="Y30" s="19"/>
      <c r="Z30" s="19"/>
    </row>
    <row r="31" spans="1:26">
      <c r="A31" s="24" t="s">
        <v>27</v>
      </c>
      <c r="B31" s="23">
        <v>2387896</v>
      </c>
      <c r="C31" s="22">
        <v>539788</v>
      </c>
      <c r="D31" s="166">
        <f t="shared" si="0"/>
        <v>0.22605172084546396</v>
      </c>
      <c r="E31" s="27">
        <f t="shared" si="1"/>
        <v>1.4380499368762857E-2</v>
      </c>
      <c r="F31" s="56">
        <v>518824</v>
      </c>
      <c r="G31" s="153">
        <f t="shared" si="2"/>
        <v>4.0406766070960387E-2</v>
      </c>
      <c r="H31" s="26">
        <f t="shared" si="3"/>
        <v>4.0406766070960387E-2</v>
      </c>
      <c r="I31" s="20">
        <f t="shared" si="4"/>
        <v>3.8785630753944162E-3</v>
      </c>
      <c r="J31" s="25">
        <f t="shared" si="5"/>
        <v>2.2421391089171645E-4</v>
      </c>
      <c r="L31" s="24" t="s">
        <v>27</v>
      </c>
      <c r="M31" s="23">
        <f t="shared" si="6"/>
        <v>177427.54313450478</v>
      </c>
      <c r="N31" s="22">
        <f t="shared" si="7"/>
        <v>28712.379162058645</v>
      </c>
      <c r="O31" s="21">
        <f t="shared" si="8"/>
        <v>1106.5463674372645</v>
      </c>
      <c r="P31" s="154">
        <f t="shared" si="10"/>
        <v>207246.46866400068</v>
      </c>
      <c r="Q31" s="184">
        <f t="shared" si="9"/>
        <v>8.398661389178096E-3</v>
      </c>
      <c r="S31" s="19"/>
      <c r="T31" s="19"/>
      <c r="U31" s="19"/>
      <c r="V31" s="19"/>
      <c r="W31" s="19"/>
      <c r="X31" s="19"/>
      <c r="Y31" s="19"/>
      <c r="Z31" s="19"/>
    </row>
    <row r="32" spans="1:26">
      <c r="A32" s="24" t="s">
        <v>28</v>
      </c>
      <c r="B32" s="23">
        <v>708159</v>
      </c>
      <c r="C32" s="22">
        <v>419888</v>
      </c>
      <c r="D32" s="166">
        <f t="shared" si="0"/>
        <v>0.5929289891112024</v>
      </c>
      <c r="E32" s="27">
        <f t="shared" si="1"/>
        <v>3.77197524608269E-2</v>
      </c>
      <c r="F32" s="56">
        <v>336929</v>
      </c>
      <c r="G32" s="153">
        <f t="shared" si="2"/>
        <v>0.2462210139228147</v>
      </c>
      <c r="H32" s="26">
        <f t="shared" si="3"/>
        <v>0.2462210139228147</v>
      </c>
      <c r="I32" s="20">
        <f t="shared" si="4"/>
        <v>2.3634253018667908E-2</v>
      </c>
      <c r="J32" s="25">
        <f t="shared" si="5"/>
        <v>1.7441056603055465E-4</v>
      </c>
      <c r="L32" s="24" t="s">
        <v>28</v>
      </c>
      <c r="M32" s="23">
        <f t="shared" si="6"/>
        <v>465388.77650546847</v>
      </c>
      <c r="N32" s="22">
        <f t="shared" si="7"/>
        <v>174960.57707273841</v>
      </c>
      <c r="O32" s="21">
        <f t="shared" si="8"/>
        <v>860.75559503082332</v>
      </c>
      <c r="P32" s="154">
        <f t="shared" si="10"/>
        <v>641210.1091732377</v>
      </c>
      <c r="Q32" s="184">
        <f t="shared" si="9"/>
        <v>2.5985034249219933E-2</v>
      </c>
      <c r="S32" s="19"/>
      <c r="T32" s="19"/>
      <c r="U32" s="19"/>
      <c r="V32" s="19"/>
      <c r="W32" s="19"/>
      <c r="X32" s="19"/>
      <c r="Y32" s="19"/>
      <c r="Z32" s="19"/>
    </row>
    <row r="33" spans="1:26">
      <c r="A33" s="24" t="s">
        <v>29</v>
      </c>
      <c r="B33" s="23">
        <v>2080067</v>
      </c>
      <c r="C33" s="22">
        <v>656691</v>
      </c>
      <c r="D33" s="166">
        <f t="shared" si="0"/>
        <v>0.31570665752593546</v>
      </c>
      <c r="E33" s="27">
        <f t="shared" si="1"/>
        <v>2.0083985082200041E-2</v>
      </c>
      <c r="F33" s="56">
        <v>629171</v>
      </c>
      <c r="G33" s="153">
        <f t="shared" si="2"/>
        <v>4.3740096094702308E-2</v>
      </c>
      <c r="H33" s="26">
        <f t="shared" si="3"/>
        <v>4.3740096094702308E-2</v>
      </c>
      <c r="I33" s="20">
        <f t="shared" si="4"/>
        <v>4.1985226268587564E-3</v>
      </c>
      <c r="J33" s="25">
        <f t="shared" si="5"/>
        <v>2.7277237981835863E-4</v>
      </c>
      <c r="L33" s="24" t="s">
        <v>29</v>
      </c>
      <c r="M33" s="23">
        <f t="shared" si="6"/>
        <v>247797.52344520699</v>
      </c>
      <c r="N33" s="22">
        <f t="shared" si="7"/>
        <v>31080.988304049235</v>
      </c>
      <c r="O33" s="21">
        <f t="shared" si="8"/>
        <v>1346.1933955159147</v>
      </c>
      <c r="P33" s="154">
        <f t="shared" si="10"/>
        <v>280224.70514477213</v>
      </c>
      <c r="Q33" s="184">
        <f t="shared" si="9"/>
        <v>1.1356103805121318E-2</v>
      </c>
      <c r="S33" s="19"/>
      <c r="T33" s="19"/>
      <c r="U33" s="19"/>
      <c r="V33" s="19"/>
      <c r="W33" s="19"/>
      <c r="X33" s="19"/>
      <c r="Y33" s="19"/>
      <c r="Z33" s="19"/>
    </row>
    <row r="34" spans="1:26">
      <c r="A34" s="24" t="s">
        <v>30</v>
      </c>
      <c r="B34" s="23">
        <v>619036</v>
      </c>
      <c r="C34" s="22">
        <v>129046</v>
      </c>
      <c r="D34" s="166">
        <f t="shared" si="0"/>
        <v>0.20846283576399435</v>
      </c>
      <c r="E34" s="27">
        <f t="shared" si="1"/>
        <v>1.3261565392656426E-2</v>
      </c>
      <c r="F34" s="56">
        <v>112915</v>
      </c>
      <c r="G34" s="153">
        <f t="shared" si="2"/>
        <v>0.14285967320550852</v>
      </c>
      <c r="H34" s="26">
        <f t="shared" si="3"/>
        <v>0.14285967320550852</v>
      </c>
      <c r="I34" s="20">
        <f t="shared" si="4"/>
        <v>1.3712808703491198E-2</v>
      </c>
      <c r="J34" s="25">
        <f t="shared" si="5"/>
        <v>5.3602355637643744E-5</v>
      </c>
      <c r="L34" s="24" t="s">
        <v>30</v>
      </c>
      <c r="M34" s="23">
        <f t="shared" si="6"/>
        <v>163622.06244712821</v>
      </c>
      <c r="N34" s="22">
        <f t="shared" si="7"/>
        <v>101513.71918358668</v>
      </c>
      <c r="O34" s="21">
        <f t="shared" si="8"/>
        <v>264.53974992461713</v>
      </c>
      <c r="P34" s="154">
        <f t="shared" si="10"/>
        <v>265400.32138063951</v>
      </c>
      <c r="Q34" s="184">
        <f t="shared" si="9"/>
        <v>1.0755345778503102E-2</v>
      </c>
      <c r="S34" s="19"/>
      <c r="T34" s="19"/>
      <c r="U34" s="19"/>
      <c r="V34" s="19"/>
      <c r="W34" s="19"/>
      <c r="X34" s="19"/>
      <c r="Y34" s="19"/>
      <c r="Z34" s="19"/>
    </row>
    <row r="35" spans="1:26">
      <c r="A35" s="24" t="s">
        <v>31</v>
      </c>
      <c r="B35" s="23">
        <v>593222877</v>
      </c>
      <c r="C35" s="22">
        <v>116809127.09999999</v>
      </c>
      <c r="D35" s="166">
        <f t="shared" si="0"/>
        <v>0.19690597181740177</v>
      </c>
      <c r="E35" s="27">
        <f t="shared" si="1"/>
        <v>1.2526364288823786E-2</v>
      </c>
      <c r="F35" s="56">
        <v>99086847.890000001</v>
      </c>
      <c r="G35" s="153">
        <f t="shared" si="2"/>
        <v>0.1788560196169946</v>
      </c>
      <c r="H35" s="26">
        <f t="shared" si="3"/>
        <v>0.1788560196169946</v>
      </c>
      <c r="I35" s="20">
        <f t="shared" si="4"/>
        <v>1.7168024589749274E-2</v>
      </c>
      <c r="J35" s="25">
        <f t="shared" si="5"/>
        <v>4.8519476562907254E-2</v>
      </c>
      <c r="L35" s="24" t="s">
        <v>31</v>
      </c>
      <c r="M35" s="23">
        <f t="shared" si="6"/>
        <v>154551.1030723688</v>
      </c>
      <c r="N35" s="22">
        <f t="shared" si="7"/>
        <v>127092.12713636229</v>
      </c>
      <c r="O35" s="21">
        <f t="shared" si="8"/>
        <v>239454.59194354585</v>
      </c>
      <c r="P35" s="154">
        <f t="shared" si="10"/>
        <v>521097.82215227693</v>
      </c>
      <c r="Q35" s="184">
        <f t="shared" si="9"/>
        <v>2.1117484833918128E-2</v>
      </c>
      <c r="S35" s="19"/>
      <c r="T35" s="19"/>
      <c r="U35" s="19"/>
      <c r="V35" s="19"/>
      <c r="W35" s="19"/>
      <c r="X35" s="19"/>
      <c r="Y35" s="19"/>
      <c r="Z35" s="19"/>
    </row>
    <row r="36" spans="1:26">
      <c r="A36" s="24" t="s">
        <v>32</v>
      </c>
      <c r="B36" s="23">
        <v>3907034</v>
      </c>
      <c r="C36" s="22">
        <v>1176027</v>
      </c>
      <c r="D36" s="166">
        <f t="shared" si="0"/>
        <v>0.3010024995943214</v>
      </c>
      <c r="E36" s="27">
        <f t="shared" si="1"/>
        <v>1.914856582034748E-2</v>
      </c>
      <c r="F36" s="56">
        <v>1194083</v>
      </c>
      <c r="G36" s="153">
        <f t="shared" si="2"/>
        <v>-1.5121226916386843E-2</v>
      </c>
      <c r="H36" s="26">
        <f t="shared" si="3"/>
        <v>0</v>
      </c>
      <c r="I36" s="20">
        <f t="shared" si="4"/>
        <v>0</v>
      </c>
      <c r="J36" s="25">
        <f t="shared" si="5"/>
        <v>4.884910612763763E-4</v>
      </c>
      <c r="L36" s="24" t="s">
        <v>32</v>
      </c>
      <c r="M36" s="23">
        <f t="shared" si="6"/>
        <v>236256.25932250844</v>
      </c>
      <c r="N36" s="22">
        <f t="shared" si="7"/>
        <v>0</v>
      </c>
      <c r="O36" s="21">
        <f t="shared" si="8"/>
        <v>2410.813884076978</v>
      </c>
      <c r="P36" s="154">
        <f t="shared" si="10"/>
        <v>238667.07320658542</v>
      </c>
      <c r="Q36" s="184">
        <f t="shared" si="9"/>
        <v>9.6719811224290162E-3</v>
      </c>
      <c r="S36" s="19"/>
      <c r="T36" s="19"/>
      <c r="U36" s="19"/>
      <c r="V36" s="19"/>
      <c r="W36" s="19"/>
      <c r="X36" s="19"/>
      <c r="Y36" s="19"/>
      <c r="Z36" s="19"/>
    </row>
    <row r="37" spans="1:26">
      <c r="A37" s="24" t="s">
        <v>33</v>
      </c>
      <c r="B37" s="23">
        <v>40511812</v>
      </c>
      <c r="C37" s="22">
        <v>12032960</v>
      </c>
      <c r="D37" s="166">
        <f t="shared" si="0"/>
        <v>0.2970234952709595</v>
      </c>
      <c r="E37" s="27">
        <f t="shared" si="1"/>
        <v>1.8895437602847523E-2</v>
      </c>
      <c r="F37" s="56">
        <v>10280239</v>
      </c>
      <c r="G37" s="153">
        <f t="shared" si="2"/>
        <v>0.17049418792695392</v>
      </c>
      <c r="H37" s="26">
        <f t="shared" si="3"/>
        <v>0.17049418792695392</v>
      </c>
      <c r="I37" s="20">
        <f t="shared" si="4"/>
        <v>1.6365389417741218E-2</v>
      </c>
      <c r="J37" s="25">
        <f t="shared" si="5"/>
        <v>4.998178953966351E-3</v>
      </c>
      <c r="L37" s="24" t="s">
        <v>33</v>
      </c>
      <c r="M37" s="23">
        <f t="shared" si="6"/>
        <v>233133.14679509573</v>
      </c>
      <c r="N37" s="22">
        <f t="shared" si="7"/>
        <v>121150.34794145881</v>
      </c>
      <c r="O37" s="21">
        <f t="shared" si="8"/>
        <v>24667.14372590333</v>
      </c>
      <c r="P37" s="154">
        <f t="shared" si="10"/>
        <v>378950.63846245792</v>
      </c>
      <c r="Q37" s="184">
        <f t="shared" si="9"/>
        <v>1.5356971417539399E-2</v>
      </c>
      <c r="S37" s="19"/>
      <c r="T37" s="19"/>
      <c r="U37" s="19"/>
      <c r="V37" s="19"/>
      <c r="W37" s="19"/>
      <c r="X37" s="19"/>
      <c r="Y37" s="19"/>
      <c r="Z37" s="19"/>
    </row>
    <row r="38" spans="1:26">
      <c r="A38" s="24" t="s">
        <v>34</v>
      </c>
      <c r="B38" s="23">
        <v>2187206</v>
      </c>
      <c r="C38" s="22">
        <v>947940</v>
      </c>
      <c r="D38" s="166">
        <f t="shared" si="0"/>
        <v>0.43340224926230086</v>
      </c>
      <c r="E38" s="27">
        <f t="shared" si="1"/>
        <v>2.7571304251196922E-2</v>
      </c>
      <c r="F38" s="56">
        <v>940947</v>
      </c>
      <c r="G38" s="153">
        <f t="shared" si="2"/>
        <v>7.4318744838977047E-3</v>
      </c>
      <c r="H38" s="26">
        <f t="shared" si="3"/>
        <v>7.4318744838977047E-3</v>
      </c>
      <c r="I38" s="20">
        <f t="shared" si="4"/>
        <v>7.1337047621159604E-4</v>
      </c>
      <c r="J38" s="25">
        <f t="shared" si="5"/>
        <v>3.9374964743694508E-4</v>
      </c>
      <c r="L38" s="24" t="s">
        <v>34</v>
      </c>
      <c r="M38" s="23">
        <f t="shared" si="6"/>
        <v>340176.55777169607</v>
      </c>
      <c r="N38" s="22">
        <f t="shared" si="7"/>
        <v>5280.966996758918</v>
      </c>
      <c r="O38" s="21">
        <f t="shared" si="8"/>
        <v>1943.2435762715743</v>
      </c>
      <c r="P38" s="154">
        <f t="shared" si="10"/>
        <v>347400.76834472659</v>
      </c>
      <c r="Q38" s="184">
        <f t="shared" si="9"/>
        <v>1.407841319794933E-2</v>
      </c>
      <c r="S38" s="19"/>
      <c r="T38" s="19"/>
      <c r="U38" s="19"/>
      <c r="V38" s="19"/>
      <c r="W38" s="19"/>
      <c r="X38" s="19"/>
      <c r="Y38" s="19"/>
      <c r="Z38" s="19"/>
    </row>
    <row r="39" spans="1:26">
      <c r="A39" s="24" t="s">
        <v>35</v>
      </c>
      <c r="B39" s="23">
        <v>769899</v>
      </c>
      <c r="C39" s="22">
        <v>296637</v>
      </c>
      <c r="D39" s="166">
        <f t="shared" si="0"/>
        <v>0.38529339562721865</v>
      </c>
      <c r="E39" s="27">
        <f t="shared" si="1"/>
        <v>2.4510812887788277E-2</v>
      </c>
      <c r="F39" s="56">
        <v>301669</v>
      </c>
      <c r="G39" s="153">
        <f t="shared" si="2"/>
        <v>-1.6680533962720734E-2</v>
      </c>
      <c r="H39" s="26">
        <f t="shared" si="3"/>
        <v>0</v>
      </c>
      <c r="I39" s="20">
        <f t="shared" si="4"/>
        <v>0</v>
      </c>
      <c r="J39" s="25">
        <f t="shared" si="5"/>
        <v>1.2321530283219726E-4</v>
      </c>
      <c r="L39" s="24" t="s">
        <v>35</v>
      </c>
      <c r="M39" s="23">
        <f t="shared" si="6"/>
        <v>302416.0148677759</v>
      </c>
      <c r="N39" s="22">
        <f t="shared" si="7"/>
        <v>0</v>
      </c>
      <c r="O39" s="21">
        <f t="shared" si="8"/>
        <v>608.09539077839418</v>
      </c>
      <c r="P39" s="154">
        <f t="shared" si="10"/>
        <v>303024.11025855428</v>
      </c>
      <c r="Q39" s="184">
        <f t="shared" si="9"/>
        <v>1.2280049504460577E-2</v>
      </c>
      <c r="S39" s="19"/>
      <c r="T39" s="19"/>
      <c r="U39" s="19"/>
      <c r="V39" s="19"/>
      <c r="W39" s="19"/>
      <c r="X39" s="19"/>
      <c r="Y39" s="19"/>
      <c r="Z39" s="19"/>
    </row>
    <row r="40" spans="1:26">
      <c r="A40" s="24" t="s">
        <v>36</v>
      </c>
      <c r="B40" s="23">
        <v>847487</v>
      </c>
      <c r="C40" s="22">
        <v>101056</v>
      </c>
      <c r="D40" s="166">
        <f t="shared" si="0"/>
        <v>0.11924194707411441</v>
      </c>
      <c r="E40" s="27">
        <f t="shared" si="1"/>
        <v>7.5856920629311158E-3</v>
      </c>
      <c r="F40" s="56">
        <v>64774</v>
      </c>
      <c r="G40" s="153">
        <f t="shared" si="2"/>
        <v>0.56013215178929809</v>
      </c>
      <c r="H40" s="26">
        <f t="shared" si="3"/>
        <v>0.56013215178929809</v>
      </c>
      <c r="I40" s="20">
        <f t="shared" si="4"/>
        <v>5.3765942997168838E-2</v>
      </c>
      <c r="J40" s="25">
        <f t="shared" si="5"/>
        <v>4.1976036849787876E-5</v>
      </c>
      <c r="L40" s="24" t="s">
        <v>36</v>
      </c>
      <c r="M40" s="23">
        <f t="shared" si="6"/>
        <v>93592.765535274229</v>
      </c>
      <c r="N40" s="22">
        <f t="shared" si="7"/>
        <v>398020.63582100125</v>
      </c>
      <c r="O40" s="21">
        <f t="shared" si="8"/>
        <v>207.1612368332386</v>
      </c>
      <c r="P40" s="154">
        <f t="shared" si="10"/>
        <v>491820.56259310874</v>
      </c>
      <c r="Q40" s="184">
        <f t="shared" si="9"/>
        <v>1.9931024137986166E-2</v>
      </c>
      <c r="S40" s="19"/>
      <c r="T40" s="19"/>
      <c r="U40" s="19"/>
      <c r="V40" s="19"/>
      <c r="W40" s="19"/>
      <c r="X40" s="19"/>
      <c r="Y40" s="19"/>
      <c r="Z40" s="19"/>
    </row>
    <row r="41" spans="1:26">
      <c r="A41" s="24" t="s">
        <v>37</v>
      </c>
      <c r="B41" s="23">
        <v>4772320</v>
      </c>
      <c r="C41" s="22">
        <v>933845.6</v>
      </c>
      <c r="D41" s="166">
        <f t="shared" si="0"/>
        <v>0.19567958561035304</v>
      </c>
      <c r="E41" s="27">
        <f t="shared" si="1"/>
        <v>1.2448346541335014E-2</v>
      </c>
      <c r="F41" s="56">
        <v>1105076</v>
      </c>
      <c r="G41" s="153">
        <f t="shared" si="2"/>
        <v>-0.15494898088457265</v>
      </c>
      <c r="H41" s="26">
        <f t="shared" si="3"/>
        <v>0</v>
      </c>
      <c r="I41" s="20">
        <f t="shared" si="4"/>
        <v>0</v>
      </c>
      <c r="J41" s="25">
        <f t="shared" si="5"/>
        <v>3.8789519986554254E-4</v>
      </c>
      <c r="L41" s="24" t="s">
        <v>37</v>
      </c>
      <c r="M41" s="23">
        <f t="shared" si="6"/>
        <v>153588.51499368987</v>
      </c>
      <c r="N41" s="22">
        <f t="shared" si="7"/>
        <v>0</v>
      </c>
      <c r="O41" s="21">
        <f t="shared" si="8"/>
        <v>1914.3505532306622</v>
      </c>
      <c r="P41" s="154">
        <f t="shared" si="10"/>
        <v>155502.86554692054</v>
      </c>
      <c r="Q41" s="184">
        <f t="shared" si="9"/>
        <v>6.3017523106406164E-3</v>
      </c>
      <c r="S41" s="19"/>
      <c r="T41" s="19"/>
      <c r="U41" s="19"/>
      <c r="V41" s="19"/>
      <c r="W41" s="19"/>
      <c r="X41" s="19"/>
      <c r="Y41" s="19"/>
      <c r="Z41" s="19"/>
    </row>
    <row r="42" spans="1:26">
      <c r="A42" s="24" t="s">
        <v>38</v>
      </c>
      <c r="B42" s="23">
        <v>62554222</v>
      </c>
      <c r="C42" s="22">
        <v>20840679</v>
      </c>
      <c r="D42" s="166">
        <f t="shared" si="0"/>
        <v>0.33316182878911033</v>
      </c>
      <c r="E42" s="27">
        <f t="shared" si="1"/>
        <v>2.1194412724126001E-2</v>
      </c>
      <c r="F42" s="56">
        <v>16891683.199999999</v>
      </c>
      <c r="G42" s="153">
        <f t="shared" si="2"/>
        <v>0.23378343965153214</v>
      </c>
      <c r="H42" s="26">
        <f t="shared" si="3"/>
        <v>0.23378343965153214</v>
      </c>
      <c r="I42" s="20">
        <f t="shared" si="4"/>
        <v>2.2440395627770664E-2</v>
      </c>
      <c r="J42" s="25">
        <f t="shared" si="5"/>
        <v>8.6566765919747508E-3</v>
      </c>
      <c r="L42" s="24" t="s">
        <v>38</v>
      </c>
      <c r="M42" s="23">
        <f t="shared" si="6"/>
        <v>261498.05242430003</v>
      </c>
      <c r="N42" s="22">
        <f t="shared" si="7"/>
        <v>166122.64266080884</v>
      </c>
      <c r="O42" s="21">
        <f t="shared" si="8"/>
        <v>42722.657121640499</v>
      </c>
      <c r="P42" s="154">
        <f t="shared" si="10"/>
        <v>470343.35220674938</v>
      </c>
      <c r="Q42" s="184">
        <f t="shared" si="9"/>
        <v>1.9060660368789149E-2</v>
      </c>
      <c r="S42" s="19"/>
      <c r="T42" s="19"/>
      <c r="U42" s="19"/>
      <c r="V42" s="19"/>
      <c r="W42" s="19"/>
      <c r="X42" s="19"/>
      <c r="Y42" s="19"/>
      <c r="Z42" s="19"/>
    </row>
    <row r="43" spans="1:26">
      <c r="A43" s="24" t="s">
        <v>39</v>
      </c>
      <c r="B43" s="23"/>
      <c r="C43" s="22" t="s">
        <v>154</v>
      </c>
      <c r="D43" s="166">
        <f t="shared" si="0"/>
        <v>0</v>
      </c>
      <c r="E43" s="27">
        <f t="shared" si="1"/>
        <v>0</v>
      </c>
      <c r="F43" s="56"/>
      <c r="G43" s="153">
        <f t="shared" si="2"/>
        <v>0</v>
      </c>
      <c r="H43" s="26">
        <f t="shared" si="3"/>
        <v>0</v>
      </c>
      <c r="I43" s="20">
        <f t="shared" si="4"/>
        <v>0</v>
      </c>
      <c r="J43" s="25">
        <f t="shared" si="5"/>
        <v>0</v>
      </c>
      <c r="L43" s="24" t="s">
        <v>39</v>
      </c>
      <c r="M43" s="23">
        <f t="shared" si="6"/>
        <v>0</v>
      </c>
      <c r="N43" s="22">
        <f t="shared" si="7"/>
        <v>0</v>
      </c>
      <c r="O43" s="21">
        <f t="shared" si="8"/>
        <v>0</v>
      </c>
      <c r="P43" s="154">
        <f t="shared" si="10"/>
        <v>0</v>
      </c>
      <c r="Q43" s="184">
        <f t="shared" si="9"/>
        <v>0</v>
      </c>
      <c r="S43" s="19"/>
      <c r="T43" s="19"/>
      <c r="U43" s="19"/>
      <c r="V43" s="19"/>
      <c r="W43" s="19"/>
      <c r="X43" s="19"/>
      <c r="Y43" s="19"/>
      <c r="Z43" s="19"/>
    </row>
    <row r="44" spans="1:26">
      <c r="A44" s="24" t="s">
        <v>40</v>
      </c>
      <c r="B44" s="23">
        <v>1399134</v>
      </c>
      <c r="C44" s="22">
        <v>378540</v>
      </c>
      <c r="D44" s="166">
        <f t="shared" si="0"/>
        <v>0.27055307068515239</v>
      </c>
      <c r="E44" s="27">
        <f t="shared" si="1"/>
        <v>1.7211495880911622E-2</v>
      </c>
      <c r="F44" s="56">
        <v>451420</v>
      </c>
      <c r="G44" s="153">
        <f t="shared" si="2"/>
        <v>-0.1614461034070267</v>
      </c>
      <c r="H44" s="26">
        <f t="shared" si="3"/>
        <v>0</v>
      </c>
      <c r="I44" s="20">
        <f t="shared" si="4"/>
        <v>0</v>
      </c>
      <c r="J44" s="25">
        <f t="shared" si="5"/>
        <v>1.5723568109878388E-4</v>
      </c>
      <c r="L44" s="24" t="s">
        <v>40</v>
      </c>
      <c r="M44" s="23">
        <f t="shared" si="6"/>
        <v>212356.56353166778</v>
      </c>
      <c r="N44" s="22">
        <f t="shared" si="7"/>
        <v>0</v>
      </c>
      <c r="O44" s="21">
        <f t="shared" si="8"/>
        <v>775.993652933563</v>
      </c>
      <c r="P44" s="154">
        <f t="shared" si="10"/>
        <v>213132.55718460135</v>
      </c>
      <c r="Q44" s="184">
        <f t="shared" si="9"/>
        <v>8.6371950766755672E-3</v>
      </c>
      <c r="S44" s="19"/>
      <c r="T44" s="19"/>
      <c r="U44" s="19"/>
      <c r="V44" s="19"/>
      <c r="W44" s="19"/>
      <c r="X44" s="19"/>
      <c r="Y44" s="19"/>
      <c r="Z44" s="19"/>
    </row>
    <row r="45" spans="1:26">
      <c r="A45" s="24" t="s">
        <v>41</v>
      </c>
      <c r="B45" s="23">
        <v>110604359</v>
      </c>
      <c r="C45" s="22">
        <v>21534368.5</v>
      </c>
      <c r="D45" s="166">
        <f t="shared" si="0"/>
        <v>0.19469728584566906</v>
      </c>
      <c r="E45" s="27">
        <f t="shared" si="1"/>
        <v>1.2385856589508321E-2</v>
      </c>
      <c r="F45" s="56">
        <v>17252658</v>
      </c>
      <c r="G45" s="153">
        <f t="shared" si="2"/>
        <v>0.2481768606321415</v>
      </c>
      <c r="H45" s="26">
        <f t="shared" si="3"/>
        <v>0.2481768606321415</v>
      </c>
      <c r="I45" s="20">
        <f t="shared" si="4"/>
        <v>2.3821990755823232E-2</v>
      </c>
      <c r="J45" s="25">
        <f t="shared" si="5"/>
        <v>8.9448171874298536E-3</v>
      </c>
      <c r="L45" s="24" t="s">
        <v>41</v>
      </c>
      <c r="M45" s="23">
        <f t="shared" si="6"/>
        <v>152817.50987496029</v>
      </c>
      <c r="N45" s="22">
        <f t="shared" si="7"/>
        <v>176350.36937144492</v>
      </c>
      <c r="O45" s="21">
        <f t="shared" si="8"/>
        <v>44144.696137614126</v>
      </c>
      <c r="P45" s="154">
        <f t="shared" si="10"/>
        <v>373312.57538401935</v>
      </c>
      <c r="Q45" s="184">
        <f t="shared" si="9"/>
        <v>1.5128488958987102E-2</v>
      </c>
      <c r="S45" s="19"/>
      <c r="T45" s="19"/>
      <c r="U45" s="19"/>
      <c r="V45" s="19"/>
      <c r="W45" s="19"/>
      <c r="X45" s="19"/>
      <c r="Y45" s="19"/>
      <c r="Z45" s="19"/>
    </row>
    <row r="46" spans="1:26">
      <c r="A46" s="24" t="s">
        <v>42</v>
      </c>
      <c r="B46" s="23">
        <v>8051951</v>
      </c>
      <c r="C46" s="22">
        <v>1244367</v>
      </c>
      <c r="D46" s="166">
        <f t="shared" si="0"/>
        <v>0.15454229664338495</v>
      </c>
      <c r="E46" s="27">
        <f t="shared" si="1"/>
        <v>9.8313580229130778E-3</v>
      </c>
      <c r="F46" s="56">
        <v>1075933</v>
      </c>
      <c r="G46" s="153">
        <f t="shared" si="2"/>
        <v>0.15654692253142155</v>
      </c>
      <c r="H46" s="26">
        <f t="shared" si="3"/>
        <v>0.15654692253142155</v>
      </c>
      <c r="I46" s="20">
        <f t="shared" si="4"/>
        <v>1.5026619854474546E-2</v>
      </c>
      <c r="J46" s="25">
        <f t="shared" si="5"/>
        <v>5.1687772172518201E-4</v>
      </c>
      <c r="L46" s="24" t="s">
        <v>42</v>
      </c>
      <c r="M46" s="23">
        <f t="shared" si="6"/>
        <v>121299.93924065205</v>
      </c>
      <c r="N46" s="22">
        <f t="shared" si="7"/>
        <v>111239.65200486445</v>
      </c>
      <c r="O46" s="21">
        <f t="shared" si="8"/>
        <v>2550.9084744544275</v>
      </c>
      <c r="P46" s="154">
        <f t="shared" si="10"/>
        <v>235090.49971997092</v>
      </c>
      <c r="Q46" s="184">
        <f t="shared" si="9"/>
        <v>9.5270405121439389E-3</v>
      </c>
      <c r="S46" s="19"/>
      <c r="T46" s="19"/>
      <c r="U46" s="19"/>
      <c r="V46" s="19"/>
      <c r="W46" s="19"/>
      <c r="X46" s="19"/>
      <c r="Y46" s="19"/>
      <c r="Z46" s="19"/>
    </row>
    <row r="47" spans="1:26">
      <c r="A47" s="24" t="s">
        <v>43</v>
      </c>
      <c r="B47" s="23">
        <v>1112166</v>
      </c>
      <c r="C47" s="22">
        <v>290271</v>
      </c>
      <c r="D47" s="166">
        <f t="shared" si="0"/>
        <v>0.26099611029288794</v>
      </c>
      <c r="E47" s="27">
        <f t="shared" si="1"/>
        <v>1.6603520580505904E-2</v>
      </c>
      <c r="F47" s="56">
        <v>222448</v>
      </c>
      <c r="G47" s="153">
        <f t="shared" si="2"/>
        <v>0.30489372797238001</v>
      </c>
      <c r="H47" s="26">
        <f t="shared" si="3"/>
        <v>0.30489372797238001</v>
      </c>
      <c r="I47" s="20">
        <f t="shared" si="4"/>
        <v>2.9266127191576952E-2</v>
      </c>
      <c r="J47" s="25">
        <f t="shared" si="5"/>
        <v>1.2057103182814259E-4</v>
      </c>
      <c r="L47" s="24" t="s">
        <v>43</v>
      </c>
      <c r="M47" s="23">
        <f t="shared" si="6"/>
        <v>204855.32445287987</v>
      </c>
      <c r="N47" s="22">
        <f t="shared" si="7"/>
        <v>216652.43653260448</v>
      </c>
      <c r="O47" s="21">
        <f t="shared" si="8"/>
        <v>595.04531523928324</v>
      </c>
      <c r="P47" s="154">
        <f t="shared" si="10"/>
        <v>422102.80630072363</v>
      </c>
      <c r="Q47" s="184">
        <f t="shared" si="9"/>
        <v>1.7105712654091665E-2</v>
      </c>
      <c r="S47" s="19"/>
      <c r="T47" s="19"/>
      <c r="U47" s="19"/>
      <c r="V47" s="19"/>
      <c r="W47" s="19"/>
      <c r="X47" s="19"/>
      <c r="Y47" s="19"/>
      <c r="Z47" s="19"/>
    </row>
    <row r="48" spans="1:26">
      <c r="A48" s="24" t="s">
        <v>44</v>
      </c>
      <c r="B48" s="23">
        <v>18582885</v>
      </c>
      <c r="C48" s="22">
        <v>7908079.6500000004</v>
      </c>
      <c r="D48" s="166">
        <f t="shared" si="0"/>
        <v>0.42555715380039216</v>
      </c>
      <c r="E48" s="27">
        <f t="shared" si="1"/>
        <v>2.7072230897913371E-2</v>
      </c>
      <c r="F48" s="56">
        <v>7881801</v>
      </c>
      <c r="G48" s="153">
        <f t="shared" si="2"/>
        <v>3.3340920431765841E-3</v>
      </c>
      <c r="H48" s="26">
        <f t="shared" si="3"/>
        <v>3.3340920431765841E-3</v>
      </c>
      <c r="I48" s="20">
        <f t="shared" si="4"/>
        <v>3.2003269615592055E-4</v>
      </c>
      <c r="J48" s="25">
        <f t="shared" si="5"/>
        <v>3.2848108256754438E-3</v>
      </c>
      <c r="L48" s="24" t="s">
        <v>44</v>
      </c>
      <c r="M48" s="23">
        <f t="shared" si="6"/>
        <v>334018.958049579</v>
      </c>
      <c r="N48" s="22">
        <f t="shared" si="7"/>
        <v>2369.1506203880076</v>
      </c>
      <c r="O48" s="21">
        <f t="shared" si="8"/>
        <v>16211.284448917084</v>
      </c>
      <c r="P48" s="154">
        <f t="shared" si="10"/>
        <v>352599.39311888407</v>
      </c>
      <c r="Q48" s="184">
        <f t="shared" si="9"/>
        <v>1.4289087422938549E-2</v>
      </c>
      <c r="S48" s="19"/>
      <c r="T48" s="19"/>
      <c r="U48" s="19"/>
      <c r="V48" s="19"/>
      <c r="W48" s="19"/>
      <c r="X48" s="19"/>
      <c r="Y48" s="19"/>
      <c r="Z48" s="19"/>
    </row>
    <row r="49" spans="1:26">
      <c r="A49" s="24" t="s">
        <v>45</v>
      </c>
      <c r="B49" s="23">
        <v>126915948</v>
      </c>
      <c r="C49" s="22">
        <v>23883804.280000001</v>
      </c>
      <c r="D49" s="166">
        <f t="shared" si="0"/>
        <v>0.18818599755485418</v>
      </c>
      <c r="E49" s="27">
        <f t="shared" si="1"/>
        <v>1.1971634672481163E-2</v>
      </c>
      <c r="F49" s="56">
        <v>19038713.890000001</v>
      </c>
      <c r="G49" s="153">
        <f t="shared" si="2"/>
        <v>0.25448622307123703</v>
      </c>
      <c r="H49" s="26">
        <f t="shared" si="3"/>
        <v>0.25448622307123703</v>
      </c>
      <c r="I49" s="20">
        <f t="shared" si="4"/>
        <v>2.442761358994416E-2</v>
      </c>
      <c r="J49" s="25">
        <f t="shared" si="5"/>
        <v>9.9207117694189509E-3</v>
      </c>
      <c r="L49" s="24" t="s">
        <v>45</v>
      </c>
      <c r="M49" s="23">
        <f t="shared" si="6"/>
        <v>147706.81273114364</v>
      </c>
      <c r="N49" s="22">
        <f t="shared" si="7"/>
        <v>180833.69788885271</v>
      </c>
      <c r="O49" s="21">
        <f t="shared" si="8"/>
        <v>48960.956647084764</v>
      </c>
      <c r="P49" s="154">
        <f t="shared" si="10"/>
        <v>377501.46726708114</v>
      </c>
      <c r="Q49" s="184">
        <f t="shared" si="9"/>
        <v>1.529824376710762E-2</v>
      </c>
      <c r="S49" s="19"/>
      <c r="T49" s="19"/>
      <c r="U49" s="19"/>
      <c r="V49" s="19"/>
      <c r="W49" s="19"/>
      <c r="X49" s="19"/>
      <c r="Y49" s="19"/>
      <c r="Z49" s="19"/>
    </row>
    <row r="50" spans="1:26">
      <c r="A50" s="24" t="s">
        <v>46</v>
      </c>
      <c r="B50" s="23">
        <v>649205075</v>
      </c>
      <c r="C50" s="22">
        <v>330884619.5</v>
      </c>
      <c r="D50" s="166">
        <f t="shared" si="0"/>
        <v>0.50967657561826674</v>
      </c>
      <c r="E50" s="27">
        <f t="shared" si="1"/>
        <v>3.2423569466928807E-2</v>
      </c>
      <c r="F50" s="56">
        <v>306694612.58999997</v>
      </c>
      <c r="G50" s="153">
        <f t="shared" si="2"/>
        <v>7.8873269751034369E-2</v>
      </c>
      <c r="H50" s="26">
        <f t="shared" si="3"/>
        <v>7.8873269751034369E-2</v>
      </c>
      <c r="I50" s="20">
        <f t="shared" si="4"/>
        <v>7.5708843205801813E-3</v>
      </c>
      <c r="J50" s="25">
        <f t="shared" si="5"/>
        <v>0.13744087418025688</v>
      </c>
      <c r="L50" s="24" t="s">
        <v>46</v>
      </c>
      <c r="M50" s="23">
        <f t="shared" si="6"/>
        <v>400044.12382676773</v>
      </c>
      <c r="N50" s="22">
        <f t="shared" si="7"/>
        <v>56046.039984144765</v>
      </c>
      <c r="O50" s="21">
        <f t="shared" si="8"/>
        <v>678301.80320530734</v>
      </c>
      <c r="P50" s="154">
        <f t="shared" si="10"/>
        <v>1134391.9670162199</v>
      </c>
      <c r="Q50" s="184">
        <f t="shared" si="9"/>
        <v>4.5971224865689837E-2</v>
      </c>
      <c r="S50" s="19"/>
      <c r="T50" s="19"/>
      <c r="U50" s="19"/>
      <c r="V50" s="19"/>
      <c r="W50" s="19"/>
      <c r="X50" s="19"/>
      <c r="Y50" s="19"/>
      <c r="Z50" s="19"/>
    </row>
    <row r="51" spans="1:26">
      <c r="A51" s="24" t="s">
        <v>47</v>
      </c>
      <c r="B51" s="23">
        <v>1187612062</v>
      </c>
      <c r="C51" s="22">
        <v>722790593.90999997</v>
      </c>
      <c r="D51" s="166">
        <f t="shared" si="0"/>
        <v>0.60860833014173277</v>
      </c>
      <c r="E51" s="27">
        <f t="shared" si="1"/>
        <v>3.8717208940914051E-2</v>
      </c>
      <c r="F51" s="56">
        <v>671271036.40999997</v>
      </c>
      <c r="G51" s="153">
        <f t="shared" si="2"/>
        <v>7.6749263271554069E-2</v>
      </c>
      <c r="H51" s="26">
        <f t="shared" si="3"/>
        <v>7.6749263271554069E-2</v>
      </c>
      <c r="I51" s="20">
        <f t="shared" si="4"/>
        <v>7.3670052700087136E-3</v>
      </c>
      <c r="J51" s="25">
        <f t="shared" si="5"/>
        <v>0.30022843378568542</v>
      </c>
      <c r="L51" s="24" t="s">
        <v>47</v>
      </c>
      <c r="M51" s="23">
        <f t="shared" si="6"/>
        <v>477695.45989018318</v>
      </c>
      <c r="N51" s="22">
        <f t="shared" si="7"/>
        <v>54536.756136127617</v>
      </c>
      <c r="O51" s="21">
        <f t="shared" si="8"/>
        <v>1481695.23240408</v>
      </c>
      <c r="P51" s="154">
        <f t="shared" si="10"/>
        <v>2013927.4484303908</v>
      </c>
      <c r="Q51" s="184">
        <f t="shared" si="9"/>
        <v>8.1614392808596725E-2</v>
      </c>
      <c r="S51" s="19"/>
      <c r="T51" s="19"/>
      <c r="U51" s="19"/>
      <c r="V51" s="19"/>
      <c r="W51" s="19"/>
      <c r="X51" s="19"/>
      <c r="Y51" s="19"/>
      <c r="Z51" s="19"/>
    </row>
    <row r="52" spans="1:26">
      <c r="A52" s="24" t="s">
        <v>48</v>
      </c>
      <c r="B52" s="23">
        <v>308328957</v>
      </c>
      <c r="C52" s="22">
        <v>126817695.59999999</v>
      </c>
      <c r="D52" s="166">
        <f t="shared" si="0"/>
        <v>0.41130647226235062</v>
      </c>
      <c r="E52" s="27">
        <f t="shared" si="1"/>
        <v>2.61656599764633E-2</v>
      </c>
      <c r="F52" s="56">
        <v>112141719.38</v>
      </c>
      <c r="G52" s="153">
        <f t="shared" si="2"/>
        <v>0.13086990551901057</v>
      </c>
      <c r="H52" s="26">
        <f t="shared" si="3"/>
        <v>0.13086990551901057</v>
      </c>
      <c r="I52" s="20">
        <f t="shared" si="4"/>
        <v>1.2561935353474973E-2</v>
      </c>
      <c r="J52" s="25">
        <f t="shared" si="5"/>
        <v>5.2676775883775152E-2</v>
      </c>
      <c r="L52" s="24" t="s">
        <v>48</v>
      </c>
      <c r="M52" s="23">
        <f t="shared" si="6"/>
        <v>322833.62664033263</v>
      </c>
      <c r="N52" s="22">
        <f t="shared" si="7"/>
        <v>92993.988718763925</v>
      </c>
      <c r="O52" s="21">
        <f t="shared" si="8"/>
        <v>259971.8044731353</v>
      </c>
      <c r="P52" s="154">
        <f t="shared" si="10"/>
        <v>675799.41983223183</v>
      </c>
      <c r="Q52" s="184">
        <f t="shared" si="9"/>
        <v>2.7386765771029171E-2</v>
      </c>
      <c r="S52" s="19"/>
      <c r="T52" s="19"/>
      <c r="U52" s="19"/>
      <c r="V52" s="19"/>
      <c r="W52" s="19"/>
      <c r="X52" s="19"/>
      <c r="Y52" s="19"/>
      <c r="Z52" s="19"/>
    </row>
    <row r="53" spans="1:26">
      <c r="A53" s="24" t="s">
        <v>49</v>
      </c>
      <c r="B53" s="23">
        <v>208470911</v>
      </c>
      <c r="C53" s="22">
        <v>94615002.860000014</v>
      </c>
      <c r="D53" s="166">
        <f t="shared" si="0"/>
        <v>0.45385230201253363</v>
      </c>
      <c r="E53" s="27">
        <f t="shared" si="1"/>
        <v>2.8872254182327649E-2</v>
      </c>
      <c r="F53" s="56">
        <v>85362095.170000002</v>
      </c>
      <c r="G53" s="153">
        <f t="shared" si="2"/>
        <v>0.10839597682756841</v>
      </c>
      <c r="H53" s="26">
        <f t="shared" si="3"/>
        <v>0.10839597682756841</v>
      </c>
      <c r="I53" s="20">
        <f t="shared" si="4"/>
        <v>1.0404708768486778E-2</v>
      </c>
      <c r="J53" s="25">
        <f t="shared" si="5"/>
        <v>3.9300613982288492E-2</v>
      </c>
      <c r="L53" s="24" t="s">
        <v>49</v>
      </c>
      <c r="M53" s="23">
        <f t="shared" si="6"/>
        <v>356227.76323420746</v>
      </c>
      <c r="N53" s="22">
        <f t="shared" si="7"/>
        <v>77024.386976408525</v>
      </c>
      <c r="O53" s="21">
        <f t="shared" si="8"/>
        <v>193957.4198014765</v>
      </c>
      <c r="P53" s="154">
        <f t="shared" si="10"/>
        <v>627209.57001209247</v>
      </c>
      <c r="Q53" s="184">
        <f t="shared" si="9"/>
        <v>2.5417662518167555E-2</v>
      </c>
      <c r="S53" s="19"/>
      <c r="T53" s="19"/>
      <c r="U53" s="19"/>
      <c r="V53" s="19"/>
      <c r="W53" s="19"/>
      <c r="X53" s="19"/>
      <c r="Y53" s="19"/>
      <c r="Z53" s="19"/>
    </row>
    <row r="54" spans="1:26">
      <c r="A54" s="24" t="s">
        <v>50</v>
      </c>
      <c r="B54" s="23">
        <v>4538835</v>
      </c>
      <c r="C54" s="22">
        <v>1178778</v>
      </c>
      <c r="D54" s="166">
        <f t="shared" si="0"/>
        <v>0.25970937476246658</v>
      </c>
      <c r="E54" s="27">
        <f t="shared" si="1"/>
        <v>1.6521663652304772E-2</v>
      </c>
      <c r="F54" s="56">
        <v>1456869</v>
      </c>
      <c r="G54" s="153">
        <f t="shared" si="2"/>
        <v>-0.19088263941370154</v>
      </c>
      <c r="H54" s="26">
        <f t="shared" si="3"/>
        <v>0</v>
      </c>
      <c r="I54" s="20">
        <f t="shared" si="4"/>
        <v>0</v>
      </c>
      <c r="J54" s="25">
        <f t="shared" si="5"/>
        <v>4.8963375520225669E-4</v>
      </c>
      <c r="L54" s="24" t="s">
        <v>50</v>
      </c>
      <c r="M54" s="23">
        <f t="shared" si="6"/>
        <v>203845.3683111055</v>
      </c>
      <c r="N54" s="22">
        <f t="shared" si="7"/>
        <v>0</v>
      </c>
      <c r="O54" s="21">
        <f t="shared" si="8"/>
        <v>2416.4533370785634</v>
      </c>
      <c r="P54" s="154">
        <f t="shared" si="10"/>
        <v>206261.82164818406</v>
      </c>
      <c r="Q54" s="184">
        <f t="shared" si="9"/>
        <v>8.3587585771928378E-3</v>
      </c>
      <c r="S54" s="19"/>
      <c r="T54" s="19"/>
      <c r="U54" s="19"/>
      <c r="V54" s="19"/>
      <c r="W54" s="19"/>
      <c r="X54" s="19"/>
      <c r="Y54" s="19"/>
      <c r="Z54" s="19"/>
    </row>
    <row r="55" spans="1:26">
      <c r="A55" s="24" t="s">
        <v>51</v>
      </c>
      <c r="B55" s="23">
        <v>3120510</v>
      </c>
      <c r="C55" s="22">
        <v>668727</v>
      </c>
      <c r="D55" s="166">
        <f t="shared" si="0"/>
        <v>0.2143005470259669</v>
      </c>
      <c r="E55" s="27">
        <f t="shared" si="1"/>
        <v>1.3632937053990542E-2</v>
      </c>
      <c r="F55" s="56">
        <v>668168</v>
      </c>
      <c r="G55" s="153">
        <f t="shared" si="2"/>
        <v>8.3661594090100877E-4</v>
      </c>
      <c r="H55" s="26">
        <f t="shared" si="3"/>
        <v>8.3661594090100877E-4</v>
      </c>
      <c r="I55" s="20">
        <f t="shared" si="4"/>
        <v>8.0305058092660319E-5</v>
      </c>
      <c r="J55" s="25">
        <f t="shared" si="5"/>
        <v>2.7777182150934233E-4</v>
      </c>
      <c r="L55" s="24" t="s">
        <v>51</v>
      </c>
      <c r="M55" s="23">
        <f t="shared" si="6"/>
        <v>168204.07032951235</v>
      </c>
      <c r="N55" s="22">
        <f t="shared" si="7"/>
        <v>594.4854400371288</v>
      </c>
      <c r="O55" s="21">
        <f t="shared" si="8"/>
        <v>1370.86677113463</v>
      </c>
      <c r="P55" s="154">
        <f t="shared" si="10"/>
        <v>170169.42254068411</v>
      </c>
      <c r="Q55" s="184">
        <f t="shared" si="9"/>
        <v>6.8961144087249376E-3</v>
      </c>
      <c r="S55" s="19"/>
      <c r="T55" s="19"/>
      <c r="U55" s="19"/>
      <c r="V55" s="19"/>
      <c r="W55" s="19"/>
      <c r="X55" s="19"/>
      <c r="Y55" s="19"/>
      <c r="Z55" s="19"/>
    </row>
    <row r="56" spans="1:26" ht="13.5" thickBot="1">
      <c r="A56" s="167" t="s">
        <v>52</v>
      </c>
      <c r="B56" s="168">
        <f>SUM(B5:B55)</f>
        <v>5851281697</v>
      </c>
      <c r="C56" s="169">
        <f>SUM(C5:C55)</f>
        <v>2407468822.3100004</v>
      </c>
      <c r="D56" s="170">
        <f>SUM(D5:D55)</f>
        <v>15.719323442723464</v>
      </c>
      <c r="E56" s="171">
        <f>SUM(E5:E55)</f>
        <v>1.0000000000000004</v>
      </c>
      <c r="F56" s="172">
        <f>SUM(F5:F55)</f>
        <v>2184244772.5599999</v>
      </c>
      <c r="G56" s="173"/>
      <c r="H56" s="174">
        <f>SUM(H5:H55)</f>
        <v>10.417973173441654</v>
      </c>
      <c r="I56" s="175">
        <f>SUM(I5:I55)</f>
        <v>1</v>
      </c>
      <c r="J56" s="176">
        <f>SUM(J5:J55)</f>
        <v>0.99999999999999989</v>
      </c>
      <c r="L56" s="167" t="s">
        <v>52</v>
      </c>
      <c r="M56" s="177">
        <f>SUM(M5:M55)</f>
        <v>12338065.500000002</v>
      </c>
      <c r="N56" s="172">
        <f>SUM(N5:N55)</f>
        <v>7402839.3000000007</v>
      </c>
      <c r="O56" s="178">
        <f>SUM(O5:O55)</f>
        <v>4935226.2</v>
      </c>
      <c r="P56" s="179">
        <f>SUM(P5:P55)</f>
        <v>24676131</v>
      </c>
      <c r="Q56" s="185">
        <f>SUM(Q5:Q55)</f>
        <v>1.0000000000000004</v>
      </c>
      <c r="S56" s="19"/>
      <c r="T56" s="19"/>
      <c r="U56" s="19"/>
      <c r="V56" s="19"/>
      <c r="W56" s="19"/>
      <c r="X56" s="19"/>
      <c r="Y56" s="19"/>
      <c r="Z56" s="19"/>
    </row>
    <row r="57" spans="1:26" ht="13.5" thickTop="1"/>
    <row r="59" spans="1:26">
      <c r="L59" s="465" t="s">
        <v>128</v>
      </c>
      <c r="M59" s="465"/>
      <c r="N59" s="465"/>
      <c r="O59" s="465"/>
      <c r="P59" s="465"/>
      <c r="Q59" s="465"/>
    </row>
    <row r="60" spans="1:26">
      <c r="L60" s="465"/>
      <c r="M60" s="465"/>
      <c r="N60" s="465"/>
      <c r="O60" s="465"/>
      <c r="P60" s="465"/>
      <c r="Q60" s="465"/>
    </row>
    <row r="61" spans="1:26">
      <c r="L61" s="465"/>
      <c r="M61" s="465"/>
      <c r="N61" s="465"/>
      <c r="O61" s="465"/>
      <c r="P61" s="465"/>
      <c r="Q61" s="465"/>
    </row>
    <row r="62" spans="1:26">
      <c r="L62" s="465"/>
      <c r="M62" s="465"/>
      <c r="N62" s="465"/>
      <c r="O62" s="465"/>
      <c r="P62" s="465"/>
      <c r="Q62" s="465"/>
    </row>
    <row r="63" spans="1:26">
      <c r="L63" s="465"/>
      <c r="M63" s="465"/>
      <c r="N63" s="465"/>
      <c r="O63" s="465"/>
      <c r="P63" s="465"/>
      <c r="Q63" s="465"/>
    </row>
    <row r="64" spans="1:26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</row>
    <row r="65" spans="1:2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</row>
    <row r="66" spans="1:22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</row>
    <row r="67" spans="1:2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</row>
    <row r="68" spans="1:22">
      <c r="A68" s="76"/>
      <c r="B68" s="460"/>
      <c r="C68" s="460"/>
      <c r="D68" s="460"/>
      <c r="E68" s="460"/>
      <c r="F68" s="460"/>
      <c r="G68" s="460"/>
      <c r="H68" s="460"/>
      <c r="I68" s="460"/>
      <c r="J68" s="77"/>
      <c r="K68" s="75"/>
      <c r="L68" s="461"/>
      <c r="M68" s="461"/>
      <c r="N68" s="461"/>
      <c r="O68" s="461"/>
      <c r="P68" s="461"/>
      <c r="Q68" s="461"/>
      <c r="R68" s="75"/>
      <c r="S68" s="75"/>
      <c r="T68" s="75"/>
      <c r="U68" s="75"/>
      <c r="V68" s="75"/>
    </row>
    <row r="69" spans="1:22">
      <c r="A69" s="163"/>
      <c r="B69" s="77"/>
      <c r="C69" s="77"/>
      <c r="D69" s="77"/>
      <c r="E69" s="77"/>
      <c r="F69" s="77"/>
      <c r="G69" s="77"/>
      <c r="H69" s="77"/>
      <c r="I69" s="77"/>
      <c r="J69" s="77"/>
      <c r="K69" s="75"/>
      <c r="L69" s="163"/>
      <c r="M69" s="77"/>
      <c r="N69" s="77"/>
      <c r="O69" s="77"/>
      <c r="P69" s="77"/>
      <c r="Q69" s="77"/>
      <c r="R69" s="75"/>
      <c r="S69" s="75"/>
      <c r="T69" s="75"/>
      <c r="U69" s="75"/>
      <c r="V69" s="75"/>
    </row>
    <row r="70" spans="1:22">
      <c r="A70" s="76"/>
      <c r="B70" s="78"/>
      <c r="C70" s="78"/>
      <c r="D70" s="78"/>
      <c r="E70" s="78"/>
      <c r="F70" s="78"/>
      <c r="G70" s="78"/>
      <c r="H70" s="78"/>
      <c r="I70" s="78"/>
      <c r="J70" s="78"/>
      <c r="K70" s="75"/>
      <c r="L70" s="75"/>
      <c r="M70" s="79"/>
      <c r="N70" s="79"/>
      <c r="O70" s="79"/>
      <c r="P70" s="79"/>
      <c r="Q70" s="75"/>
      <c r="R70" s="75"/>
      <c r="S70" s="75"/>
      <c r="T70" s="75"/>
      <c r="U70" s="75"/>
      <c r="V70" s="75"/>
    </row>
    <row r="71" spans="1:22">
      <c r="A71" s="76"/>
      <c r="B71" s="460"/>
      <c r="C71" s="460"/>
      <c r="D71" s="460"/>
      <c r="E71" s="460"/>
      <c r="F71" s="460"/>
      <c r="G71" s="460"/>
      <c r="H71" s="460"/>
      <c r="I71" s="460"/>
      <c r="J71" s="77"/>
      <c r="K71" s="75"/>
      <c r="L71" s="461"/>
      <c r="M71" s="461"/>
      <c r="N71" s="461"/>
      <c r="O71" s="461"/>
      <c r="P71" s="461"/>
      <c r="Q71" s="461"/>
      <c r="R71" s="75"/>
      <c r="S71" s="75"/>
      <c r="T71" s="75"/>
      <c r="U71" s="75"/>
      <c r="V71" s="75"/>
    </row>
    <row r="72" spans="1:22">
      <c r="A72" s="385"/>
      <c r="B72" s="77"/>
      <c r="C72" s="77"/>
      <c r="D72" s="77"/>
      <c r="E72" s="77"/>
      <c r="F72" s="77"/>
      <c r="G72" s="77"/>
      <c r="H72" s="77"/>
      <c r="I72" s="77"/>
      <c r="J72" s="77"/>
      <c r="K72" s="75"/>
      <c r="L72" s="385"/>
      <c r="M72" s="77"/>
      <c r="N72" s="77"/>
      <c r="O72" s="77"/>
      <c r="P72" s="77"/>
      <c r="Q72" s="77"/>
      <c r="R72" s="75"/>
      <c r="S72" s="75"/>
      <c r="T72" s="75"/>
      <c r="U72" s="75"/>
      <c r="V72" s="75"/>
    </row>
    <row r="73" spans="1:22">
      <c r="A73" s="76"/>
      <c r="B73" s="78"/>
      <c r="C73" s="78"/>
      <c r="D73" s="78"/>
      <c r="E73" s="78"/>
      <c r="F73" s="78"/>
      <c r="G73" s="78"/>
      <c r="H73" s="78"/>
      <c r="I73" s="78"/>
      <c r="J73" s="78"/>
      <c r="K73" s="75"/>
      <c r="L73" s="75"/>
      <c r="M73" s="79"/>
      <c r="N73" s="79"/>
      <c r="O73" s="79"/>
      <c r="P73" s="79"/>
      <c r="Q73" s="75"/>
      <c r="R73" s="75"/>
      <c r="S73" s="75"/>
      <c r="T73" s="75"/>
      <c r="U73" s="75"/>
      <c r="V73" s="75"/>
    </row>
    <row r="74" spans="1:22">
      <c r="A74" s="75"/>
      <c r="B74" s="75"/>
      <c r="C74" s="75"/>
      <c r="D74" s="75"/>
      <c r="E74" s="75"/>
      <c r="F74" s="386"/>
      <c r="G74" s="76"/>
      <c r="H74" s="76"/>
      <c r="I74" s="76"/>
      <c r="J74" s="75"/>
      <c r="K74" s="75"/>
      <c r="L74" s="75"/>
      <c r="M74" s="387"/>
      <c r="N74" s="387"/>
      <c r="O74" s="387"/>
      <c r="P74" s="388"/>
      <c r="Q74" s="388"/>
      <c r="R74" s="75"/>
      <c r="S74" s="75"/>
      <c r="T74" s="75"/>
      <c r="U74" s="75"/>
      <c r="V74" s="75"/>
    </row>
    <row r="75" spans="1:22">
      <c r="A75" s="76"/>
      <c r="B75" s="22"/>
      <c r="C75" s="22"/>
      <c r="D75" s="166"/>
      <c r="E75" s="26"/>
      <c r="F75" s="56"/>
      <c r="G75" s="381"/>
      <c r="H75" s="380"/>
      <c r="I75" s="389"/>
      <c r="J75" s="390"/>
      <c r="K75" s="75"/>
      <c r="L75" s="76"/>
      <c r="M75" s="22"/>
      <c r="N75" s="22"/>
      <c r="O75" s="22"/>
      <c r="P75" s="391"/>
      <c r="Q75" s="392"/>
      <c r="R75" s="75"/>
      <c r="S75" s="75"/>
      <c r="T75" s="75"/>
      <c r="U75" s="75"/>
      <c r="V75" s="75"/>
    </row>
    <row r="76" spans="1:22">
      <c r="A76" s="76"/>
      <c r="B76" s="22"/>
      <c r="C76" s="22"/>
      <c r="D76" s="166"/>
      <c r="E76" s="26"/>
      <c r="F76" s="56"/>
      <c r="G76" s="381"/>
      <c r="H76" s="380"/>
      <c r="I76" s="389"/>
      <c r="J76" s="390"/>
      <c r="K76" s="75"/>
      <c r="L76" s="76"/>
      <c r="M76" s="22"/>
      <c r="N76" s="22"/>
      <c r="O76" s="22"/>
      <c r="P76" s="391"/>
      <c r="Q76" s="392"/>
      <c r="R76" s="75"/>
      <c r="S76" s="75"/>
      <c r="T76" s="75"/>
      <c r="U76" s="75"/>
      <c r="V76" s="75"/>
    </row>
    <row r="77" spans="1:22">
      <c r="A77" s="76"/>
      <c r="B77" s="22"/>
      <c r="C77" s="22"/>
      <c r="D77" s="166"/>
      <c r="E77" s="26"/>
      <c r="F77" s="56"/>
      <c r="G77" s="381"/>
      <c r="H77" s="380"/>
      <c r="I77" s="389"/>
      <c r="J77" s="390"/>
      <c r="K77" s="75"/>
      <c r="L77" s="76"/>
      <c r="M77" s="22"/>
      <c r="N77" s="22"/>
      <c r="O77" s="22"/>
      <c r="P77" s="391"/>
      <c r="Q77" s="392"/>
      <c r="R77" s="75"/>
      <c r="S77" s="75"/>
      <c r="T77" s="75"/>
      <c r="U77" s="75"/>
      <c r="V77" s="75"/>
    </row>
    <row r="78" spans="1:22">
      <c r="A78" s="76"/>
      <c r="B78" s="22"/>
      <c r="C78" s="22"/>
      <c r="D78" s="166"/>
      <c r="E78" s="26"/>
      <c r="F78" s="56"/>
      <c r="G78" s="381"/>
      <c r="H78" s="380"/>
      <c r="I78" s="389"/>
      <c r="J78" s="390"/>
      <c r="K78" s="75"/>
      <c r="L78" s="76"/>
      <c r="M78" s="22"/>
      <c r="N78" s="22"/>
      <c r="O78" s="22"/>
      <c r="P78" s="391"/>
      <c r="Q78" s="392"/>
      <c r="R78" s="75"/>
      <c r="S78" s="75"/>
      <c r="T78" s="75"/>
      <c r="U78" s="75"/>
      <c r="V78" s="75"/>
    </row>
    <row r="79" spans="1:22">
      <c r="A79" s="76"/>
      <c r="B79" s="22"/>
      <c r="C79" s="22"/>
      <c r="D79" s="166"/>
      <c r="E79" s="26"/>
      <c r="F79" s="56"/>
      <c r="G79" s="381"/>
      <c r="H79" s="380"/>
      <c r="I79" s="389"/>
      <c r="J79" s="390"/>
      <c r="K79" s="75"/>
      <c r="L79" s="76"/>
      <c r="M79" s="22"/>
      <c r="N79" s="22"/>
      <c r="O79" s="22"/>
      <c r="P79" s="391"/>
      <c r="Q79" s="392"/>
      <c r="R79" s="75"/>
      <c r="S79" s="75"/>
      <c r="T79" s="75"/>
      <c r="U79" s="75"/>
      <c r="V79" s="75"/>
    </row>
    <row r="80" spans="1:22">
      <c r="A80" s="76"/>
      <c r="B80" s="22"/>
      <c r="C80" s="22"/>
      <c r="D80" s="166"/>
      <c r="E80" s="26"/>
      <c r="F80" s="56"/>
      <c r="G80" s="381"/>
      <c r="H80" s="380"/>
      <c r="I80" s="389"/>
      <c r="J80" s="390"/>
      <c r="K80" s="75"/>
      <c r="L80" s="76"/>
      <c r="M80" s="22"/>
      <c r="N80" s="22"/>
      <c r="O80" s="22"/>
      <c r="P80" s="391"/>
      <c r="Q80" s="392"/>
      <c r="R80" s="75"/>
      <c r="S80" s="75"/>
      <c r="T80" s="75"/>
      <c r="U80" s="75"/>
      <c r="V80" s="75"/>
    </row>
    <row r="81" spans="1:22">
      <c r="A81" s="76"/>
      <c r="B81" s="378"/>
      <c r="C81" s="378"/>
      <c r="D81" s="166"/>
      <c r="E81" s="26"/>
      <c r="F81" s="379"/>
      <c r="G81" s="381"/>
      <c r="H81" s="380"/>
      <c r="I81" s="389"/>
      <c r="J81" s="390"/>
      <c r="K81" s="75"/>
      <c r="L81" s="76"/>
      <c r="M81" s="22"/>
      <c r="N81" s="22"/>
      <c r="O81" s="22"/>
      <c r="P81" s="391"/>
      <c r="Q81" s="392"/>
      <c r="R81" s="75"/>
      <c r="S81" s="75"/>
      <c r="T81" s="75"/>
      <c r="U81" s="75"/>
      <c r="V81" s="75"/>
    </row>
    <row r="82" spans="1:22">
      <c r="A82" s="76"/>
      <c r="B82" s="22"/>
      <c r="C82" s="22"/>
      <c r="D82" s="166"/>
      <c r="E82" s="26"/>
      <c r="F82" s="56"/>
      <c r="G82" s="381"/>
      <c r="H82" s="380"/>
      <c r="I82" s="389"/>
      <c r="J82" s="390"/>
      <c r="K82" s="75"/>
      <c r="L82" s="76"/>
      <c r="M82" s="22"/>
      <c r="N82" s="22"/>
      <c r="O82" s="22"/>
      <c r="P82" s="391"/>
      <c r="Q82" s="392"/>
      <c r="R82" s="75"/>
      <c r="S82" s="75"/>
      <c r="T82" s="75"/>
      <c r="U82" s="75"/>
      <c r="V82" s="75"/>
    </row>
    <row r="83" spans="1:22">
      <c r="A83" s="76"/>
      <c r="B83" s="22"/>
      <c r="C83" s="22"/>
      <c r="D83" s="166"/>
      <c r="E83" s="26"/>
      <c r="F83" s="56"/>
      <c r="G83" s="381"/>
      <c r="H83" s="380"/>
      <c r="I83" s="389"/>
      <c r="J83" s="390"/>
      <c r="K83" s="75"/>
      <c r="L83" s="76"/>
      <c r="M83" s="22"/>
      <c r="N83" s="22"/>
      <c r="O83" s="22"/>
      <c r="P83" s="391"/>
      <c r="Q83" s="392"/>
      <c r="R83" s="75"/>
      <c r="S83" s="75"/>
      <c r="T83" s="75"/>
      <c r="U83" s="75"/>
      <c r="V83" s="75"/>
    </row>
    <row r="84" spans="1:22">
      <c r="A84" s="76"/>
      <c r="B84" s="22"/>
      <c r="C84" s="22"/>
      <c r="D84" s="166"/>
      <c r="E84" s="26"/>
      <c r="F84" s="56"/>
      <c r="G84" s="381"/>
      <c r="H84" s="380"/>
      <c r="I84" s="389"/>
      <c r="J84" s="390"/>
      <c r="K84" s="75"/>
      <c r="L84" s="76"/>
      <c r="M84" s="22"/>
      <c r="N84" s="22"/>
      <c r="O84" s="22"/>
      <c r="P84" s="391"/>
      <c r="Q84" s="392"/>
      <c r="R84" s="75"/>
      <c r="S84" s="75"/>
      <c r="T84" s="75"/>
      <c r="U84" s="75"/>
      <c r="V84" s="75"/>
    </row>
    <row r="85" spans="1:22">
      <c r="A85" s="76"/>
      <c r="B85" s="22"/>
      <c r="C85" s="22"/>
      <c r="D85" s="166"/>
      <c r="E85" s="26"/>
      <c r="F85" s="56"/>
      <c r="G85" s="381"/>
      <c r="H85" s="380"/>
      <c r="I85" s="389"/>
      <c r="J85" s="390"/>
      <c r="K85" s="75"/>
      <c r="L85" s="76"/>
      <c r="M85" s="22"/>
      <c r="N85" s="22"/>
      <c r="O85" s="22"/>
      <c r="P85" s="391"/>
      <c r="Q85" s="392"/>
      <c r="R85" s="75"/>
      <c r="S85" s="75"/>
      <c r="T85" s="75"/>
      <c r="U85" s="75"/>
      <c r="V85" s="75"/>
    </row>
    <row r="86" spans="1:22">
      <c r="A86" s="76"/>
      <c r="B86" s="22"/>
      <c r="C86" s="22"/>
      <c r="D86" s="166"/>
      <c r="E86" s="26"/>
      <c r="F86" s="56"/>
      <c r="G86" s="381"/>
      <c r="H86" s="380"/>
      <c r="I86" s="389"/>
      <c r="J86" s="390"/>
      <c r="K86" s="75"/>
      <c r="L86" s="76"/>
      <c r="M86" s="22"/>
      <c r="N86" s="22"/>
      <c r="O86" s="22"/>
      <c r="P86" s="391"/>
      <c r="Q86" s="392"/>
      <c r="R86" s="75"/>
      <c r="S86" s="75"/>
      <c r="T86" s="75"/>
      <c r="U86" s="75"/>
      <c r="V86" s="75"/>
    </row>
    <row r="87" spans="1:22">
      <c r="A87" s="76"/>
      <c r="B87" s="22"/>
      <c r="C87" s="22"/>
      <c r="D87" s="166"/>
      <c r="E87" s="26"/>
      <c r="F87" s="56"/>
      <c r="G87" s="381"/>
      <c r="H87" s="380"/>
      <c r="I87" s="389"/>
      <c r="J87" s="390"/>
      <c r="K87" s="75"/>
      <c r="L87" s="76"/>
      <c r="M87" s="22"/>
      <c r="N87" s="22"/>
      <c r="O87" s="22"/>
      <c r="P87" s="391"/>
      <c r="Q87" s="392"/>
      <c r="R87" s="75"/>
      <c r="S87" s="75"/>
      <c r="T87" s="75"/>
      <c r="U87" s="75"/>
      <c r="V87" s="75"/>
    </row>
    <row r="88" spans="1:22">
      <c r="A88" s="76"/>
      <c r="B88" s="22"/>
      <c r="C88" s="22"/>
      <c r="D88" s="166"/>
      <c r="E88" s="26"/>
      <c r="F88" s="56"/>
      <c r="G88" s="381"/>
      <c r="H88" s="380"/>
      <c r="I88" s="389"/>
      <c r="J88" s="390"/>
      <c r="K88" s="75"/>
      <c r="L88" s="76"/>
      <c r="M88" s="22"/>
      <c r="N88" s="22"/>
      <c r="O88" s="22"/>
      <c r="P88" s="391"/>
      <c r="Q88" s="392"/>
      <c r="R88" s="75"/>
      <c r="S88" s="75"/>
      <c r="T88" s="75"/>
      <c r="U88" s="75"/>
      <c r="V88" s="75"/>
    </row>
    <row r="89" spans="1:22">
      <c r="A89" s="76"/>
      <c r="B89" s="22"/>
      <c r="C89" s="22"/>
      <c r="D89" s="166"/>
      <c r="E89" s="26"/>
      <c r="F89" s="56"/>
      <c r="G89" s="381"/>
      <c r="H89" s="380"/>
      <c r="I89" s="389"/>
      <c r="J89" s="390"/>
      <c r="K89" s="75"/>
      <c r="L89" s="76"/>
      <c r="M89" s="22"/>
      <c r="N89" s="22"/>
      <c r="O89" s="22"/>
      <c r="P89" s="391"/>
      <c r="Q89" s="392"/>
      <c r="R89" s="75"/>
      <c r="S89" s="75"/>
      <c r="T89" s="75"/>
      <c r="U89" s="75"/>
      <c r="V89" s="75"/>
    </row>
    <row r="90" spans="1:22">
      <c r="A90" s="76"/>
      <c r="B90" s="22"/>
      <c r="C90" s="22"/>
      <c r="D90" s="166"/>
      <c r="E90" s="26"/>
      <c r="F90" s="56"/>
      <c r="G90" s="381"/>
      <c r="H90" s="380"/>
      <c r="I90" s="389"/>
      <c r="J90" s="390"/>
      <c r="K90" s="75"/>
      <c r="L90" s="76"/>
      <c r="M90" s="22"/>
      <c r="N90" s="22"/>
      <c r="O90" s="22"/>
      <c r="P90" s="391"/>
      <c r="Q90" s="392"/>
      <c r="R90" s="75"/>
      <c r="S90" s="75"/>
      <c r="T90" s="75"/>
      <c r="U90" s="75"/>
      <c r="V90" s="75"/>
    </row>
    <row r="91" spans="1:22">
      <c r="A91" s="76"/>
      <c r="B91" s="22"/>
      <c r="C91" s="22"/>
      <c r="D91" s="166"/>
      <c r="E91" s="26"/>
      <c r="F91" s="56"/>
      <c r="G91" s="381"/>
      <c r="H91" s="380"/>
      <c r="I91" s="389"/>
      <c r="J91" s="390"/>
      <c r="K91" s="75"/>
      <c r="L91" s="76"/>
      <c r="M91" s="22"/>
      <c r="N91" s="22"/>
      <c r="O91" s="22"/>
      <c r="P91" s="391"/>
      <c r="Q91" s="392"/>
      <c r="R91" s="75"/>
      <c r="S91" s="75"/>
      <c r="T91" s="75"/>
      <c r="U91" s="75"/>
      <c r="V91" s="75"/>
    </row>
    <row r="92" spans="1:22">
      <c r="A92" s="76"/>
      <c r="B92" s="22"/>
      <c r="C92" s="22"/>
      <c r="D92" s="166"/>
      <c r="E92" s="26"/>
      <c r="F92" s="56"/>
      <c r="G92" s="381"/>
      <c r="H92" s="380"/>
      <c r="I92" s="389"/>
      <c r="J92" s="390"/>
      <c r="K92" s="75"/>
      <c r="L92" s="76"/>
      <c r="M92" s="22"/>
      <c r="N92" s="22"/>
      <c r="O92" s="22"/>
      <c r="P92" s="391"/>
      <c r="Q92" s="392"/>
      <c r="R92" s="75"/>
      <c r="S92" s="75"/>
      <c r="T92" s="75"/>
      <c r="U92" s="75"/>
      <c r="V92" s="75"/>
    </row>
    <row r="93" spans="1:22">
      <c r="A93" s="76"/>
      <c r="B93" s="22"/>
      <c r="C93" s="22"/>
      <c r="D93" s="166"/>
      <c r="E93" s="26"/>
      <c r="F93" s="56"/>
      <c r="G93" s="381"/>
      <c r="H93" s="380"/>
      <c r="I93" s="389"/>
      <c r="J93" s="390"/>
      <c r="K93" s="75"/>
      <c r="L93" s="76"/>
      <c r="M93" s="22"/>
      <c r="N93" s="22"/>
      <c r="O93" s="22"/>
      <c r="P93" s="391"/>
      <c r="Q93" s="392"/>
      <c r="R93" s="75"/>
      <c r="S93" s="75"/>
      <c r="T93" s="75"/>
      <c r="U93" s="75"/>
      <c r="V93" s="75"/>
    </row>
    <row r="94" spans="1:22">
      <c r="A94" s="76"/>
      <c r="B94" s="22"/>
      <c r="C94" s="22"/>
      <c r="D94" s="166"/>
      <c r="E94" s="26"/>
      <c r="F94" s="56"/>
      <c r="G94" s="381"/>
      <c r="H94" s="380"/>
      <c r="I94" s="389"/>
      <c r="J94" s="390"/>
      <c r="K94" s="75"/>
      <c r="L94" s="76"/>
      <c r="M94" s="22"/>
      <c r="N94" s="22"/>
      <c r="O94" s="22"/>
      <c r="P94" s="391"/>
      <c r="Q94" s="392"/>
      <c r="R94" s="75"/>
      <c r="S94" s="75"/>
      <c r="T94" s="75"/>
      <c r="U94" s="75"/>
      <c r="V94" s="75"/>
    </row>
    <row r="95" spans="1:22">
      <c r="A95" s="76"/>
      <c r="B95" s="22"/>
      <c r="C95" s="22"/>
      <c r="D95" s="166"/>
      <c r="E95" s="26"/>
      <c r="F95" s="56"/>
      <c r="G95" s="381"/>
      <c r="H95" s="380"/>
      <c r="I95" s="389"/>
      <c r="J95" s="390"/>
      <c r="K95" s="75"/>
      <c r="L95" s="76"/>
      <c r="M95" s="22"/>
      <c r="N95" s="22"/>
      <c r="O95" s="22"/>
      <c r="P95" s="391"/>
      <c r="Q95" s="392"/>
      <c r="R95" s="75"/>
      <c r="S95" s="75"/>
      <c r="T95" s="75"/>
      <c r="U95" s="75"/>
      <c r="V95" s="75"/>
    </row>
    <row r="96" spans="1:22">
      <c r="A96" s="76"/>
      <c r="B96" s="22"/>
      <c r="C96" s="22"/>
      <c r="D96" s="166"/>
      <c r="E96" s="26"/>
      <c r="F96" s="56"/>
      <c r="G96" s="381"/>
      <c r="H96" s="380"/>
      <c r="I96" s="389"/>
      <c r="J96" s="390"/>
      <c r="K96" s="75"/>
      <c r="L96" s="76"/>
      <c r="M96" s="22"/>
      <c r="N96" s="22"/>
      <c r="O96" s="22"/>
      <c r="P96" s="391"/>
      <c r="Q96" s="392"/>
      <c r="R96" s="75"/>
      <c r="S96" s="75"/>
      <c r="T96" s="75"/>
      <c r="U96" s="75"/>
      <c r="V96" s="75"/>
    </row>
    <row r="97" spans="1:22">
      <c r="A97" s="76"/>
      <c r="B97" s="22"/>
      <c r="C97" s="22"/>
      <c r="D97" s="166"/>
      <c r="E97" s="26"/>
      <c r="F97" s="56"/>
      <c r="G97" s="381"/>
      <c r="H97" s="380"/>
      <c r="I97" s="389"/>
      <c r="J97" s="390"/>
      <c r="K97" s="75"/>
      <c r="L97" s="76"/>
      <c r="M97" s="22"/>
      <c r="N97" s="22"/>
      <c r="O97" s="22"/>
      <c r="P97" s="391"/>
      <c r="Q97" s="392"/>
      <c r="R97" s="75"/>
      <c r="S97" s="75"/>
      <c r="T97" s="75"/>
      <c r="U97" s="75"/>
      <c r="V97" s="75"/>
    </row>
    <row r="98" spans="1:22">
      <c r="A98" s="76"/>
      <c r="B98" s="22"/>
      <c r="C98" s="22"/>
      <c r="D98" s="166"/>
      <c r="E98" s="26"/>
      <c r="F98" s="56"/>
      <c r="G98" s="381"/>
      <c r="H98" s="380"/>
      <c r="I98" s="389"/>
      <c r="J98" s="390"/>
      <c r="K98" s="75"/>
      <c r="L98" s="76"/>
      <c r="M98" s="22"/>
      <c r="N98" s="22"/>
      <c r="O98" s="22"/>
      <c r="P98" s="391"/>
      <c r="Q98" s="392"/>
      <c r="R98" s="75"/>
      <c r="S98" s="75"/>
      <c r="T98" s="75"/>
      <c r="U98" s="75"/>
      <c r="V98" s="75"/>
    </row>
    <row r="99" spans="1:22">
      <c r="A99" s="76"/>
      <c r="B99" s="22"/>
      <c r="C99" s="22"/>
      <c r="D99" s="166"/>
      <c r="E99" s="26"/>
      <c r="F99" s="56"/>
      <c r="G99" s="381"/>
      <c r="H99" s="380"/>
      <c r="I99" s="389"/>
      <c r="J99" s="390"/>
      <c r="K99" s="75"/>
      <c r="L99" s="76"/>
      <c r="M99" s="22"/>
      <c r="N99" s="22"/>
      <c r="O99" s="22"/>
      <c r="P99" s="391"/>
      <c r="Q99" s="392"/>
      <c r="R99" s="75"/>
      <c r="S99" s="75"/>
      <c r="T99" s="75"/>
      <c r="U99" s="75"/>
      <c r="V99" s="75"/>
    </row>
    <row r="100" spans="1:22">
      <c r="A100" s="76"/>
      <c r="B100" s="22"/>
      <c r="C100" s="22"/>
      <c r="D100" s="166"/>
      <c r="E100" s="26"/>
      <c r="F100" s="56"/>
      <c r="G100" s="381"/>
      <c r="H100" s="380"/>
      <c r="I100" s="389"/>
      <c r="J100" s="390"/>
      <c r="K100" s="75"/>
      <c r="L100" s="76"/>
      <c r="M100" s="22"/>
      <c r="N100" s="22"/>
      <c r="O100" s="22"/>
      <c r="P100" s="391"/>
      <c r="Q100" s="392"/>
      <c r="R100" s="75"/>
      <c r="S100" s="75"/>
      <c r="T100" s="75"/>
      <c r="U100" s="75"/>
      <c r="V100" s="75"/>
    </row>
    <row r="101" spans="1:22">
      <c r="A101" s="76"/>
      <c r="B101" s="22"/>
      <c r="C101" s="22"/>
      <c r="D101" s="166"/>
      <c r="E101" s="26"/>
      <c r="F101" s="56"/>
      <c r="G101" s="381"/>
      <c r="H101" s="380"/>
      <c r="I101" s="389"/>
      <c r="J101" s="390"/>
      <c r="K101" s="75"/>
      <c r="L101" s="76"/>
      <c r="M101" s="22"/>
      <c r="N101" s="22"/>
      <c r="O101" s="22"/>
      <c r="P101" s="391"/>
      <c r="Q101" s="392"/>
      <c r="R101" s="75"/>
      <c r="S101" s="75"/>
      <c r="T101" s="75"/>
      <c r="U101" s="75"/>
      <c r="V101" s="75"/>
    </row>
    <row r="102" spans="1:22">
      <c r="A102" s="76"/>
      <c r="B102" s="22"/>
      <c r="C102" s="22"/>
      <c r="D102" s="166"/>
      <c r="E102" s="26"/>
      <c r="F102" s="56"/>
      <c r="G102" s="381"/>
      <c r="H102" s="380"/>
      <c r="I102" s="389"/>
      <c r="J102" s="390"/>
      <c r="K102" s="75"/>
      <c r="L102" s="76"/>
      <c r="M102" s="22"/>
      <c r="N102" s="22"/>
      <c r="O102" s="22"/>
      <c r="P102" s="391"/>
      <c r="Q102" s="392"/>
      <c r="R102" s="75"/>
      <c r="S102" s="75"/>
      <c r="T102" s="75"/>
      <c r="U102" s="75"/>
      <c r="V102" s="75"/>
    </row>
    <row r="103" spans="1:22">
      <c r="A103" s="76"/>
      <c r="B103" s="22"/>
      <c r="C103" s="22"/>
      <c r="D103" s="166"/>
      <c r="E103" s="26"/>
      <c r="F103" s="56"/>
      <c r="G103" s="381"/>
      <c r="H103" s="380"/>
      <c r="I103" s="389"/>
      <c r="J103" s="390"/>
      <c r="K103" s="75"/>
      <c r="L103" s="76"/>
      <c r="M103" s="22"/>
      <c r="N103" s="22"/>
      <c r="O103" s="22"/>
      <c r="P103" s="391"/>
      <c r="Q103" s="392"/>
      <c r="R103" s="75"/>
      <c r="S103" s="75"/>
      <c r="T103" s="75"/>
      <c r="U103" s="75"/>
      <c r="V103" s="75"/>
    </row>
    <row r="104" spans="1:22">
      <c r="A104" s="76"/>
      <c r="B104" s="22"/>
      <c r="C104" s="22"/>
      <c r="D104" s="166"/>
      <c r="E104" s="26"/>
      <c r="F104" s="56"/>
      <c r="G104" s="381"/>
      <c r="H104" s="380"/>
      <c r="I104" s="389"/>
      <c r="J104" s="390"/>
      <c r="K104" s="75"/>
      <c r="L104" s="76"/>
      <c r="M104" s="22"/>
      <c r="N104" s="22"/>
      <c r="O104" s="22"/>
      <c r="P104" s="391"/>
      <c r="Q104" s="392"/>
      <c r="R104" s="75"/>
      <c r="S104" s="75"/>
      <c r="T104" s="75"/>
      <c r="U104" s="75"/>
      <c r="V104" s="75"/>
    </row>
    <row r="105" spans="1:22">
      <c r="A105" s="76"/>
      <c r="B105" s="378"/>
      <c r="C105" s="378"/>
      <c r="D105" s="166"/>
      <c r="E105" s="26"/>
      <c r="F105" s="379"/>
      <c r="G105" s="381"/>
      <c r="H105" s="380"/>
      <c r="I105" s="389"/>
      <c r="J105" s="390"/>
      <c r="K105" s="75"/>
      <c r="L105" s="76"/>
      <c r="M105" s="22"/>
      <c r="N105" s="22"/>
      <c r="O105" s="22"/>
      <c r="P105" s="391"/>
      <c r="Q105" s="392"/>
      <c r="R105" s="75"/>
      <c r="S105" s="75"/>
      <c r="T105" s="75"/>
      <c r="U105" s="75"/>
      <c r="V105" s="75"/>
    </row>
    <row r="106" spans="1:22">
      <c r="A106" s="76"/>
      <c r="B106" s="22"/>
      <c r="C106" s="22"/>
      <c r="D106" s="166"/>
      <c r="E106" s="26"/>
      <c r="F106" s="56"/>
      <c r="G106" s="381"/>
      <c r="H106" s="380"/>
      <c r="I106" s="389"/>
      <c r="J106" s="390"/>
      <c r="K106" s="75"/>
      <c r="L106" s="76"/>
      <c r="M106" s="22"/>
      <c r="N106" s="22"/>
      <c r="O106" s="22"/>
      <c r="P106" s="391"/>
      <c r="Q106" s="392"/>
      <c r="R106" s="75"/>
      <c r="S106" s="75"/>
      <c r="T106" s="75"/>
      <c r="U106" s="75"/>
      <c r="V106" s="75"/>
    </row>
    <row r="107" spans="1:22">
      <c r="A107" s="76"/>
      <c r="B107" s="22"/>
      <c r="C107" s="22"/>
      <c r="D107" s="166"/>
      <c r="E107" s="26"/>
      <c r="F107" s="56"/>
      <c r="G107" s="381"/>
      <c r="H107" s="380"/>
      <c r="I107" s="389"/>
      <c r="J107" s="390"/>
      <c r="K107" s="75"/>
      <c r="L107" s="76"/>
      <c r="M107" s="22"/>
      <c r="N107" s="22"/>
      <c r="O107" s="22"/>
      <c r="P107" s="391"/>
      <c r="Q107" s="392"/>
      <c r="R107" s="75"/>
      <c r="S107" s="75"/>
      <c r="T107" s="75"/>
      <c r="U107" s="75"/>
      <c r="V107" s="75"/>
    </row>
    <row r="108" spans="1:22">
      <c r="A108" s="76"/>
      <c r="B108" s="22"/>
      <c r="C108" s="22"/>
      <c r="D108" s="166"/>
      <c r="E108" s="26"/>
      <c r="F108" s="56"/>
      <c r="G108" s="381"/>
      <c r="H108" s="380"/>
      <c r="I108" s="389"/>
      <c r="J108" s="390"/>
      <c r="K108" s="75"/>
      <c r="L108" s="76"/>
      <c r="M108" s="22"/>
      <c r="N108" s="22"/>
      <c r="O108" s="22"/>
      <c r="P108" s="391"/>
      <c r="Q108" s="392"/>
      <c r="R108" s="75"/>
      <c r="S108" s="75"/>
      <c r="T108" s="75"/>
      <c r="U108" s="75"/>
      <c r="V108" s="75"/>
    </row>
    <row r="109" spans="1:22">
      <c r="A109" s="76"/>
      <c r="B109" s="22"/>
      <c r="C109" s="22"/>
      <c r="D109" s="166"/>
      <c r="E109" s="26"/>
      <c r="F109" s="56"/>
      <c r="G109" s="381"/>
      <c r="H109" s="380"/>
      <c r="I109" s="389"/>
      <c r="J109" s="390"/>
      <c r="K109" s="75"/>
      <c r="L109" s="76"/>
      <c r="M109" s="22"/>
      <c r="N109" s="22"/>
      <c r="O109" s="22"/>
      <c r="P109" s="391"/>
      <c r="Q109" s="392"/>
      <c r="R109" s="75"/>
      <c r="S109" s="75"/>
      <c r="T109" s="75"/>
      <c r="U109" s="75"/>
      <c r="V109" s="75"/>
    </row>
    <row r="110" spans="1:22">
      <c r="A110" s="76"/>
      <c r="B110" s="22"/>
      <c r="C110" s="22"/>
      <c r="D110" s="166"/>
      <c r="E110" s="26"/>
      <c r="F110" s="56"/>
      <c r="G110" s="381"/>
      <c r="H110" s="380"/>
      <c r="I110" s="389"/>
      <c r="J110" s="390"/>
      <c r="K110" s="75"/>
      <c r="L110" s="76"/>
      <c r="M110" s="22"/>
      <c r="N110" s="22"/>
      <c r="O110" s="22"/>
      <c r="P110" s="391"/>
      <c r="Q110" s="392"/>
      <c r="R110" s="75"/>
      <c r="S110" s="75"/>
      <c r="T110" s="75"/>
      <c r="U110" s="75"/>
      <c r="V110" s="75"/>
    </row>
    <row r="111" spans="1:22">
      <c r="A111" s="76"/>
      <c r="B111" s="22"/>
      <c r="C111" s="22"/>
      <c r="D111" s="166"/>
      <c r="E111" s="26"/>
      <c r="F111" s="56"/>
      <c r="G111" s="381"/>
      <c r="H111" s="380"/>
      <c r="I111" s="389"/>
      <c r="J111" s="390"/>
      <c r="K111" s="75"/>
      <c r="L111" s="76"/>
      <c r="M111" s="22"/>
      <c r="N111" s="22"/>
      <c r="O111" s="22"/>
      <c r="P111" s="391"/>
      <c r="Q111" s="392"/>
      <c r="R111" s="75"/>
      <c r="S111" s="75"/>
      <c r="T111" s="75"/>
      <c r="U111" s="75"/>
      <c r="V111" s="75"/>
    </row>
    <row r="112" spans="1:22">
      <c r="A112" s="76"/>
      <c r="B112" s="22"/>
      <c r="C112" s="22"/>
      <c r="D112" s="166"/>
      <c r="E112" s="26"/>
      <c r="F112" s="56"/>
      <c r="G112" s="381"/>
      <c r="H112" s="380"/>
      <c r="I112" s="389"/>
      <c r="J112" s="390"/>
      <c r="K112" s="75"/>
      <c r="L112" s="76"/>
      <c r="M112" s="22"/>
      <c r="N112" s="22"/>
      <c r="O112" s="22"/>
      <c r="P112" s="391"/>
      <c r="Q112" s="392"/>
      <c r="R112" s="75"/>
      <c r="S112" s="75"/>
      <c r="T112" s="75"/>
      <c r="U112" s="75"/>
      <c r="V112" s="75"/>
    </row>
    <row r="113" spans="1:22">
      <c r="A113" s="76"/>
      <c r="B113" s="22"/>
      <c r="C113" s="22"/>
      <c r="D113" s="166"/>
      <c r="E113" s="26"/>
      <c r="F113" s="56"/>
      <c r="G113" s="381"/>
      <c r="H113" s="380"/>
      <c r="I113" s="389"/>
      <c r="J113" s="390"/>
      <c r="K113" s="75"/>
      <c r="L113" s="76"/>
      <c r="M113" s="22"/>
      <c r="N113" s="22"/>
      <c r="O113" s="22"/>
      <c r="P113" s="391"/>
      <c r="Q113" s="392"/>
      <c r="R113" s="75"/>
      <c r="S113" s="75"/>
      <c r="T113" s="75"/>
      <c r="U113" s="75"/>
      <c r="V113" s="75"/>
    </row>
    <row r="114" spans="1:22">
      <c r="A114" s="76"/>
      <c r="B114" s="22"/>
      <c r="C114" s="22"/>
      <c r="D114" s="166"/>
      <c r="E114" s="26"/>
      <c r="F114" s="56"/>
      <c r="G114" s="381"/>
      <c r="H114" s="380"/>
      <c r="I114" s="389"/>
      <c r="J114" s="390"/>
      <c r="K114" s="75"/>
      <c r="L114" s="76"/>
      <c r="M114" s="22"/>
      <c r="N114" s="22"/>
      <c r="O114" s="22"/>
      <c r="P114" s="391"/>
      <c r="Q114" s="392"/>
      <c r="R114" s="75"/>
      <c r="S114" s="75"/>
      <c r="T114" s="75"/>
      <c r="U114" s="75"/>
      <c r="V114" s="75"/>
    </row>
    <row r="115" spans="1:22">
      <c r="A115" s="76"/>
      <c r="B115" s="22"/>
      <c r="C115" s="22"/>
      <c r="D115" s="166"/>
      <c r="E115" s="26"/>
      <c r="F115" s="56"/>
      <c r="G115" s="381"/>
      <c r="H115" s="380"/>
      <c r="I115" s="389"/>
      <c r="J115" s="390"/>
      <c r="K115" s="75"/>
      <c r="L115" s="76"/>
      <c r="M115" s="22"/>
      <c r="N115" s="22"/>
      <c r="O115" s="22"/>
      <c r="P115" s="391"/>
      <c r="Q115" s="392"/>
      <c r="R115" s="75"/>
      <c r="S115" s="75"/>
      <c r="T115" s="75"/>
      <c r="U115" s="75"/>
      <c r="V115" s="75"/>
    </row>
    <row r="116" spans="1:22">
      <c r="A116" s="76"/>
      <c r="B116" s="22"/>
      <c r="C116" s="22"/>
      <c r="D116" s="166"/>
      <c r="E116" s="26"/>
      <c r="F116" s="56"/>
      <c r="G116" s="381"/>
      <c r="H116" s="380"/>
      <c r="I116" s="389"/>
      <c r="J116" s="390"/>
      <c r="K116" s="75"/>
      <c r="L116" s="76"/>
      <c r="M116" s="22"/>
      <c r="N116" s="22"/>
      <c r="O116" s="22"/>
      <c r="P116" s="391"/>
      <c r="Q116" s="392"/>
      <c r="R116" s="75"/>
      <c r="S116" s="75"/>
      <c r="T116" s="75"/>
      <c r="U116" s="75"/>
      <c r="V116" s="75"/>
    </row>
    <row r="117" spans="1:22">
      <c r="A117" s="76"/>
      <c r="B117" s="22"/>
      <c r="C117" s="22"/>
      <c r="D117" s="166"/>
      <c r="E117" s="26"/>
      <c r="F117" s="56"/>
      <c r="G117" s="381"/>
      <c r="H117" s="380"/>
      <c r="I117" s="389"/>
      <c r="J117" s="390"/>
      <c r="K117" s="75"/>
      <c r="L117" s="76"/>
      <c r="M117" s="22"/>
      <c r="N117" s="22"/>
      <c r="O117" s="22"/>
      <c r="P117" s="391"/>
      <c r="Q117" s="392"/>
      <c r="R117" s="75"/>
      <c r="S117" s="75"/>
      <c r="T117" s="75"/>
      <c r="U117" s="75"/>
      <c r="V117" s="75"/>
    </row>
    <row r="118" spans="1:22">
      <c r="A118" s="76"/>
      <c r="B118" s="22"/>
      <c r="C118" s="22"/>
      <c r="D118" s="166"/>
      <c r="E118" s="26"/>
      <c r="F118" s="56"/>
      <c r="G118" s="381"/>
      <c r="H118" s="380"/>
      <c r="I118" s="389"/>
      <c r="J118" s="390"/>
      <c r="K118" s="75"/>
      <c r="L118" s="76"/>
      <c r="M118" s="22"/>
      <c r="N118" s="22"/>
      <c r="O118" s="22"/>
      <c r="P118" s="391"/>
      <c r="Q118" s="392"/>
      <c r="R118" s="75"/>
      <c r="S118" s="75"/>
      <c r="T118" s="75"/>
      <c r="U118" s="75"/>
      <c r="V118" s="75"/>
    </row>
    <row r="119" spans="1:22">
      <c r="A119" s="76"/>
      <c r="B119" s="22"/>
      <c r="C119" s="22"/>
      <c r="D119" s="166"/>
      <c r="E119" s="26"/>
      <c r="F119" s="56"/>
      <c r="G119" s="381"/>
      <c r="H119" s="380"/>
      <c r="I119" s="389"/>
      <c r="J119" s="390"/>
      <c r="K119" s="75"/>
      <c r="L119" s="76"/>
      <c r="M119" s="22"/>
      <c r="N119" s="22"/>
      <c r="O119" s="22"/>
      <c r="P119" s="391"/>
      <c r="Q119" s="392"/>
      <c r="R119" s="75"/>
      <c r="S119" s="75"/>
      <c r="T119" s="75"/>
      <c r="U119" s="75"/>
      <c r="V119" s="75"/>
    </row>
    <row r="120" spans="1:22">
      <c r="A120" s="76"/>
      <c r="B120" s="22"/>
      <c r="C120" s="22"/>
      <c r="D120" s="166"/>
      <c r="E120" s="26"/>
      <c r="F120" s="56"/>
      <c r="G120" s="381"/>
      <c r="H120" s="380"/>
      <c r="I120" s="389"/>
      <c r="J120" s="390"/>
      <c r="K120" s="75"/>
      <c r="L120" s="76"/>
      <c r="M120" s="22"/>
      <c r="N120" s="22"/>
      <c r="O120" s="22"/>
      <c r="P120" s="391"/>
      <c r="Q120" s="392"/>
      <c r="R120" s="75"/>
      <c r="S120" s="75"/>
      <c r="T120" s="75"/>
      <c r="U120" s="75"/>
      <c r="V120" s="75"/>
    </row>
    <row r="121" spans="1:22">
      <c r="A121" s="76"/>
      <c r="B121" s="22"/>
      <c r="C121" s="22"/>
      <c r="D121" s="166"/>
      <c r="E121" s="26"/>
      <c r="F121" s="56"/>
      <c r="G121" s="381"/>
      <c r="H121" s="380"/>
      <c r="I121" s="389"/>
      <c r="J121" s="390"/>
      <c r="K121" s="75"/>
      <c r="L121" s="76"/>
      <c r="M121" s="22"/>
      <c r="N121" s="22"/>
      <c r="O121" s="22"/>
      <c r="P121" s="391"/>
      <c r="Q121" s="392"/>
      <c r="R121" s="75"/>
      <c r="S121" s="75"/>
      <c r="T121" s="75"/>
      <c r="U121" s="75"/>
      <c r="V121" s="75"/>
    </row>
    <row r="122" spans="1:22">
      <c r="A122" s="76"/>
      <c r="B122" s="22"/>
      <c r="C122" s="22"/>
      <c r="D122" s="166"/>
      <c r="E122" s="26"/>
      <c r="F122" s="56"/>
      <c r="G122" s="381"/>
      <c r="H122" s="380"/>
      <c r="I122" s="389"/>
      <c r="J122" s="390"/>
      <c r="K122" s="75"/>
      <c r="L122" s="76"/>
      <c r="M122" s="22"/>
      <c r="N122" s="22"/>
      <c r="O122" s="22"/>
      <c r="P122" s="391"/>
      <c r="Q122" s="392"/>
      <c r="R122" s="75"/>
      <c r="S122" s="75"/>
      <c r="T122" s="75"/>
      <c r="U122" s="75"/>
      <c r="V122" s="75"/>
    </row>
    <row r="123" spans="1:22">
      <c r="A123" s="76"/>
      <c r="B123" s="22"/>
      <c r="C123" s="22"/>
      <c r="D123" s="166"/>
      <c r="E123" s="26"/>
      <c r="F123" s="56"/>
      <c r="G123" s="381"/>
      <c r="H123" s="380"/>
      <c r="I123" s="389"/>
      <c r="J123" s="390"/>
      <c r="K123" s="75"/>
      <c r="L123" s="76"/>
      <c r="M123" s="22"/>
      <c r="N123" s="22"/>
      <c r="O123" s="22"/>
      <c r="P123" s="391"/>
      <c r="Q123" s="392"/>
      <c r="R123" s="75"/>
      <c r="S123" s="75"/>
      <c r="T123" s="75"/>
      <c r="U123" s="75"/>
      <c r="V123" s="75"/>
    </row>
    <row r="124" spans="1:22">
      <c r="A124" s="76"/>
      <c r="B124" s="22"/>
      <c r="C124" s="22"/>
      <c r="D124" s="166"/>
      <c r="E124" s="26"/>
      <c r="F124" s="56"/>
      <c r="G124" s="381"/>
      <c r="H124" s="380"/>
      <c r="I124" s="389"/>
      <c r="J124" s="390"/>
      <c r="K124" s="75"/>
      <c r="L124" s="76"/>
      <c r="M124" s="22"/>
      <c r="N124" s="22"/>
      <c r="O124" s="22"/>
      <c r="P124" s="391"/>
      <c r="Q124" s="392"/>
      <c r="R124" s="75"/>
      <c r="S124" s="75"/>
      <c r="T124" s="75"/>
      <c r="U124" s="75"/>
      <c r="V124" s="75"/>
    </row>
    <row r="125" spans="1:22">
      <c r="A125" s="76"/>
      <c r="B125" s="22"/>
      <c r="C125" s="22"/>
      <c r="D125" s="166"/>
      <c r="E125" s="26"/>
      <c r="F125" s="56"/>
      <c r="G125" s="381"/>
      <c r="H125" s="380"/>
      <c r="I125" s="389"/>
      <c r="J125" s="390"/>
      <c r="K125" s="75"/>
      <c r="L125" s="76"/>
      <c r="M125" s="22"/>
      <c r="N125" s="22"/>
      <c r="O125" s="22"/>
      <c r="P125" s="391"/>
      <c r="Q125" s="392"/>
      <c r="R125" s="75"/>
      <c r="S125" s="75"/>
      <c r="T125" s="75"/>
      <c r="U125" s="75"/>
      <c r="V125" s="75"/>
    </row>
    <row r="126" spans="1:22">
      <c r="A126" s="76"/>
      <c r="B126" s="393"/>
      <c r="C126" s="393"/>
      <c r="D126" s="394"/>
      <c r="E126" s="395"/>
      <c r="F126" s="396"/>
      <c r="G126" s="397"/>
      <c r="H126" s="395"/>
      <c r="I126" s="398"/>
      <c r="J126" s="399"/>
      <c r="K126" s="75"/>
      <c r="L126" s="76"/>
      <c r="M126" s="396"/>
      <c r="N126" s="396"/>
      <c r="O126" s="396"/>
      <c r="P126" s="393"/>
      <c r="Q126" s="392"/>
      <c r="R126" s="75"/>
      <c r="S126" s="75"/>
      <c r="T126" s="75"/>
      <c r="U126" s="75"/>
      <c r="V126" s="75"/>
    </row>
    <row r="127" spans="1:2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</row>
    <row r="128" spans="1:2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</row>
    <row r="129" spans="1:2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462"/>
      <c r="M129" s="462"/>
      <c r="N129" s="462"/>
      <c r="O129" s="462"/>
      <c r="P129" s="462"/>
      <c r="Q129" s="462"/>
      <c r="R129" s="75"/>
      <c r="S129" s="75"/>
      <c r="T129" s="75"/>
      <c r="U129" s="75"/>
      <c r="V129" s="75"/>
    </row>
    <row r="130" spans="1:2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462"/>
      <c r="M130" s="462"/>
      <c r="N130" s="462"/>
      <c r="O130" s="462"/>
      <c r="P130" s="462"/>
      <c r="Q130" s="462"/>
      <c r="R130" s="75"/>
      <c r="S130" s="75"/>
      <c r="T130" s="75"/>
      <c r="U130" s="75"/>
      <c r="V130" s="75"/>
    </row>
    <row r="131" spans="1:2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462"/>
      <c r="M131" s="462"/>
      <c r="N131" s="462"/>
      <c r="O131" s="462"/>
      <c r="P131" s="462"/>
      <c r="Q131" s="462"/>
      <c r="R131" s="75"/>
      <c r="S131" s="75"/>
      <c r="T131" s="75"/>
      <c r="U131" s="75"/>
      <c r="V131" s="75"/>
    </row>
    <row r="132" spans="1:2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462"/>
      <c r="M132" s="462"/>
      <c r="N132" s="462"/>
      <c r="O132" s="462"/>
      <c r="P132" s="462"/>
      <c r="Q132" s="462"/>
      <c r="R132" s="75"/>
      <c r="S132" s="75"/>
      <c r="T132" s="75"/>
      <c r="U132" s="75"/>
      <c r="V132" s="75"/>
    </row>
    <row r="133" spans="1:2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462"/>
      <c r="M133" s="462"/>
      <c r="N133" s="462"/>
      <c r="O133" s="462"/>
      <c r="P133" s="462"/>
      <c r="Q133" s="462"/>
      <c r="R133" s="75"/>
      <c r="S133" s="75"/>
      <c r="T133" s="75"/>
      <c r="U133" s="75"/>
      <c r="V133" s="75"/>
    </row>
    <row r="134" spans="1:2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6"/>
      <c r="M134" s="56"/>
      <c r="N134" s="56"/>
      <c r="O134" s="56"/>
      <c r="P134" s="83"/>
      <c r="Q134" s="80"/>
      <c r="R134" s="75"/>
      <c r="S134" s="75"/>
      <c r="T134" s="75"/>
      <c r="U134" s="75"/>
      <c r="V134" s="75"/>
    </row>
    <row r="135" spans="1:2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6"/>
      <c r="M135" s="56"/>
      <c r="N135" s="56"/>
      <c r="O135" s="56"/>
      <c r="P135" s="83"/>
      <c r="Q135" s="80"/>
      <c r="R135" s="75"/>
      <c r="S135" s="75"/>
      <c r="T135" s="75"/>
      <c r="U135" s="75"/>
      <c r="V135" s="75"/>
    </row>
    <row r="136" spans="1:2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6"/>
      <c r="M136" s="56"/>
      <c r="N136" s="56"/>
      <c r="O136" s="56"/>
      <c r="P136" s="83"/>
      <c r="Q136" s="80"/>
      <c r="R136" s="75"/>
      <c r="S136" s="75"/>
      <c r="T136" s="75"/>
      <c r="U136" s="75"/>
      <c r="V136" s="75"/>
    </row>
    <row r="137" spans="1:2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6"/>
      <c r="M137" s="56"/>
      <c r="N137" s="56"/>
      <c r="O137" s="56"/>
      <c r="P137" s="83"/>
      <c r="Q137" s="80"/>
      <c r="R137" s="75"/>
      <c r="S137" s="75"/>
      <c r="T137" s="75"/>
      <c r="U137" s="75"/>
      <c r="V137" s="75"/>
    </row>
    <row r="138" spans="1:2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6"/>
      <c r="M138" s="56"/>
      <c r="N138" s="56"/>
      <c r="O138" s="56"/>
      <c r="P138" s="83"/>
      <c r="Q138" s="80"/>
      <c r="R138" s="75"/>
      <c r="S138" s="75"/>
      <c r="T138" s="75"/>
      <c r="U138" s="75"/>
      <c r="V138" s="75"/>
    </row>
    <row r="139" spans="1:2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6"/>
      <c r="M139" s="56"/>
      <c r="N139" s="56"/>
      <c r="O139" s="56"/>
      <c r="P139" s="83"/>
      <c r="Q139" s="80"/>
      <c r="R139" s="75"/>
      <c r="S139" s="75"/>
      <c r="T139" s="75"/>
      <c r="U139" s="75"/>
      <c r="V139" s="75"/>
    </row>
    <row r="140" spans="1:2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6"/>
      <c r="M140" s="56"/>
      <c r="N140" s="56"/>
      <c r="O140" s="56"/>
      <c r="P140" s="83"/>
      <c r="Q140" s="80"/>
      <c r="R140" s="75"/>
      <c r="S140" s="75"/>
      <c r="T140" s="75"/>
      <c r="U140" s="75"/>
      <c r="V140" s="75"/>
    </row>
    <row r="141" spans="1:2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6"/>
      <c r="M141" s="56"/>
      <c r="N141" s="56"/>
      <c r="O141" s="56"/>
      <c r="P141" s="83"/>
      <c r="Q141" s="80"/>
      <c r="R141" s="75"/>
      <c r="S141" s="75"/>
      <c r="T141" s="75"/>
      <c r="U141" s="75"/>
      <c r="V141" s="75"/>
    </row>
    <row r="142" spans="1:2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6"/>
      <c r="M142" s="56"/>
      <c r="N142" s="56"/>
      <c r="O142" s="56"/>
      <c r="P142" s="83"/>
      <c r="Q142" s="80"/>
      <c r="R142" s="75"/>
      <c r="S142" s="75"/>
      <c r="T142" s="75"/>
      <c r="U142" s="75"/>
      <c r="V142" s="75"/>
    </row>
    <row r="143" spans="1:2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6"/>
      <c r="M143" s="56"/>
      <c r="N143" s="56"/>
      <c r="O143" s="56"/>
      <c r="P143" s="83"/>
      <c r="Q143" s="80"/>
      <c r="R143" s="75"/>
      <c r="S143" s="75"/>
      <c r="T143" s="75"/>
      <c r="U143" s="75"/>
      <c r="V143" s="75"/>
    </row>
    <row r="144" spans="1:2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6"/>
      <c r="M144" s="56"/>
      <c r="N144" s="56"/>
      <c r="O144" s="56"/>
      <c r="P144" s="83"/>
      <c r="Q144" s="80"/>
      <c r="R144" s="75"/>
      <c r="S144" s="75"/>
      <c r="T144" s="75"/>
      <c r="U144" s="75"/>
      <c r="V144" s="75"/>
    </row>
    <row r="145" spans="1:2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6"/>
      <c r="M145" s="56"/>
      <c r="N145" s="56"/>
      <c r="O145" s="56"/>
      <c r="P145" s="83"/>
      <c r="Q145" s="80"/>
      <c r="R145" s="75"/>
      <c r="S145" s="75"/>
      <c r="T145" s="75"/>
      <c r="U145" s="75"/>
      <c r="V145" s="75"/>
    </row>
    <row r="146" spans="1:2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6"/>
      <c r="M146" s="56"/>
      <c r="N146" s="56"/>
      <c r="O146" s="56"/>
      <c r="P146" s="83"/>
      <c r="Q146" s="80"/>
      <c r="R146" s="75"/>
      <c r="S146" s="75"/>
      <c r="T146" s="75"/>
      <c r="U146" s="75"/>
      <c r="V146" s="75"/>
    </row>
    <row r="147" spans="1:22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6"/>
      <c r="M147" s="56"/>
      <c r="N147" s="56"/>
      <c r="O147" s="56"/>
      <c r="P147" s="83"/>
      <c r="Q147" s="80"/>
      <c r="R147" s="75"/>
      <c r="S147" s="75"/>
      <c r="T147" s="75"/>
      <c r="U147" s="75"/>
      <c r="V147" s="75"/>
    </row>
    <row r="148" spans="1:2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M148" s="56"/>
      <c r="N148" s="56"/>
      <c r="O148" s="56"/>
      <c r="P148" s="83"/>
      <c r="Q148" s="80"/>
      <c r="R148" s="75"/>
      <c r="S148" s="75"/>
      <c r="T148" s="75"/>
      <c r="U148" s="75"/>
      <c r="V148" s="75"/>
    </row>
    <row r="149" spans="1:2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6"/>
      <c r="M149" s="56"/>
      <c r="N149" s="56"/>
      <c r="O149" s="56"/>
      <c r="P149" s="83"/>
      <c r="Q149" s="80"/>
      <c r="R149" s="75"/>
      <c r="S149" s="75"/>
      <c r="T149" s="75"/>
      <c r="U149" s="75"/>
      <c r="V149" s="75"/>
    </row>
    <row r="150" spans="1:2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6"/>
      <c r="M150" s="56"/>
      <c r="N150" s="56"/>
      <c r="O150" s="56"/>
      <c r="P150" s="83"/>
      <c r="Q150" s="80"/>
      <c r="R150" s="75"/>
      <c r="S150" s="75"/>
      <c r="T150" s="75"/>
      <c r="U150" s="75"/>
      <c r="V150" s="75"/>
    </row>
    <row r="151" spans="1:2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6"/>
      <c r="M151" s="56"/>
      <c r="N151" s="56"/>
      <c r="O151" s="56"/>
      <c r="P151" s="83"/>
      <c r="Q151" s="80"/>
      <c r="R151" s="75"/>
      <c r="S151" s="75"/>
      <c r="T151" s="75"/>
      <c r="U151" s="75"/>
      <c r="V151" s="75"/>
    </row>
    <row r="152" spans="1:2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6"/>
      <c r="M152" s="56"/>
      <c r="N152" s="56"/>
      <c r="O152" s="56"/>
      <c r="P152" s="83"/>
      <c r="Q152" s="80"/>
      <c r="R152" s="75"/>
      <c r="S152" s="75"/>
      <c r="T152" s="75"/>
      <c r="U152" s="75"/>
      <c r="V152" s="75"/>
    </row>
    <row r="153" spans="1:2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6"/>
      <c r="M153" s="56"/>
      <c r="N153" s="56"/>
      <c r="O153" s="56"/>
      <c r="P153" s="83"/>
      <c r="Q153" s="80"/>
      <c r="R153" s="75"/>
      <c r="S153" s="75"/>
      <c r="T153" s="75"/>
      <c r="U153" s="75"/>
      <c r="V153" s="75"/>
    </row>
    <row r="154" spans="1:2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6"/>
      <c r="M154" s="56"/>
      <c r="N154" s="56"/>
      <c r="O154" s="56"/>
      <c r="P154" s="83"/>
      <c r="Q154" s="80"/>
      <c r="R154" s="75"/>
      <c r="S154" s="75"/>
      <c r="T154" s="75"/>
      <c r="U154" s="75"/>
      <c r="V154" s="75"/>
    </row>
    <row r="155" spans="1:2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6"/>
      <c r="M155" s="56"/>
      <c r="N155" s="56"/>
      <c r="O155" s="56"/>
      <c r="P155" s="83"/>
      <c r="Q155" s="80"/>
      <c r="R155" s="75"/>
      <c r="S155" s="75"/>
      <c r="T155" s="75"/>
      <c r="U155" s="75"/>
      <c r="V155" s="75"/>
    </row>
    <row r="156" spans="1:2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6"/>
      <c r="M156" s="56"/>
      <c r="N156" s="56"/>
      <c r="O156" s="56"/>
      <c r="P156" s="83"/>
      <c r="Q156" s="80"/>
      <c r="R156" s="75"/>
      <c r="S156" s="75"/>
      <c r="T156" s="75"/>
      <c r="U156" s="75"/>
      <c r="V156" s="75"/>
    </row>
    <row r="157" spans="1:2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6"/>
      <c r="M157" s="56"/>
      <c r="N157" s="56"/>
      <c r="O157" s="56"/>
      <c r="P157" s="83"/>
      <c r="Q157" s="80"/>
      <c r="R157" s="75"/>
      <c r="S157" s="75"/>
      <c r="T157" s="75"/>
      <c r="U157" s="75"/>
      <c r="V157" s="75"/>
    </row>
    <row r="158" spans="1:2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6"/>
      <c r="M158" s="56"/>
      <c r="N158" s="56"/>
      <c r="O158" s="56"/>
      <c r="P158" s="83"/>
      <c r="Q158" s="80"/>
      <c r="R158" s="75"/>
      <c r="S158" s="75"/>
      <c r="T158" s="75"/>
      <c r="U158" s="75"/>
      <c r="V158" s="75"/>
    </row>
    <row r="159" spans="1:2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6"/>
      <c r="M159" s="56"/>
      <c r="N159" s="56"/>
      <c r="O159" s="56"/>
      <c r="P159" s="83"/>
      <c r="Q159" s="80"/>
      <c r="R159" s="75"/>
      <c r="S159" s="75"/>
      <c r="T159" s="75"/>
      <c r="U159" s="75"/>
      <c r="V159" s="75"/>
    </row>
    <row r="160" spans="1:2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6"/>
      <c r="M160" s="56"/>
      <c r="N160" s="56"/>
      <c r="O160" s="56"/>
      <c r="P160" s="83"/>
      <c r="Q160" s="80"/>
      <c r="R160" s="75"/>
      <c r="S160" s="75"/>
      <c r="T160" s="75"/>
      <c r="U160" s="75"/>
      <c r="V160" s="75"/>
    </row>
    <row r="161" spans="1:2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6"/>
      <c r="M161" s="56"/>
      <c r="N161" s="56"/>
      <c r="O161" s="56"/>
      <c r="P161" s="83"/>
      <c r="Q161" s="80"/>
      <c r="R161" s="75"/>
      <c r="S161" s="75"/>
      <c r="T161" s="75"/>
      <c r="U161" s="75"/>
      <c r="V161" s="75"/>
    </row>
    <row r="162" spans="1:2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6"/>
      <c r="M162" s="56"/>
      <c r="N162" s="56"/>
      <c r="O162" s="56"/>
      <c r="P162" s="83"/>
      <c r="Q162" s="80"/>
      <c r="R162" s="75"/>
      <c r="S162" s="75"/>
      <c r="T162" s="75"/>
      <c r="U162" s="75"/>
      <c r="V162" s="75"/>
    </row>
    <row r="163" spans="1:2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M163" s="56"/>
      <c r="N163" s="56"/>
      <c r="O163" s="56"/>
      <c r="P163" s="83"/>
      <c r="Q163" s="80"/>
      <c r="R163" s="75"/>
      <c r="S163" s="75"/>
      <c r="T163" s="75"/>
      <c r="U163" s="75"/>
      <c r="V163" s="75"/>
    </row>
    <row r="164" spans="1:2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6"/>
      <c r="M164" s="56"/>
      <c r="N164" s="56"/>
      <c r="O164" s="56"/>
      <c r="P164" s="83"/>
      <c r="Q164" s="80"/>
      <c r="R164" s="75"/>
      <c r="S164" s="75"/>
      <c r="T164" s="75"/>
      <c r="U164" s="75"/>
      <c r="V164" s="75"/>
    </row>
    <row r="165" spans="1:2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6"/>
      <c r="M165" s="56"/>
      <c r="N165" s="56"/>
      <c r="O165" s="56"/>
      <c r="P165" s="83"/>
      <c r="Q165" s="80"/>
      <c r="R165" s="75"/>
      <c r="S165" s="75"/>
      <c r="T165" s="75"/>
      <c r="U165" s="75"/>
      <c r="V165" s="75"/>
    </row>
    <row r="166" spans="1:2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6"/>
      <c r="M166" s="56"/>
      <c r="N166" s="56"/>
      <c r="O166" s="56"/>
      <c r="P166" s="83"/>
      <c r="Q166" s="80"/>
      <c r="R166" s="75"/>
      <c r="S166" s="75"/>
      <c r="T166" s="75"/>
      <c r="U166" s="75"/>
      <c r="V166" s="75"/>
    </row>
    <row r="167" spans="1:2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6"/>
      <c r="M167" s="56"/>
      <c r="N167" s="56"/>
      <c r="O167" s="56"/>
      <c r="P167" s="83"/>
      <c r="Q167" s="80"/>
      <c r="R167" s="75"/>
      <c r="S167" s="75"/>
      <c r="T167" s="75"/>
      <c r="U167" s="75"/>
      <c r="V167" s="75"/>
    </row>
    <row r="168" spans="1:2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6"/>
      <c r="M168" s="56"/>
      <c r="N168" s="56"/>
      <c r="O168" s="56"/>
      <c r="P168" s="83"/>
      <c r="Q168" s="80"/>
      <c r="R168" s="75"/>
      <c r="S168" s="75"/>
      <c r="T168" s="75"/>
      <c r="U168" s="75"/>
      <c r="V168" s="75"/>
    </row>
    <row r="169" spans="1:2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6"/>
      <c r="M169" s="56"/>
      <c r="N169" s="56"/>
      <c r="O169" s="56"/>
      <c r="P169" s="83"/>
      <c r="Q169" s="80"/>
      <c r="R169" s="75"/>
      <c r="S169" s="75"/>
      <c r="T169" s="75"/>
      <c r="U169" s="75"/>
      <c r="V169" s="75"/>
    </row>
    <row r="170" spans="1:2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6"/>
      <c r="M170" s="56"/>
      <c r="N170" s="56"/>
      <c r="O170" s="56"/>
      <c r="P170" s="83"/>
      <c r="Q170" s="80"/>
      <c r="R170" s="75"/>
      <c r="S170" s="75"/>
      <c r="T170" s="75"/>
      <c r="U170" s="75"/>
      <c r="V170" s="75"/>
    </row>
    <row r="171" spans="1:2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6"/>
      <c r="M171" s="56"/>
      <c r="N171" s="56"/>
      <c r="O171" s="56"/>
      <c r="P171" s="83"/>
      <c r="Q171" s="80"/>
      <c r="R171" s="75"/>
      <c r="S171" s="75"/>
      <c r="T171" s="75"/>
      <c r="U171" s="75"/>
      <c r="V171" s="75"/>
    </row>
    <row r="172" spans="1:2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6"/>
      <c r="M172" s="56"/>
      <c r="N172" s="56"/>
      <c r="O172" s="56"/>
      <c r="P172" s="83"/>
      <c r="Q172" s="80"/>
      <c r="R172" s="75"/>
      <c r="S172" s="75"/>
      <c r="T172" s="75"/>
      <c r="U172" s="75"/>
      <c r="V172" s="75"/>
    </row>
    <row r="173" spans="1:2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6"/>
      <c r="M173" s="56"/>
      <c r="N173" s="56"/>
      <c r="O173" s="56"/>
      <c r="P173" s="83"/>
      <c r="Q173" s="80"/>
      <c r="R173" s="75"/>
      <c r="S173" s="75"/>
      <c r="T173" s="75"/>
      <c r="U173" s="75"/>
      <c r="V173" s="75"/>
    </row>
    <row r="174" spans="1:22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6"/>
      <c r="M174" s="56"/>
      <c r="N174" s="56"/>
      <c r="O174" s="56"/>
      <c r="P174" s="83"/>
      <c r="Q174" s="80"/>
      <c r="R174" s="75"/>
      <c r="S174" s="75"/>
      <c r="T174" s="75"/>
      <c r="U174" s="75"/>
      <c r="V174" s="75"/>
    </row>
    <row r="175" spans="1:2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6"/>
      <c r="M175" s="56"/>
      <c r="N175" s="56"/>
      <c r="O175" s="56"/>
      <c r="P175" s="83"/>
      <c r="Q175" s="80"/>
      <c r="R175" s="75"/>
      <c r="S175" s="75"/>
      <c r="T175" s="75"/>
      <c r="U175" s="75"/>
      <c r="V175" s="75"/>
    </row>
    <row r="176" spans="1:2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6"/>
      <c r="M176" s="56"/>
      <c r="N176" s="56"/>
      <c r="O176" s="56"/>
      <c r="P176" s="83"/>
      <c r="Q176" s="80"/>
      <c r="R176" s="75"/>
      <c r="S176" s="75"/>
      <c r="T176" s="75"/>
      <c r="U176" s="75"/>
      <c r="V176" s="75"/>
    </row>
    <row r="177" spans="1:2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6"/>
      <c r="M177" s="56"/>
      <c r="N177" s="56"/>
      <c r="O177" s="56"/>
      <c r="P177" s="83"/>
      <c r="Q177" s="80"/>
      <c r="R177" s="75"/>
      <c r="S177" s="75"/>
      <c r="T177" s="75"/>
      <c r="U177" s="75"/>
      <c r="V177" s="75"/>
    </row>
    <row r="178" spans="1:2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6"/>
      <c r="M178" s="56"/>
      <c r="N178" s="56"/>
      <c r="O178" s="56"/>
      <c r="P178" s="83"/>
      <c r="Q178" s="80"/>
      <c r="R178" s="75"/>
      <c r="S178" s="75"/>
      <c r="T178" s="75"/>
      <c r="U178" s="75"/>
      <c r="V178" s="75"/>
    </row>
    <row r="179" spans="1:2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M179" s="56"/>
      <c r="N179" s="56"/>
      <c r="O179" s="56"/>
      <c r="P179" s="83"/>
      <c r="Q179" s="80"/>
      <c r="R179" s="75"/>
      <c r="S179" s="75"/>
      <c r="T179" s="75"/>
      <c r="U179" s="75"/>
      <c r="V179" s="75"/>
    </row>
    <row r="180" spans="1:2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6"/>
      <c r="M180" s="56"/>
      <c r="N180" s="56"/>
      <c r="O180" s="56"/>
      <c r="P180" s="83"/>
      <c r="Q180" s="80"/>
      <c r="R180" s="75"/>
      <c r="S180" s="75"/>
      <c r="T180" s="75"/>
      <c r="U180" s="75"/>
      <c r="V180" s="75"/>
    </row>
    <row r="181" spans="1:2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6"/>
      <c r="M181" s="56"/>
      <c r="N181" s="56"/>
      <c r="O181" s="56"/>
      <c r="P181" s="83"/>
      <c r="Q181" s="80"/>
      <c r="R181" s="75"/>
      <c r="S181" s="75"/>
      <c r="T181" s="75"/>
      <c r="U181" s="75"/>
      <c r="V181" s="75"/>
    </row>
    <row r="182" spans="1:2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6"/>
      <c r="M182" s="56"/>
      <c r="N182" s="56"/>
      <c r="O182" s="56"/>
      <c r="P182" s="83"/>
      <c r="Q182" s="80"/>
      <c r="R182" s="75"/>
      <c r="S182" s="75"/>
      <c r="T182" s="75"/>
      <c r="U182" s="75"/>
      <c r="V182" s="75"/>
    </row>
    <row r="183" spans="1:2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6"/>
      <c r="M183" s="56"/>
      <c r="N183" s="56"/>
      <c r="O183" s="56"/>
      <c r="P183" s="83"/>
      <c r="Q183" s="80"/>
      <c r="R183" s="75"/>
      <c r="S183" s="75"/>
      <c r="T183" s="75"/>
      <c r="U183" s="75"/>
      <c r="V183" s="75"/>
    </row>
    <row r="184" spans="1:2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6"/>
      <c r="M184" s="56"/>
      <c r="N184" s="56"/>
      <c r="O184" s="56"/>
      <c r="P184" s="83"/>
      <c r="Q184" s="80"/>
      <c r="R184" s="75"/>
      <c r="S184" s="75"/>
      <c r="T184" s="75"/>
      <c r="U184" s="75"/>
      <c r="V184" s="75"/>
    </row>
    <row r="185" spans="1:2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6"/>
      <c r="M185" s="81"/>
      <c r="N185" s="81"/>
      <c r="O185" s="81"/>
      <c r="P185" s="82"/>
      <c r="Q185" s="81"/>
      <c r="R185" s="75"/>
      <c r="S185" s="75"/>
      <c r="T185" s="75"/>
      <c r="U185" s="75"/>
      <c r="V185" s="75"/>
    </row>
    <row r="186" spans="1:2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</row>
    <row r="187" spans="1:2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</row>
    <row r="188" spans="1:2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</row>
    <row r="189" spans="1:2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</row>
    <row r="190" spans="1:2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</row>
    <row r="191" spans="1:2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</row>
    <row r="192" spans="1:2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</row>
    <row r="193" spans="1:2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</row>
    <row r="194" spans="1:2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</row>
    <row r="195" spans="1:2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</row>
    <row r="196" spans="1:2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</row>
    <row r="197" spans="1:2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</row>
    <row r="198" spans="1:2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</row>
    <row r="199" spans="1:2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</row>
    <row r="200" spans="1:2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</row>
    <row r="201" spans="1:2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</row>
    <row r="202" spans="1:2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</row>
    <row r="203" spans="1:22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</row>
    <row r="204" spans="1:22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</row>
    <row r="205" spans="1:22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</row>
    <row r="206" spans="1:22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</row>
    <row r="207" spans="1:22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</row>
    <row r="208" spans="1:22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</row>
    <row r="209" spans="1:22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</row>
    <row r="210" spans="1:22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</row>
    <row r="211" spans="1:22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</row>
    <row r="212" spans="1:2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</row>
    <row r="213" spans="1:22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</row>
    <row r="214" spans="1:22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</row>
    <row r="215" spans="1:22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</row>
    <row r="216" spans="1:22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</row>
    <row r="217" spans="1:22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</row>
    <row r="218" spans="1:22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</row>
    <row r="219" spans="1:22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</row>
    <row r="220" spans="1:22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</row>
    <row r="221" spans="1:22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</row>
    <row r="222" spans="1: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</row>
  </sheetData>
  <mergeCells count="11">
    <mergeCell ref="B71:E71"/>
    <mergeCell ref="F71:I71"/>
    <mergeCell ref="L71:Q71"/>
    <mergeCell ref="L129:Q133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2"/>
  <sheetViews>
    <sheetView zoomScaleNormal="100" workbookViewId="0">
      <selection activeCell="B6" sqref="B6:D56"/>
    </sheetView>
  </sheetViews>
  <sheetFormatPr baseColWidth="10" defaultColWidth="13" defaultRowHeight="12.75"/>
  <cols>
    <col min="1" max="1" width="31.7109375" style="85" customWidth="1"/>
    <col min="2" max="2" width="16" style="85" customWidth="1"/>
    <col min="3" max="4" width="16.5703125" style="85" customWidth="1"/>
    <col min="5" max="5" width="21" style="85" customWidth="1"/>
    <col min="6" max="16384" width="13" style="85"/>
  </cols>
  <sheetData>
    <row r="1" spans="1:42">
      <c r="A1" s="467" t="s">
        <v>109</v>
      </c>
      <c r="B1" s="467"/>
      <c r="C1" s="467"/>
      <c r="D1" s="467"/>
      <c r="E1" s="467"/>
      <c r="F1" s="241"/>
      <c r="G1" s="241"/>
      <c r="H1" s="241"/>
      <c r="I1" s="241"/>
      <c r="J1" s="241"/>
      <c r="K1" s="241"/>
      <c r="L1" s="241"/>
    </row>
    <row r="2" spans="1:42">
      <c r="A2" s="467" t="s">
        <v>254</v>
      </c>
      <c r="B2" s="467"/>
      <c r="C2" s="467"/>
      <c r="D2" s="467"/>
      <c r="E2" s="467"/>
      <c r="F2" s="241"/>
      <c r="G2" s="241"/>
      <c r="H2" s="241"/>
      <c r="I2" s="241"/>
      <c r="J2" s="241"/>
      <c r="K2" s="241"/>
      <c r="L2" s="241"/>
    </row>
    <row r="3" spans="1:42">
      <c r="A3" s="466" t="s">
        <v>361</v>
      </c>
      <c r="B3" s="466"/>
      <c r="C3" s="466"/>
      <c r="D3" s="466"/>
      <c r="E3" s="466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2" ht="13.5" thickBot="1">
      <c r="A4" s="466" t="s">
        <v>219</v>
      </c>
      <c r="B4" s="466"/>
      <c r="C4" s="466"/>
      <c r="D4" s="466"/>
      <c r="E4" s="466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</row>
    <row r="5" spans="1:42" ht="33" thickTop="1" thickBot="1">
      <c r="A5" s="86" t="s">
        <v>0</v>
      </c>
      <c r="B5" s="162" t="s">
        <v>224</v>
      </c>
      <c r="C5" s="87" t="s">
        <v>225</v>
      </c>
      <c r="D5" s="87" t="s">
        <v>364</v>
      </c>
      <c r="E5" s="87" t="s">
        <v>53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</row>
    <row r="6" spans="1:42" ht="16.5" thickTop="1">
      <c r="A6" s="332" t="s">
        <v>1</v>
      </c>
      <c r="B6" s="333">
        <v>80787</v>
      </c>
      <c r="C6" s="333"/>
      <c r="D6" s="425">
        <v>46238</v>
      </c>
      <c r="E6" s="88">
        <f>SUM(B6:C6)-D6</f>
        <v>34549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</row>
    <row r="7" spans="1:42" ht="15.75">
      <c r="A7" s="334" t="s">
        <v>2</v>
      </c>
      <c r="B7" s="335">
        <v>506788</v>
      </c>
      <c r="C7" s="335"/>
      <c r="D7" s="426">
        <v>15659</v>
      </c>
      <c r="E7" s="88">
        <f t="shared" ref="E7:E57" si="0">SUM(B7:C7)-D7</f>
        <v>491129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</row>
    <row r="8" spans="1:42" ht="15.75">
      <c r="A8" s="334" t="s">
        <v>3</v>
      </c>
      <c r="B8" s="335"/>
      <c r="C8" s="335"/>
      <c r="D8" s="426"/>
      <c r="E8" s="88">
        <f t="shared" si="0"/>
        <v>0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</row>
    <row r="9" spans="1:42" ht="15.75">
      <c r="A9" s="334" t="s">
        <v>4</v>
      </c>
      <c r="B9" s="335">
        <v>785115</v>
      </c>
      <c r="C9" s="335"/>
      <c r="D9" s="426">
        <v>91324</v>
      </c>
      <c r="E9" s="88">
        <f t="shared" si="0"/>
        <v>693791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</row>
    <row r="10" spans="1:42" ht="15.75">
      <c r="A10" s="334" t="s">
        <v>5</v>
      </c>
      <c r="B10" s="335">
        <v>331214</v>
      </c>
      <c r="C10" s="335"/>
      <c r="D10" s="426">
        <v>69217</v>
      </c>
      <c r="E10" s="88">
        <f t="shared" si="0"/>
        <v>261997</v>
      </c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</row>
    <row r="11" spans="1:42" ht="15.75">
      <c r="A11" s="334" t="s">
        <v>6</v>
      </c>
      <c r="B11" s="335">
        <v>4785619</v>
      </c>
      <c r="C11" s="335"/>
      <c r="D11" s="426">
        <v>2527787</v>
      </c>
      <c r="E11" s="88">
        <f t="shared" si="0"/>
        <v>2257832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</row>
    <row r="12" spans="1:42" ht="15.75">
      <c r="A12" s="334" t="s">
        <v>7</v>
      </c>
      <c r="B12" s="335"/>
      <c r="C12" s="335"/>
      <c r="D12" s="426">
        <v>74482</v>
      </c>
      <c r="E12" s="88">
        <f t="shared" si="0"/>
        <v>-74482</v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</row>
    <row r="13" spans="1:42" ht="15.75">
      <c r="A13" s="334" t="s">
        <v>8</v>
      </c>
      <c r="B13" s="335">
        <v>114549</v>
      </c>
      <c r="C13" s="335"/>
      <c r="D13" s="426">
        <v>1138</v>
      </c>
      <c r="E13" s="88">
        <f t="shared" si="0"/>
        <v>113411</v>
      </c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</row>
    <row r="14" spans="1:42" ht="15.75">
      <c r="A14" s="334" t="s">
        <v>9</v>
      </c>
      <c r="B14" s="335"/>
      <c r="C14" s="335"/>
      <c r="D14" s="426">
        <v>1384406</v>
      </c>
      <c r="E14" s="88">
        <f t="shared" si="0"/>
        <v>-1384406</v>
      </c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</row>
    <row r="15" spans="1:42" ht="15.75">
      <c r="A15" s="334" t="s">
        <v>10</v>
      </c>
      <c r="B15" s="335"/>
      <c r="C15" s="335"/>
      <c r="D15" s="426">
        <v>52132</v>
      </c>
      <c r="E15" s="88">
        <f t="shared" si="0"/>
        <v>-52132</v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</row>
    <row r="16" spans="1:42" ht="15.75">
      <c r="A16" s="334" t="s">
        <v>11</v>
      </c>
      <c r="B16" s="335"/>
      <c r="C16" s="335"/>
      <c r="D16" s="426"/>
      <c r="E16" s="88">
        <f t="shared" si="0"/>
        <v>0</v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</row>
    <row r="17" spans="1:42" ht="15.75">
      <c r="A17" s="334" t="s">
        <v>12</v>
      </c>
      <c r="B17" s="335">
        <v>323056</v>
      </c>
      <c r="C17" s="335"/>
      <c r="D17" s="426"/>
      <c r="E17" s="88">
        <f t="shared" si="0"/>
        <v>323056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</row>
    <row r="18" spans="1:42" ht="15.75">
      <c r="A18" s="334" t="s">
        <v>13</v>
      </c>
      <c r="B18" s="335"/>
      <c r="C18" s="335"/>
      <c r="D18" s="426"/>
      <c r="E18" s="88">
        <f t="shared" si="0"/>
        <v>0</v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</row>
    <row r="19" spans="1:42" ht="15.75">
      <c r="A19" s="334" t="s">
        <v>14</v>
      </c>
      <c r="B19" s="335"/>
      <c r="C19" s="335"/>
      <c r="D19" s="426"/>
      <c r="E19" s="88">
        <f t="shared" si="0"/>
        <v>0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</row>
    <row r="20" spans="1:42" ht="15.75">
      <c r="A20" s="334" t="s">
        <v>15</v>
      </c>
      <c r="B20" s="335">
        <v>27763</v>
      </c>
      <c r="C20" s="335"/>
      <c r="D20" s="426"/>
      <c r="E20" s="88">
        <f t="shared" si="0"/>
        <v>27763</v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</row>
    <row r="21" spans="1:42" ht="15.75">
      <c r="A21" s="334" t="s">
        <v>16</v>
      </c>
      <c r="B21" s="335">
        <v>103567</v>
      </c>
      <c r="C21" s="335"/>
      <c r="D21" s="426">
        <v>3167</v>
      </c>
      <c r="E21" s="88">
        <f t="shared" si="0"/>
        <v>100400</v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</row>
    <row r="22" spans="1:42" ht="15.75">
      <c r="A22" s="334" t="s">
        <v>17</v>
      </c>
      <c r="B22" s="335">
        <v>1028207</v>
      </c>
      <c r="C22" s="335"/>
      <c r="D22" s="426">
        <v>16442</v>
      </c>
      <c r="E22" s="88">
        <f t="shared" si="0"/>
        <v>1011765</v>
      </c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</row>
    <row r="23" spans="1:42" ht="15.75">
      <c r="A23" s="334" t="s">
        <v>18</v>
      </c>
      <c r="B23" s="335">
        <v>15613081</v>
      </c>
      <c r="C23" s="335"/>
      <c r="D23" s="426">
        <v>200989</v>
      </c>
      <c r="E23" s="88">
        <f t="shared" si="0"/>
        <v>15412092</v>
      </c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</row>
    <row r="24" spans="1:42" ht="15.75">
      <c r="A24" s="334" t="s">
        <v>19</v>
      </c>
      <c r="B24" s="335"/>
      <c r="C24" s="335"/>
      <c r="D24" s="426"/>
      <c r="E24" s="88">
        <f t="shared" si="0"/>
        <v>0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</row>
    <row r="25" spans="1:42" ht="15.75">
      <c r="A25" s="334" t="s">
        <v>20</v>
      </c>
      <c r="B25" s="335">
        <v>3113155</v>
      </c>
      <c r="C25" s="335"/>
      <c r="D25" s="426">
        <v>227186</v>
      </c>
      <c r="E25" s="88">
        <f t="shared" si="0"/>
        <v>2885969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</row>
    <row r="26" spans="1:42" ht="15.75">
      <c r="A26" s="334" t="s">
        <v>21</v>
      </c>
      <c r="B26" s="335">
        <v>1671906</v>
      </c>
      <c r="C26" s="335"/>
      <c r="D26" s="426">
        <v>35425</v>
      </c>
      <c r="E26" s="88">
        <f t="shared" si="0"/>
        <v>1636481</v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</row>
    <row r="27" spans="1:42" ht="15.75">
      <c r="A27" s="334" t="s">
        <v>22</v>
      </c>
      <c r="B27" s="335"/>
      <c r="C27" s="335"/>
      <c r="D27" s="426"/>
      <c r="E27" s="88">
        <f t="shared" si="0"/>
        <v>0</v>
      </c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</row>
    <row r="28" spans="1:42" ht="15.75">
      <c r="A28" s="334" t="s">
        <v>23</v>
      </c>
      <c r="B28" s="335"/>
      <c r="C28" s="335"/>
      <c r="D28" s="426"/>
      <c r="E28" s="88">
        <f t="shared" si="0"/>
        <v>0</v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</row>
    <row r="29" spans="1:42" ht="15.75">
      <c r="A29" s="334" t="s">
        <v>24</v>
      </c>
      <c r="B29" s="335">
        <v>2216808</v>
      </c>
      <c r="C29" s="335"/>
      <c r="D29" s="426"/>
      <c r="E29" s="88">
        <f t="shared" si="0"/>
        <v>2216808</v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</row>
    <row r="30" spans="1:42" ht="15.75">
      <c r="A30" s="334" t="s">
        <v>25</v>
      </c>
      <c r="B30" s="335">
        <v>11143890</v>
      </c>
      <c r="C30" s="335"/>
      <c r="D30" s="426">
        <v>1515840</v>
      </c>
      <c r="E30" s="88">
        <f t="shared" si="0"/>
        <v>9628050</v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</row>
    <row r="31" spans="1:42" ht="15.75">
      <c r="A31" s="334" t="s">
        <v>26</v>
      </c>
      <c r="B31" s="335"/>
      <c r="C31" s="335"/>
      <c r="D31" s="426">
        <v>8911</v>
      </c>
      <c r="E31" s="88">
        <f t="shared" si="0"/>
        <v>-8911</v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</row>
    <row r="32" spans="1:42" ht="15.75">
      <c r="A32" s="334" t="s">
        <v>27</v>
      </c>
      <c r="B32" s="335"/>
      <c r="C32" s="335"/>
      <c r="D32" s="426">
        <v>6522</v>
      </c>
      <c r="E32" s="88">
        <f t="shared" si="0"/>
        <v>-6522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</row>
    <row r="33" spans="1:42" ht="15.75">
      <c r="A33" s="334" t="s">
        <v>28</v>
      </c>
      <c r="B33" s="335">
        <v>78314</v>
      </c>
      <c r="C33" s="335"/>
      <c r="D33" s="426"/>
      <c r="E33" s="88">
        <f t="shared" si="0"/>
        <v>78314</v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</row>
    <row r="34" spans="1:42" ht="15.75">
      <c r="A34" s="334" t="s">
        <v>29</v>
      </c>
      <c r="B34" s="335"/>
      <c r="C34" s="335"/>
      <c r="D34" s="426">
        <v>2755</v>
      </c>
      <c r="E34" s="88">
        <f t="shared" si="0"/>
        <v>-2755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</row>
    <row r="35" spans="1:42" ht="15.75">
      <c r="A35" s="334" t="s">
        <v>30</v>
      </c>
      <c r="B35" s="335">
        <v>38596.254371641415</v>
      </c>
      <c r="C35" s="335"/>
      <c r="D35" s="426">
        <v>1214</v>
      </c>
      <c r="E35" s="88">
        <f t="shared" si="0"/>
        <v>37382.254371641415</v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</row>
    <row r="36" spans="1:42" ht="15.75">
      <c r="A36" s="334" t="s">
        <v>31</v>
      </c>
      <c r="B36" s="335"/>
      <c r="C36" s="335"/>
      <c r="D36" s="426">
        <v>560136</v>
      </c>
      <c r="E36" s="88">
        <f t="shared" si="0"/>
        <v>-560136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</row>
    <row r="37" spans="1:42" ht="15.75">
      <c r="A37" s="334" t="s">
        <v>32</v>
      </c>
      <c r="B37" s="335">
        <v>266156</v>
      </c>
      <c r="C37" s="335"/>
      <c r="D37" s="426">
        <v>538</v>
      </c>
      <c r="E37" s="88">
        <f t="shared" si="0"/>
        <v>265618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</row>
    <row r="38" spans="1:42" ht="15.75">
      <c r="A38" s="334" t="s">
        <v>33</v>
      </c>
      <c r="B38" s="335">
        <v>982532</v>
      </c>
      <c r="C38" s="335"/>
      <c r="D38" s="426">
        <v>86567</v>
      </c>
      <c r="E38" s="88">
        <f t="shared" si="0"/>
        <v>895965</v>
      </c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</row>
    <row r="39" spans="1:42" ht="15.75">
      <c r="A39" s="334" t="s">
        <v>34</v>
      </c>
      <c r="B39" s="335">
        <v>781757</v>
      </c>
      <c r="C39" s="335"/>
      <c r="D39" s="426">
        <v>787</v>
      </c>
      <c r="E39" s="88">
        <f t="shared" si="0"/>
        <v>780970</v>
      </c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</row>
    <row r="40" spans="1:42" ht="15.75">
      <c r="A40" s="334" t="s">
        <v>35</v>
      </c>
      <c r="B40" s="335">
        <v>131742</v>
      </c>
      <c r="C40" s="335"/>
      <c r="D40" s="426">
        <v>10597</v>
      </c>
      <c r="E40" s="88">
        <f t="shared" si="0"/>
        <v>121145</v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</row>
    <row r="41" spans="1:42" ht="15.75">
      <c r="A41" s="334" t="s">
        <v>36</v>
      </c>
      <c r="B41" s="335">
        <v>272415.31172517349</v>
      </c>
      <c r="C41" s="335"/>
      <c r="D41" s="426">
        <v>556</v>
      </c>
      <c r="E41" s="88">
        <f t="shared" si="0"/>
        <v>271859.31172517349</v>
      </c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</row>
    <row r="42" spans="1:42" ht="15.75">
      <c r="A42" s="334" t="s">
        <v>37</v>
      </c>
      <c r="B42" s="335"/>
      <c r="C42" s="335"/>
      <c r="D42" s="426"/>
      <c r="E42" s="88">
        <f t="shared" si="0"/>
        <v>0</v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</row>
    <row r="43" spans="1:42" ht="15.75">
      <c r="A43" s="334" t="s">
        <v>38</v>
      </c>
      <c r="B43" s="335"/>
      <c r="C43" s="335"/>
      <c r="D43" s="426">
        <v>116670</v>
      </c>
      <c r="E43" s="88">
        <f t="shared" si="0"/>
        <v>-116670</v>
      </c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</row>
    <row r="44" spans="1:42" ht="15.75">
      <c r="A44" s="334" t="s">
        <v>39</v>
      </c>
      <c r="B44" s="335">
        <v>18573067</v>
      </c>
      <c r="C44" s="335">
        <v>430247</v>
      </c>
      <c r="D44" s="426">
        <v>3633290</v>
      </c>
      <c r="E44" s="88">
        <f t="shared" si="0"/>
        <v>15370024</v>
      </c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</row>
    <row r="45" spans="1:42" ht="15.75">
      <c r="A45" s="334" t="s">
        <v>40</v>
      </c>
      <c r="B45" s="335">
        <v>28308</v>
      </c>
      <c r="C45" s="335"/>
      <c r="D45" s="426">
        <v>37379</v>
      </c>
      <c r="E45" s="88">
        <f t="shared" si="0"/>
        <v>-9071</v>
      </c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</row>
    <row r="46" spans="1:42" ht="15.75">
      <c r="A46" s="334" t="s">
        <v>41</v>
      </c>
      <c r="B46" s="335">
        <v>1749923</v>
      </c>
      <c r="C46" s="335"/>
      <c r="D46" s="426">
        <v>249526</v>
      </c>
      <c r="E46" s="88">
        <f t="shared" si="0"/>
        <v>1500397</v>
      </c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</row>
    <row r="47" spans="1:42" ht="15.75">
      <c r="A47" s="334" t="s">
        <v>42</v>
      </c>
      <c r="B47" s="335"/>
      <c r="C47" s="335"/>
      <c r="D47" s="426">
        <v>19912</v>
      </c>
      <c r="E47" s="88">
        <f t="shared" si="0"/>
        <v>-19912</v>
      </c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</row>
    <row r="48" spans="1:42" ht="15.75">
      <c r="A48" s="334" t="s">
        <v>43</v>
      </c>
      <c r="B48" s="335">
        <v>98094</v>
      </c>
      <c r="C48" s="335"/>
      <c r="D48" s="426">
        <v>1255</v>
      </c>
      <c r="E48" s="88">
        <f t="shared" si="0"/>
        <v>96839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</row>
    <row r="49" spans="1:42" ht="15.75">
      <c r="A49" s="334" t="s">
        <v>44</v>
      </c>
      <c r="B49" s="335">
        <v>1021310</v>
      </c>
      <c r="C49" s="335"/>
      <c r="D49" s="426">
        <v>68567</v>
      </c>
      <c r="E49" s="88">
        <f t="shared" si="0"/>
        <v>952743</v>
      </c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</row>
    <row r="50" spans="1:42" ht="15.75">
      <c r="A50" s="334" t="s">
        <v>45</v>
      </c>
      <c r="B50" s="335">
        <v>1302039</v>
      </c>
      <c r="C50" s="335"/>
      <c r="D50" s="426">
        <v>199224</v>
      </c>
      <c r="E50" s="88">
        <f t="shared" si="0"/>
        <v>1102815</v>
      </c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</row>
    <row r="51" spans="1:42" ht="15.75">
      <c r="A51" s="334" t="s">
        <v>46</v>
      </c>
      <c r="B51" s="335">
        <v>4909135</v>
      </c>
      <c r="C51" s="335">
        <v>314364</v>
      </c>
      <c r="D51" s="426">
        <v>610255</v>
      </c>
      <c r="E51" s="88">
        <f t="shared" si="0"/>
        <v>4613244</v>
      </c>
      <c r="F51" s="84" t="s">
        <v>154</v>
      </c>
      <c r="G51" s="84" t="s">
        <v>154</v>
      </c>
      <c r="H51" s="84" t="s">
        <v>154</v>
      </c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</row>
    <row r="52" spans="1:42" ht="15.75">
      <c r="A52" s="334" t="s">
        <v>47</v>
      </c>
      <c r="B52" s="335">
        <v>16615597</v>
      </c>
      <c r="C52" s="335">
        <v>253173</v>
      </c>
      <c r="D52" s="426">
        <v>1232954</v>
      </c>
      <c r="E52" s="88">
        <f t="shared" si="0"/>
        <v>15635816</v>
      </c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</row>
    <row r="53" spans="1:42" ht="15.75">
      <c r="A53" s="334" t="s">
        <v>48</v>
      </c>
      <c r="B53" s="335">
        <v>3676240</v>
      </c>
      <c r="C53" s="335"/>
      <c r="D53" s="426">
        <v>431122</v>
      </c>
      <c r="E53" s="88">
        <f t="shared" si="0"/>
        <v>3245118</v>
      </c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</row>
    <row r="54" spans="1:42" ht="15.75">
      <c r="A54" s="334" t="s">
        <v>49</v>
      </c>
      <c r="B54" s="335">
        <v>874406.66007818282</v>
      </c>
      <c r="C54" s="335"/>
      <c r="D54" s="426">
        <v>19021</v>
      </c>
      <c r="E54" s="88">
        <f t="shared" si="0"/>
        <v>855385.66007818282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</row>
    <row r="55" spans="1:42" ht="15.75">
      <c r="A55" s="334" t="s">
        <v>50</v>
      </c>
      <c r="B55" s="335"/>
      <c r="C55" s="335"/>
      <c r="D55" s="426">
        <v>1985</v>
      </c>
      <c r="E55" s="88">
        <f t="shared" si="0"/>
        <v>-1985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</row>
    <row r="56" spans="1:42" ht="16.5" thickBot="1">
      <c r="A56" s="336" t="s">
        <v>51</v>
      </c>
      <c r="B56" s="335">
        <v>434140</v>
      </c>
      <c r="C56" s="337"/>
      <c r="D56" s="427">
        <v>2630</v>
      </c>
      <c r="E56" s="428">
        <f t="shared" si="0"/>
        <v>431510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</row>
    <row r="57" spans="1:42" ht="17.25" thickTop="1" thickBot="1">
      <c r="A57" s="89" t="s">
        <v>52</v>
      </c>
      <c r="B57" s="90">
        <f t="shared" ref="B57:D57" si="1">SUM(B6:B56)</f>
        <v>93679277.226174995</v>
      </c>
      <c r="C57" s="90">
        <f t="shared" si="1"/>
        <v>997784</v>
      </c>
      <c r="D57" s="90">
        <f t="shared" si="1"/>
        <v>13563805</v>
      </c>
      <c r="E57" s="429">
        <f t="shared" si="0"/>
        <v>81113256.226174995</v>
      </c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</row>
    <row r="58" spans="1:42" ht="16.5" thickTop="1">
      <c r="A58" s="91"/>
      <c r="B58" s="91"/>
      <c r="C58" s="91"/>
      <c r="D58" s="91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</row>
    <row r="59" spans="1:42" ht="15.75">
      <c r="A59" s="92"/>
      <c r="B59" s="92"/>
      <c r="C59" s="143" t="s">
        <v>154</v>
      </c>
      <c r="D59" s="14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</row>
    <row r="60" spans="1:42" ht="15.75">
      <c r="A60" s="93"/>
      <c r="B60" s="93"/>
      <c r="C60" s="93"/>
      <c r="D60" s="9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</row>
    <row r="61" spans="1:42" ht="15.75">
      <c r="A61" s="93"/>
      <c r="B61" s="93"/>
      <c r="C61" s="93"/>
      <c r="D61" s="93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</row>
    <row r="62" spans="1:42" ht="15.75">
      <c r="A62" s="93"/>
      <c r="B62" s="93"/>
      <c r="C62" s="93"/>
      <c r="D62" s="93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</row>
    <row r="63" spans="1:42" ht="15.75">
      <c r="A63" s="93"/>
      <c r="B63" s="93"/>
      <c r="C63" s="93"/>
      <c r="D63" s="93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</row>
    <row r="64" spans="1:42" ht="15.75">
      <c r="A64" s="93"/>
      <c r="B64" s="93"/>
      <c r="C64" s="93"/>
      <c r="D64" s="93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</row>
    <row r="65" spans="1:42" ht="15.75">
      <c r="A65" s="93"/>
      <c r="B65" s="93"/>
      <c r="C65" s="93"/>
      <c r="D65" s="93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</row>
    <row r="66" spans="1:42" ht="15.75">
      <c r="A66" s="93"/>
      <c r="B66" s="93"/>
      <c r="C66" s="93"/>
      <c r="D66" s="93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</row>
    <row r="67" spans="1:42" ht="15.75">
      <c r="A67" s="93"/>
      <c r="B67" s="93"/>
      <c r="C67" s="93"/>
      <c r="D67" s="93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</row>
    <row r="68" spans="1:42" ht="15.75">
      <c r="A68" s="93"/>
      <c r="B68" s="93"/>
      <c r="C68" s="93"/>
      <c r="D68" s="93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</row>
    <row r="69" spans="1:42" ht="15.75">
      <c r="A69" s="93"/>
      <c r="B69" s="93"/>
      <c r="C69" s="93"/>
      <c r="D69" s="93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</row>
    <row r="70" spans="1:42" ht="15.75">
      <c r="A70" s="93"/>
      <c r="B70" s="93"/>
      <c r="C70" s="93"/>
      <c r="D70" s="93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</row>
    <row r="71" spans="1:42" ht="15.75">
      <c r="A71" s="93"/>
      <c r="B71" s="93"/>
      <c r="C71" s="93"/>
      <c r="D71" s="93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</row>
    <row r="72" spans="1:42" ht="15.75">
      <c r="A72" s="93"/>
      <c r="B72" s="93"/>
      <c r="C72" s="93"/>
      <c r="D72" s="93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</row>
    <row r="73" spans="1:42" ht="15.75">
      <c r="A73" s="93"/>
      <c r="B73" s="93"/>
      <c r="C73" s="93"/>
      <c r="D73" s="93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</row>
    <row r="74" spans="1:42" ht="15.75">
      <c r="A74" s="93"/>
      <c r="B74" s="93"/>
      <c r="C74" s="93"/>
      <c r="D74" s="93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</row>
    <row r="75" spans="1:42" ht="15.75">
      <c r="A75" s="93"/>
      <c r="B75" s="93"/>
      <c r="C75" s="93"/>
      <c r="D75" s="93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</row>
    <row r="76" spans="1:42" ht="15.75">
      <c r="A76" s="93"/>
      <c r="B76" s="93"/>
      <c r="C76" s="93"/>
      <c r="D76" s="93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</row>
    <row r="77" spans="1:42" ht="15.75">
      <c r="A77" s="93"/>
      <c r="B77" s="93"/>
      <c r="C77" s="93"/>
      <c r="D77" s="93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</row>
    <row r="78" spans="1:42" ht="15.75">
      <c r="A78" s="93"/>
      <c r="B78" s="93"/>
      <c r="C78" s="93"/>
      <c r="D78" s="93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</row>
    <row r="79" spans="1:42" ht="15.75">
      <c r="A79" s="93"/>
      <c r="B79" s="93"/>
      <c r="C79" s="93"/>
      <c r="D79" s="93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</row>
    <row r="80" spans="1:42" ht="15.75">
      <c r="A80" s="93"/>
      <c r="B80" s="93"/>
      <c r="C80" s="93"/>
      <c r="D80" s="93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</row>
    <row r="81" spans="1:42" ht="15.75">
      <c r="A81" s="93"/>
      <c r="B81" s="93"/>
      <c r="C81" s="93"/>
      <c r="D81" s="93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</row>
    <row r="82" spans="1:42" ht="15.75">
      <c r="A82" s="93"/>
      <c r="B82" s="93"/>
      <c r="C82" s="93"/>
      <c r="D82" s="93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</row>
    <row r="83" spans="1:42" ht="15.75">
      <c r="A83" s="93"/>
      <c r="B83" s="93"/>
      <c r="C83" s="93"/>
      <c r="D83" s="93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</row>
    <row r="84" spans="1:42" ht="15.75">
      <c r="A84" s="93"/>
      <c r="B84" s="93"/>
      <c r="C84" s="93"/>
      <c r="D84" s="93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</row>
    <row r="85" spans="1:42" ht="15.75">
      <c r="A85" s="93"/>
      <c r="B85" s="93"/>
      <c r="C85" s="93"/>
      <c r="D85" s="93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</row>
    <row r="86" spans="1:42" ht="15.75">
      <c r="A86" s="93"/>
      <c r="B86" s="93"/>
      <c r="C86" s="93"/>
      <c r="D86" s="93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</row>
    <row r="87" spans="1:42" ht="15.75">
      <c r="A87" s="93"/>
      <c r="B87" s="93"/>
      <c r="C87" s="93"/>
      <c r="D87" s="93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</row>
    <row r="88" spans="1:42" ht="15.75">
      <c r="A88" s="93"/>
      <c r="B88" s="93"/>
      <c r="C88" s="93"/>
      <c r="D88" s="93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</row>
    <row r="89" spans="1:42" ht="15.75">
      <c r="A89" s="93"/>
      <c r="B89" s="93"/>
      <c r="C89" s="93"/>
      <c r="D89" s="93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</row>
    <row r="90" spans="1:42" ht="15.75">
      <c r="A90" s="93"/>
      <c r="B90" s="93"/>
      <c r="C90" s="93"/>
      <c r="D90" s="93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</row>
    <row r="91" spans="1:42" ht="15.75">
      <c r="A91" s="93"/>
      <c r="B91" s="93"/>
      <c r="C91" s="93"/>
      <c r="D91" s="93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</row>
    <row r="92" spans="1:42" ht="15.75">
      <c r="A92" s="93"/>
      <c r="B92" s="93"/>
      <c r="C92" s="93"/>
      <c r="D92" s="93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</row>
    <row r="93" spans="1:42" ht="15.75">
      <c r="A93" s="93"/>
      <c r="B93" s="93"/>
      <c r="C93" s="93"/>
      <c r="D93" s="93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</row>
    <row r="94" spans="1:42" ht="15.75">
      <c r="A94" s="93"/>
      <c r="B94" s="93"/>
      <c r="C94" s="93"/>
      <c r="D94" s="93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</row>
    <row r="95" spans="1:42" ht="15.75">
      <c r="A95" s="93"/>
      <c r="B95" s="93"/>
      <c r="C95" s="93"/>
      <c r="D95" s="93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</row>
    <row r="96" spans="1:42" ht="15.75">
      <c r="A96" s="93"/>
      <c r="B96" s="93"/>
      <c r="C96" s="93"/>
      <c r="D96" s="93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</row>
    <row r="97" spans="1:42" ht="15.75">
      <c r="A97" s="93"/>
      <c r="B97" s="93"/>
      <c r="C97" s="93"/>
      <c r="D97" s="9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</row>
    <row r="98" spans="1:42" ht="15.75">
      <c r="A98" s="93"/>
      <c r="B98" s="93"/>
      <c r="C98" s="93"/>
      <c r="D98" s="93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</row>
    <row r="99" spans="1:42" ht="15.75">
      <c r="A99" s="93"/>
      <c r="B99" s="93"/>
      <c r="C99" s="93"/>
      <c r="D99" s="93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</row>
    <row r="100" spans="1:42" ht="15.75">
      <c r="A100" s="93"/>
      <c r="B100" s="93"/>
      <c r="C100" s="93"/>
      <c r="D100" s="93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</row>
    <row r="101" spans="1:42" ht="15.75">
      <c r="A101" s="93"/>
      <c r="B101" s="93"/>
      <c r="C101" s="93"/>
      <c r="D101" s="93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</row>
    <row r="102" spans="1:42" ht="15.75">
      <c r="A102" s="93"/>
      <c r="B102" s="93"/>
      <c r="C102" s="93"/>
      <c r="D102" s="93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</row>
    <row r="103" spans="1:42" ht="15.75">
      <c r="A103" s="93"/>
      <c r="B103" s="93"/>
      <c r="C103" s="93"/>
      <c r="D103" s="93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</row>
    <row r="104" spans="1:42" ht="15.75">
      <c r="A104" s="93"/>
      <c r="B104" s="93"/>
      <c r="C104" s="93"/>
      <c r="D104" s="93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</row>
    <row r="105" spans="1:42" ht="15.75">
      <c r="A105" s="93"/>
      <c r="B105" s="93"/>
      <c r="C105" s="93"/>
      <c r="D105" s="93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</row>
    <row r="106" spans="1:42" ht="15.75">
      <c r="A106" s="93"/>
      <c r="B106" s="93"/>
      <c r="C106" s="93"/>
      <c r="D106" s="93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</row>
    <row r="107" spans="1:42" ht="15.75">
      <c r="A107" s="93"/>
      <c r="B107" s="93"/>
      <c r="C107" s="93"/>
      <c r="D107" s="93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</row>
    <row r="108" spans="1:42" ht="15.75">
      <c r="A108" s="93"/>
      <c r="B108" s="93"/>
      <c r="C108" s="93"/>
      <c r="D108" s="93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</row>
    <row r="109" spans="1:42" ht="15.75">
      <c r="A109" s="93"/>
      <c r="B109" s="93"/>
      <c r="C109" s="93"/>
      <c r="D109" s="93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</row>
    <row r="110" spans="1:42" ht="15.75">
      <c r="A110" s="93"/>
      <c r="B110" s="93"/>
      <c r="C110" s="93"/>
      <c r="D110" s="93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</row>
    <row r="111" spans="1:42" ht="15.75">
      <c r="A111" s="93"/>
      <c r="B111" s="93"/>
      <c r="C111" s="93"/>
      <c r="D111" s="93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</row>
    <row r="112" spans="1:42" ht="15.75">
      <c r="A112" s="93"/>
      <c r="B112" s="93"/>
      <c r="C112" s="93"/>
      <c r="D112" s="93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</row>
    <row r="113" spans="1:42" ht="15.75">
      <c r="A113" s="93"/>
      <c r="B113" s="93"/>
      <c r="C113" s="93"/>
      <c r="D113" s="93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</row>
    <row r="114" spans="1:42" ht="15.75">
      <c r="A114" s="93"/>
      <c r="B114" s="93"/>
      <c r="C114" s="93"/>
      <c r="D114" s="93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</row>
    <row r="115" spans="1:42" ht="15.75">
      <c r="A115" s="93"/>
      <c r="B115" s="93"/>
      <c r="C115" s="93"/>
      <c r="D115" s="93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</row>
    <row r="116" spans="1:42" ht="15.75">
      <c r="A116" s="93"/>
      <c r="B116" s="93"/>
      <c r="C116" s="93"/>
      <c r="D116" s="93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</row>
    <row r="117" spans="1:42" ht="15.75">
      <c r="A117" s="93"/>
      <c r="B117" s="93"/>
      <c r="C117" s="93"/>
      <c r="D117" s="93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</row>
    <row r="118" spans="1:42" ht="15.75">
      <c r="A118" s="93"/>
      <c r="B118" s="93"/>
      <c r="C118" s="93"/>
      <c r="D118" s="93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</row>
    <row r="119" spans="1:42" ht="15.75">
      <c r="A119" s="93"/>
      <c r="B119" s="93"/>
      <c r="C119" s="93"/>
      <c r="D119" s="93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</row>
    <row r="120" spans="1:42" ht="15.75">
      <c r="A120" s="93"/>
      <c r="B120" s="93"/>
      <c r="C120" s="93"/>
      <c r="D120" s="93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</row>
    <row r="121" spans="1:42" ht="15.75">
      <c r="A121" s="93"/>
      <c r="B121" s="93"/>
      <c r="C121" s="93"/>
      <c r="D121" s="93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</row>
    <row r="122" spans="1:42" ht="15.75">
      <c r="A122" s="93"/>
      <c r="B122" s="93"/>
      <c r="C122" s="93"/>
      <c r="D122" s="93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</row>
    <row r="123" spans="1:42" ht="15.75">
      <c r="A123" s="93"/>
      <c r="B123" s="93"/>
      <c r="C123" s="93"/>
      <c r="D123" s="93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</row>
    <row r="124" spans="1:42" ht="15.75">
      <c r="A124" s="93"/>
      <c r="B124" s="93"/>
      <c r="C124" s="93"/>
      <c r="D124" s="93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</row>
    <row r="125" spans="1:42" ht="15.75">
      <c r="A125" s="93"/>
      <c r="B125" s="93"/>
      <c r="C125" s="93"/>
      <c r="D125" s="93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</row>
    <row r="126" spans="1:42" ht="15.75">
      <c r="A126" s="93"/>
      <c r="B126" s="93"/>
      <c r="C126" s="93"/>
      <c r="D126" s="93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</row>
    <row r="127" spans="1:42" ht="15.75">
      <c r="A127" s="93"/>
      <c r="B127" s="93"/>
      <c r="C127" s="93"/>
      <c r="D127" s="93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</row>
    <row r="128" spans="1:42" ht="15.75">
      <c r="A128" s="93"/>
      <c r="B128" s="93"/>
      <c r="C128" s="93"/>
      <c r="D128" s="93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</row>
    <row r="129" spans="1:42" ht="15.75">
      <c r="A129" s="93"/>
      <c r="B129" s="93"/>
      <c r="C129" s="93"/>
      <c r="D129" s="93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</row>
    <row r="130" spans="1:42" ht="15.75">
      <c r="A130" s="93"/>
      <c r="B130" s="93"/>
      <c r="C130" s="93"/>
      <c r="D130" s="93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</row>
    <row r="131" spans="1:42" ht="15.75">
      <c r="A131" s="93"/>
      <c r="B131" s="93"/>
      <c r="C131" s="93"/>
      <c r="D131" s="93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</row>
    <row r="132" spans="1:42" ht="15.75">
      <c r="A132" s="93"/>
      <c r="B132" s="93"/>
      <c r="C132" s="93"/>
      <c r="D132" s="93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</row>
    <row r="133" spans="1:42" ht="15.75">
      <c r="A133" s="93"/>
      <c r="B133" s="93"/>
      <c r="C133" s="93"/>
      <c r="D133" s="93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</row>
    <row r="134" spans="1:42" ht="15.75">
      <c r="A134" s="93"/>
      <c r="B134" s="93"/>
      <c r="C134" s="93"/>
      <c r="D134" s="93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</row>
    <row r="135" spans="1:42" ht="15.75">
      <c r="A135" s="93"/>
      <c r="B135" s="93"/>
      <c r="C135" s="93"/>
      <c r="D135" s="93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</row>
    <row r="136" spans="1:42" ht="15.75">
      <c r="A136" s="93"/>
      <c r="B136" s="93"/>
      <c r="C136" s="93"/>
      <c r="D136" s="93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</row>
    <row r="137" spans="1:42" ht="15.75">
      <c r="A137" s="93"/>
      <c r="B137" s="93"/>
      <c r="C137" s="93"/>
      <c r="D137" s="93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</row>
    <row r="138" spans="1:42" ht="15.75">
      <c r="A138" s="93"/>
      <c r="B138" s="93"/>
      <c r="C138" s="93"/>
      <c r="D138" s="93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</row>
    <row r="139" spans="1:42" ht="15.75">
      <c r="A139" s="93"/>
      <c r="B139" s="93"/>
      <c r="C139" s="93"/>
      <c r="D139" s="93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</row>
    <row r="140" spans="1:42" ht="15.75">
      <c r="A140" s="93"/>
      <c r="B140" s="93"/>
      <c r="C140" s="93"/>
      <c r="D140" s="93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</row>
    <row r="141" spans="1:42" ht="15.75">
      <c r="A141" s="93"/>
      <c r="B141" s="93"/>
      <c r="C141" s="93"/>
      <c r="D141" s="93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</row>
    <row r="142" spans="1:42" ht="15.75">
      <c r="A142" s="93"/>
      <c r="B142" s="93"/>
      <c r="C142" s="93"/>
      <c r="D142" s="93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</row>
    <row r="143" spans="1:42" ht="15.75">
      <c r="A143" s="93"/>
      <c r="B143" s="93"/>
      <c r="C143" s="93"/>
      <c r="D143" s="93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</row>
    <row r="144" spans="1:42" ht="15.75">
      <c r="A144" s="93"/>
      <c r="B144" s="93"/>
      <c r="C144" s="93"/>
      <c r="D144" s="93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</row>
    <row r="145" spans="1:42" ht="15.75">
      <c r="A145" s="93"/>
      <c r="B145" s="93"/>
      <c r="C145" s="93"/>
      <c r="D145" s="93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</row>
    <row r="146" spans="1:42" ht="15.75">
      <c r="A146" s="93"/>
      <c r="B146" s="93"/>
      <c r="C146" s="93"/>
      <c r="D146" s="93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</row>
    <row r="147" spans="1:42" ht="15.75">
      <c r="A147" s="93"/>
      <c r="B147" s="93"/>
      <c r="C147" s="93"/>
      <c r="D147" s="93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</row>
    <row r="148" spans="1:42" ht="15.75">
      <c r="A148" s="93"/>
      <c r="B148" s="93"/>
      <c r="C148" s="93"/>
      <c r="D148" s="93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</row>
    <row r="149" spans="1:42" ht="15.75">
      <c r="A149" s="93"/>
      <c r="B149" s="93"/>
      <c r="C149" s="93"/>
      <c r="D149" s="93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</row>
    <row r="150" spans="1:42" ht="15.75">
      <c r="A150" s="93"/>
      <c r="B150" s="93"/>
      <c r="C150" s="93"/>
      <c r="D150" s="93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</row>
    <row r="151" spans="1:42" ht="15.75">
      <c r="A151" s="93"/>
      <c r="B151" s="93"/>
      <c r="C151" s="93"/>
      <c r="D151" s="93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</row>
    <row r="152" spans="1:42" ht="15.75">
      <c r="A152" s="93"/>
      <c r="B152" s="93"/>
      <c r="C152" s="93"/>
      <c r="D152" s="93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</row>
    <row r="153" spans="1:42" ht="15.75">
      <c r="A153" s="93"/>
      <c r="B153" s="93"/>
      <c r="C153" s="93"/>
      <c r="D153" s="93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</row>
    <row r="154" spans="1:42" ht="15.75">
      <c r="A154" s="93"/>
      <c r="B154" s="93"/>
      <c r="C154" s="93"/>
      <c r="D154" s="93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</row>
    <row r="155" spans="1:42" ht="15.75">
      <c r="A155" s="93"/>
      <c r="B155" s="93"/>
      <c r="C155" s="93"/>
      <c r="D155" s="93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</row>
    <row r="156" spans="1:42" ht="15.75">
      <c r="A156" s="93"/>
      <c r="B156" s="93"/>
      <c r="C156" s="93"/>
      <c r="D156" s="93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</row>
    <row r="157" spans="1:42" ht="15.75">
      <c r="A157" s="93"/>
      <c r="B157" s="93"/>
      <c r="C157" s="93"/>
      <c r="D157" s="93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</row>
    <row r="158" spans="1:42" ht="15.75">
      <c r="A158" s="93"/>
      <c r="B158" s="93"/>
      <c r="C158" s="93"/>
      <c r="D158" s="93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</row>
    <row r="159" spans="1:42" ht="15.75">
      <c r="A159" s="93"/>
      <c r="B159" s="93"/>
      <c r="C159" s="93"/>
      <c r="D159" s="93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</row>
    <row r="160" spans="1:42" ht="15.75">
      <c r="A160" s="93"/>
      <c r="B160" s="93"/>
      <c r="C160" s="93"/>
      <c r="D160" s="93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</row>
    <row r="161" spans="1:42" ht="15.75">
      <c r="A161" s="93"/>
      <c r="B161" s="93"/>
      <c r="C161" s="93"/>
      <c r="D161" s="93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</row>
    <row r="162" spans="1:42" ht="15.75">
      <c r="A162" s="93"/>
      <c r="B162" s="93"/>
      <c r="C162" s="93"/>
      <c r="D162" s="93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</row>
    <row r="163" spans="1:42" ht="15.75">
      <c r="A163" s="93"/>
      <c r="B163" s="93"/>
      <c r="C163" s="93"/>
      <c r="D163" s="93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</row>
    <row r="164" spans="1:42" ht="15.75">
      <c r="A164" s="93"/>
      <c r="B164" s="93"/>
      <c r="C164" s="93"/>
      <c r="D164" s="93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</row>
    <row r="165" spans="1:42" ht="15.75">
      <c r="A165" s="93"/>
      <c r="B165" s="93"/>
      <c r="C165" s="93"/>
      <c r="D165" s="93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</row>
    <row r="166" spans="1:42" ht="15.75">
      <c r="A166" s="93"/>
      <c r="B166" s="93"/>
      <c r="C166" s="93"/>
      <c r="D166" s="93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</row>
    <row r="167" spans="1:42" ht="15.75">
      <c r="A167" s="93"/>
      <c r="B167" s="93"/>
      <c r="C167" s="93"/>
      <c r="D167" s="93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</row>
    <row r="168" spans="1:42" ht="15.75">
      <c r="A168" s="93"/>
      <c r="B168" s="93"/>
      <c r="C168" s="93"/>
      <c r="D168" s="93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</row>
    <row r="169" spans="1:42" ht="15.75">
      <c r="A169" s="93"/>
      <c r="B169" s="93"/>
      <c r="C169" s="93"/>
      <c r="D169" s="93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</row>
    <row r="170" spans="1:42" ht="15.75">
      <c r="A170" s="93"/>
      <c r="B170" s="93"/>
      <c r="C170" s="93"/>
      <c r="D170" s="93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</row>
    <row r="171" spans="1:42" ht="15.75">
      <c r="A171" s="93"/>
      <c r="B171" s="93"/>
      <c r="C171" s="93"/>
      <c r="D171" s="93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</row>
    <row r="172" spans="1:42" ht="15.75">
      <c r="A172" s="93"/>
      <c r="B172" s="93"/>
      <c r="C172" s="93"/>
      <c r="D172" s="93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</row>
    <row r="173" spans="1:42" ht="15.75">
      <c r="A173" s="93"/>
      <c r="B173" s="93"/>
      <c r="C173" s="93"/>
      <c r="D173" s="93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</row>
    <row r="174" spans="1:42" ht="15.75">
      <c r="A174" s="93"/>
      <c r="B174" s="93"/>
      <c r="C174" s="93"/>
      <c r="D174" s="93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</row>
    <row r="175" spans="1:42" ht="15.75">
      <c r="A175" s="93"/>
      <c r="B175" s="93"/>
      <c r="C175" s="93"/>
      <c r="D175" s="93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</row>
    <row r="176" spans="1:42" ht="15.75">
      <c r="A176" s="93"/>
      <c r="B176" s="93"/>
      <c r="C176" s="93"/>
      <c r="D176" s="93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</row>
    <row r="177" spans="1:42" ht="15.75">
      <c r="A177" s="93"/>
      <c r="B177" s="93"/>
      <c r="C177" s="93"/>
      <c r="D177" s="93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</row>
    <row r="178" spans="1:42" ht="15.75">
      <c r="A178" s="93"/>
      <c r="B178" s="93"/>
      <c r="C178" s="93"/>
      <c r="D178" s="93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</row>
    <row r="179" spans="1:42" ht="15.75">
      <c r="A179" s="93"/>
      <c r="B179" s="93"/>
      <c r="C179" s="93"/>
      <c r="D179" s="93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</row>
    <row r="180" spans="1:42" ht="15.75">
      <c r="A180" s="93"/>
      <c r="B180" s="93"/>
      <c r="C180" s="93"/>
      <c r="D180" s="93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</row>
    <row r="181" spans="1:42" ht="15.75">
      <c r="A181" s="93"/>
      <c r="B181" s="93"/>
      <c r="C181" s="93"/>
      <c r="D181" s="93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</row>
    <row r="182" spans="1:42" ht="15.75">
      <c r="A182" s="93"/>
      <c r="B182" s="93"/>
      <c r="C182" s="93"/>
      <c r="D182" s="93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</row>
    <row r="183" spans="1:42" ht="15.75">
      <c r="A183" s="93"/>
      <c r="B183" s="93"/>
      <c r="C183" s="93"/>
      <c r="D183" s="93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</row>
    <row r="184" spans="1:42" ht="15.75">
      <c r="A184" s="93"/>
      <c r="B184" s="93"/>
      <c r="C184" s="93"/>
      <c r="D184" s="93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</row>
    <row r="185" spans="1:42" ht="15.75">
      <c r="A185" s="93"/>
      <c r="B185" s="93"/>
      <c r="C185" s="93"/>
      <c r="D185" s="93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</row>
    <row r="186" spans="1:42" ht="15.75">
      <c r="A186" s="93"/>
      <c r="B186" s="93"/>
      <c r="C186" s="93"/>
      <c r="D186" s="93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</row>
    <row r="187" spans="1:42" ht="15.75">
      <c r="A187" s="93"/>
      <c r="B187" s="93"/>
      <c r="C187" s="93"/>
      <c r="D187" s="93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</row>
    <row r="188" spans="1:42" ht="15.75">
      <c r="A188" s="93"/>
      <c r="B188" s="93"/>
      <c r="C188" s="93"/>
      <c r="D188" s="93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</row>
    <row r="189" spans="1:42" ht="15.75">
      <c r="A189" s="93"/>
      <c r="B189" s="93"/>
      <c r="C189" s="93"/>
      <c r="D189" s="93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</row>
    <row r="190" spans="1:42" ht="15.75">
      <c r="A190" s="93"/>
      <c r="B190" s="93"/>
      <c r="C190" s="93"/>
      <c r="D190" s="93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</row>
    <row r="191" spans="1:42" ht="15.75">
      <c r="A191" s="93"/>
      <c r="B191" s="93"/>
      <c r="C191" s="93"/>
      <c r="D191" s="93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</row>
    <row r="192" spans="1:42" ht="15.75">
      <c r="A192" s="93"/>
      <c r="B192" s="93"/>
      <c r="C192" s="93"/>
      <c r="D192" s="93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</row>
    <row r="193" spans="1:42" ht="15.75">
      <c r="A193" s="93"/>
      <c r="B193" s="93"/>
      <c r="C193" s="93"/>
      <c r="D193" s="93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</row>
    <row r="194" spans="1:42" ht="15.75">
      <c r="A194" s="93"/>
      <c r="B194" s="93"/>
      <c r="C194" s="93"/>
      <c r="D194" s="93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</row>
    <row r="195" spans="1:42" ht="15.75">
      <c r="A195" s="93"/>
      <c r="B195" s="93"/>
      <c r="C195" s="93"/>
      <c r="D195" s="93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</row>
    <row r="196" spans="1:42" ht="15.75">
      <c r="A196" s="93"/>
      <c r="B196" s="93"/>
      <c r="C196" s="93"/>
      <c r="D196" s="93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</row>
    <row r="197" spans="1:42" ht="15.75">
      <c r="A197" s="93"/>
      <c r="B197" s="93"/>
      <c r="C197" s="93"/>
      <c r="D197" s="93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</row>
    <row r="198" spans="1:42" ht="15.75">
      <c r="A198" s="93"/>
      <c r="B198" s="93"/>
      <c r="C198" s="93"/>
      <c r="D198" s="93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</row>
    <row r="199" spans="1:42" ht="15.75">
      <c r="A199" s="93"/>
      <c r="B199" s="93"/>
      <c r="C199" s="93"/>
      <c r="D199" s="93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</row>
    <row r="200" spans="1:42" ht="15.75">
      <c r="A200" s="93"/>
      <c r="B200" s="93"/>
      <c r="C200" s="93"/>
      <c r="D200" s="93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</row>
    <row r="201" spans="1:42" ht="15.75">
      <c r="A201" s="93"/>
      <c r="B201" s="93"/>
      <c r="C201" s="93"/>
      <c r="D201" s="93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</row>
    <row r="202" spans="1:42" ht="15.75">
      <c r="A202" s="93"/>
      <c r="B202" s="93"/>
      <c r="C202" s="93"/>
      <c r="D202" s="93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</row>
    <row r="203" spans="1:42" ht="15.75">
      <c r="A203" s="93"/>
      <c r="B203" s="93"/>
      <c r="C203" s="93"/>
      <c r="D203" s="93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</row>
    <row r="204" spans="1:42" ht="15.75">
      <c r="A204" s="93"/>
      <c r="B204" s="93"/>
      <c r="C204" s="93"/>
      <c r="D204" s="93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</row>
    <row r="205" spans="1:42" ht="15.75">
      <c r="A205" s="93"/>
      <c r="B205" s="93"/>
      <c r="C205" s="93"/>
      <c r="D205" s="93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</row>
    <row r="206" spans="1:42" ht="15.75">
      <c r="A206" s="93"/>
      <c r="B206" s="93"/>
      <c r="C206" s="93"/>
      <c r="D206" s="93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</row>
    <row r="207" spans="1:42" ht="15.75">
      <c r="A207" s="93"/>
      <c r="B207" s="93"/>
      <c r="C207" s="93"/>
      <c r="D207" s="93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</row>
    <row r="208" spans="1:42" ht="15.75">
      <c r="A208" s="93"/>
      <c r="B208" s="93"/>
      <c r="C208" s="93"/>
      <c r="D208" s="93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</row>
    <row r="209" spans="1:42" ht="15.75">
      <c r="A209" s="93"/>
      <c r="B209" s="93"/>
      <c r="C209" s="93"/>
      <c r="D209" s="93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</row>
    <row r="210" spans="1:42" ht="15.75">
      <c r="A210" s="93"/>
      <c r="B210" s="93"/>
      <c r="C210" s="93"/>
      <c r="D210" s="93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</row>
    <row r="211" spans="1:42" ht="15.75">
      <c r="A211" s="93"/>
      <c r="B211" s="93"/>
      <c r="C211" s="93"/>
      <c r="D211" s="93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</row>
    <row r="212" spans="1:42" ht="15.75">
      <c r="A212" s="93"/>
      <c r="B212" s="93"/>
      <c r="C212" s="93"/>
      <c r="D212" s="93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</row>
    <row r="213" spans="1:42" ht="15.75">
      <c r="A213" s="93"/>
      <c r="B213" s="93"/>
      <c r="C213" s="93"/>
      <c r="D213" s="93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</row>
    <row r="214" spans="1:42" ht="15.75">
      <c r="A214" s="93"/>
      <c r="B214" s="93"/>
      <c r="C214" s="93"/>
      <c r="D214" s="93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</row>
    <row r="215" spans="1:42" ht="15.75">
      <c r="A215" s="93"/>
      <c r="B215" s="93"/>
      <c r="C215" s="93"/>
      <c r="D215" s="93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</row>
    <row r="216" spans="1:42" ht="15.75">
      <c r="A216" s="93"/>
      <c r="B216" s="93"/>
      <c r="C216" s="93"/>
      <c r="D216" s="93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</row>
    <row r="217" spans="1:42" ht="16.5">
      <c r="A217" s="94"/>
      <c r="B217" s="94"/>
      <c r="C217" s="94"/>
      <c r="D217" s="9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</row>
    <row r="218" spans="1:42" ht="16.5">
      <c r="A218" s="94"/>
      <c r="B218" s="94"/>
      <c r="C218" s="94"/>
      <c r="D218" s="9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</row>
    <row r="219" spans="1:42" ht="16.5">
      <c r="A219" s="94"/>
      <c r="B219" s="94"/>
      <c r="C219" s="94"/>
      <c r="D219" s="9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</row>
    <row r="220" spans="1:42" ht="16.5">
      <c r="A220" s="94"/>
      <c r="B220" s="94"/>
      <c r="C220" s="94"/>
      <c r="D220" s="9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</row>
    <row r="221" spans="1:42" ht="16.5">
      <c r="A221" s="94"/>
      <c r="B221" s="94"/>
      <c r="C221" s="94"/>
      <c r="D221" s="9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</row>
    <row r="222" spans="1:42" ht="16.5">
      <c r="A222" s="94"/>
      <c r="B222" s="94"/>
      <c r="C222" s="94"/>
      <c r="D222" s="9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</row>
    <row r="223" spans="1:42" ht="16.5">
      <c r="A223" s="94"/>
      <c r="B223" s="94"/>
      <c r="C223" s="94"/>
      <c r="D223" s="9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</row>
    <row r="224" spans="1:42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</row>
    <row r="225" spans="1:42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</row>
    <row r="226" spans="1:42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</row>
    <row r="227" spans="1:42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</row>
    <row r="228" spans="1:42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</row>
    <row r="229" spans="1:42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</row>
    <row r="230" spans="1:42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</row>
    <row r="231" spans="1:42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</row>
    <row r="232" spans="1:4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</row>
    <row r="233" spans="1:42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</row>
    <row r="234" spans="1:42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</row>
    <row r="235" spans="1:42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</row>
    <row r="236" spans="1:42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</row>
    <row r="237" spans="1:42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</row>
    <row r="238" spans="1:42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</row>
    <row r="239" spans="1:42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</row>
    <row r="240" spans="1:42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</row>
    <row r="241" spans="1:42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</row>
    <row r="242" spans="1: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</row>
    <row r="243" spans="1:42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</row>
    <row r="244" spans="1:42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</row>
    <row r="245" spans="1:42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</row>
    <row r="246" spans="1:42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</row>
    <row r="247" spans="1:42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</row>
    <row r="248" spans="1:42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</row>
    <row r="249" spans="1:42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</row>
    <row r="250" spans="1:42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</row>
    <row r="251" spans="1:42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</row>
    <row r="252" spans="1:4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</row>
    <row r="253" spans="1:42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</row>
    <row r="254" spans="1:42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</row>
    <row r="255" spans="1:42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</row>
    <row r="256" spans="1:42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</row>
    <row r="257" spans="1:42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</row>
    <row r="258" spans="1:42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</row>
    <row r="259" spans="1:42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</row>
    <row r="260" spans="1:42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</row>
    <row r="261" spans="1:42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</row>
    <row r="262" spans="1:4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</row>
    <row r="263" spans="1:42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</row>
    <row r="264" spans="1:42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</row>
    <row r="265" spans="1:42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</row>
    <row r="266" spans="1:42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</row>
    <row r="267" spans="1:42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</row>
    <row r="268" spans="1:42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</row>
    <row r="269" spans="1:42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</row>
    <row r="270" spans="1:42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</row>
    <row r="271" spans="1:42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</row>
    <row r="272" spans="1:4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</row>
    <row r="273" spans="1:42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</row>
    <row r="274" spans="1:42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</row>
    <row r="275" spans="1:42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</row>
    <row r="276" spans="1:42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</row>
    <row r="277" spans="1:42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</row>
    <row r="278" spans="1:42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</row>
    <row r="279" spans="1:42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</row>
    <row r="280" spans="1:42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</row>
    <row r="281" spans="1:42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</row>
    <row r="282" spans="1:4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</row>
    <row r="283" spans="1:42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</row>
    <row r="284" spans="1:42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</row>
    <row r="285" spans="1:42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</row>
    <row r="286" spans="1:42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</row>
    <row r="287" spans="1:42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</row>
    <row r="288" spans="1:42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</row>
    <row r="289" spans="1:42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</row>
    <row r="290" spans="1:42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</row>
    <row r="291" spans="1:42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</row>
    <row r="292" spans="1:4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</row>
    <row r="293" spans="1:42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</row>
    <row r="294" spans="1:42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</row>
    <row r="295" spans="1:42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</row>
    <row r="296" spans="1:42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</row>
    <row r="297" spans="1:42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</row>
    <row r="298" spans="1:42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</row>
    <row r="299" spans="1:42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</row>
    <row r="300" spans="1:42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</row>
    <row r="301" spans="1:42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</row>
    <row r="302" spans="1:4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</row>
    <row r="303" spans="1:42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</row>
    <row r="304" spans="1:42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</row>
    <row r="305" spans="1:42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</row>
    <row r="306" spans="1:42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</row>
    <row r="307" spans="1:42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</row>
    <row r="308" spans="1:42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</row>
    <row r="309" spans="1:42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</row>
    <row r="310" spans="1:42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</row>
    <row r="311" spans="1:42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</row>
    <row r="312" spans="1:4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</row>
    <row r="313" spans="1:42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</row>
    <row r="314" spans="1:42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</row>
    <row r="315" spans="1:42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</row>
    <row r="316" spans="1:42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</row>
    <row r="317" spans="1:42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</row>
    <row r="318" spans="1:42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</row>
    <row r="319" spans="1:42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</row>
    <row r="320" spans="1:42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</row>
    <row r="321" spans="1:42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</row>
    <row r="322" spans="1:4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</row>
    <row r="323" spans="1:42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</row>
    <row r="324" spans="1:42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</row>
    <row r="325" spans="1:42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</row>
    <row r="326" spans="1:42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</row>
    <row r="327" spans="1:42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</row>
    <row r="328" spans="1:42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</row>
    <row r="329" spans="1:42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</row>
    <row r="330" spans="1:42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</row>
    <row r="331" spans="1:42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</row>
    <row r="332" spans="1:4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</row>
    <row r="333" spans="1:42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</row>
    <row r="334" spans="1:42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</row>
    <row r="335" spans="1:42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</row>
    <row r="336" spans="1:42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</row>
    <row r="337" spans="1:42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</row>
    <row r="338" spans="1:42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</row>
    <row r="339" spans="1:42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</row>
    <row r="340" spans="1:42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</row>
    <row r="341" spans="1:42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</row>
    <row r="342" spans="1: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</row>
    <row r="343" spans="1:42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</row>
    <row r="344" spans="1:42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</row>
    <row r="345" spans="1:42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</row>
    <row r="346" spans="1:42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</row>
    <row r="347" spans="1:42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</row>
    <row r="348" spans="1:42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</row>
    <row r="349" spans="1:42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</row>
    <row r="350" spans="1:42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</row>
    <row r="351" spans="1:42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</row>
    <row r="352" spans="1:4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</row>
    <row r="353" spans="1:42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</row>
    <row r="354" spans="1:42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</row>
    <row r="355" spans="1:42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</row>
    <row r="356" spans="1:42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</row>
    <row r="357" spans="1:42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</row>
    <row r="358" spans="1:42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</row>
    <row r="359" spans="1:42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</row>
    <row r="360" spans="1:42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</row>
    <row r="361" spans="1:42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</row>
    <row r="362" spans="1:4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</row>
    <row r="363" spans="1:42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</row>
    <row r="364" spans="1:42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</row>
    <row r="365" spans="1:42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</row>
    <row r="366" spans="1:42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</row>
    <row r="367" spans="1:42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</row>
    <row r="368" spans="1:42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</row>
    <row r="369" spans="1:42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</row>
    <row r="370" spans="1:42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</row>
    <row r="371" spans="1:42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</row>
    <row r="372" spans="1:4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</row>
    <row r="373" spans="1:42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</row>
    <row r="374" spans="1:42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</row>
    <row r="375" spans="1:42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</row>
    <row r="376" spans="1:42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</row>
    <row r="377" spans="1:42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</row>
    <row r="378" spans="1:42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</row>
    <row r="379" spans="1:42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</row>
    <row r="380" spans="1:42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</row>
    <row r="381" spans="1:42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</row>
    <row r="382" spans="1:4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</row>
    <row r="383" spans="1:42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</row>
    <row r="384" spans="1:42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</row>
    <row r="385" spans="1:42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</row>
    <row r="386" spans="1:42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</row>
    <row r="387" spans="1:42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</row>
    <row r="388" spans="1:42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</row>
    <row r="389" spans="1:42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</row>
    <row r="390" spans="1:42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</row>
    <row r="391" spans="1:42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</row>
    <row r="392" spans="1:4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</row>
    <row r="393" spans="1:42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</row>
    <row r="394" spans="1:42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</row>
    <row r="395" spans="1:42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</row>
    <row r="396" spans="1:42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</row>
    <row r="397" spans="1:42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</row>
    <row r="398" spans="1:42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</row>
    <row r="399" spans="1:42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</row>
    <row r="400" spans="1:42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</row>
    <row r="401" spans="1:42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</row>
    <row r="402" spans="1:4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</row>
    <row r="403" spans="1:42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</row>
    <row r="404" spans="1:42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</row>
    <row r="405" spans="1:42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</row>
    <row r="406" spans="1:42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</row>
    <row r="407" spans="1:42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</row>
    <row r="408" spans="1:42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</row>
    <row r="409" spans="1:42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</row>
    <row r="410" spans="1:42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</row>
    <row r="411" spans="1:42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</row>
    <row r="412" spans="1:4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</row>
    <row r="413" spans="1:42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</row>
    <row r="414" spans="1:42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</row>
    <row r="415" spans="1:42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</row>
    <row r="416" spans="1:42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</row>
    <row r="417" spans="1:42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</row>
    <row r="418" spans="1:42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</row>
    <row r="419" spans="1:42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</row>
    <row r="420" spans="1:42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</row>
    <row r="421" spans="1:42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</row>
    <row r="422" spans="1:4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</row>
  </sheetData>
  <mergeCells count="4">
    <mergeCell ref="A3:E3"/>
    <mergeCell ref="A4:E4"/>
    <mergeCell ref="A1:E1"/>
    <mergeCell ref="A2:E2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Normal="100" workbookViewId="0">
      <selection activeCell="D4" sqref="D4"/>
    </sheetView>
  </sheetViews>
  <sheetFormatPr baseColWidth="10" defaultRowHeight="12.75"/>
  <cols>
    <col min="1" max="1" width="48.140625" style="53" customWidth="1"/>
    <col min="2" max="2" width="20" style="54" customWidth="1"/>
    <col min="3" max="3" width="15.42578125" style="53" customWidth="1"/>
    <col min="4" max="4" width="29.28515625" style="53" customWidth="1"/>
    <col min="5" max="16384" width="11.42578125" style="53"/>
  </cols>
  <sheetData>
    <row r="1" spans="1:4" ht="15.75">
      <c r="A1" s="469" t="s">
        <v>216</v>
      </c>
      <c r="B1" s="470"/>
      <c r="C1" s="470"/>
      <c r="D1" s="470"/>
    </row>
    <row r="2" spans="1:4" ht="15.75">
      <c r="A2" s="468" t="s">
        <v>362</v>
      </c>
      <c r="B2" s="468"/>
      <c r="C2" s="468"/>
      <c r="D2" s="468"/>
    </row>
    <row r="3" spans="1:4" ht="15.75">
      <c r="A3" s="113" t="s">
        <v>155</v>
      </c>
      <c r="B3" s="114" t="s">
        <v>332</v>
      </c>
      <c r="C3" s="115" t="s">
        <v>156</v>
      </c>
      <c r="D3" s="115" t="s">
        <v>363</v>
      </c>
    </row>
    <row r="4" spans="1:4" ht="15.75">
      <c r="A4" s="116" t="s">
        <v>157</v>
      </c>
      <c r="B4" s="117">
        <v>532855.17000000004</v>
      </c>
      <c r="C4" s="118">
        <f>+B4/$B$55</f>
        <v>1.6375614570886518E-4</v>
      </c>
      <c r="D4" s="119">
        <f t="shared" ref="D4:D54" si="0">+B$58*C4</f>
        <v>1664.9249452804575</v>
      </c>
    </row>
    <row r="5" spans="1:4" ht="15.75">
      <c r="A5" s="120" t="s">
        <v>158</v>
      </c>
      <c r="B5" s="121">
        <v>500859.67</v>
      </c>
      <c r="C5" s="122">
        <f t="shared" ref="C5:C54" si="1">+B5/$B$55</f>
        <v>1.539233429980873E-4</v>
      </c>
      <c r="D5" s="123">
        <f t="shared" si="0"/>
        <v>1564.9538666725105</v>
      </c>
    </row>
    <row r="6" spans="1:4" ht="15.75">
      <c r="A6" s="120" t="s">
        <v>159</v>
      </c>
      <c r="B6" s="121">
        <v>28654</v>
      </c>
      <c r="C6" s="122">
        <f t="shared" si="1"/>
        <v>8.805898606823732E-6</v>
      </c>
      <c r="D6" s="123">
        <f t="shared" si="0"/>
        <v>89.530442919538956</v>
      </c>
    </row>
    <row r="7" spans="1:4" ht="15.75">
      <c r="A7" s="120" t="s">
        <v>160</v>
      </c>
      <c r="B7" s="121">
        <v>37159802.159999996</v>
      </c>
      <c r="C7" s="122">
        <f t="shared" si="1"/>
        <v>1.1419887278236528E-2</v>
      </c>
      <c r="D7" s="123">
        <f t="shared" si="0"/>
        <v>116107.12452667132</v>
      </c>
    </row>
    <row r="8" spans="1:4" ht="15.75">
      <c r="A8" s="120" t="s">
        <v>161</v>
      </c>
      <c r="B8" s="121">
        <v>5443891</v>
      </c>
      <c r="C8" s="122">
        <f t="shared" si="1"/>
        <v>1.6730073348433115E-3</v>
      </c>
      <c r="D8" s="123">
        <f t="shared" si="0"/>
        <v>17009.631201078097</v>
      </c>
    </row>
    <row r="9" spans="1:4" ht="15.75">
      <c r="A9" s="124" t="s">
        <v>162</v>
      </c>
      <c r="B9" s="121">
        <v>437216011.37</v>
      </c>
      <c r="C9" s="122">
        <f t="shared" si="1"/>
        <v>0.13436448193634787</v>
      </c>
      <c r="D9" s="123">
        <f t="shared" si="0"/>
        <v>1366096.9899305606</v>
      </c>
    </row>
    <row r="10" spans="1:4" ht="15.75">
      <c r="A10" s="120" t="s">
        <v>163</v>
      </c>
      <c r="B10" s="121">
        <v>1643390.2000000002</v>
      </c>
      <c r="C10" s="122">
        <f t="shared" si="1"/>
        <v>5.0504388471584339E-4</v>
      </c>
      <c r="D10" s="123">
        <f t="shared" si="0"/>
        <v>5134.831175250567</v>
      </c>
    </row>
    <row r="11" spans="1:4" ht="15.75">
      <c r="A11" s="120" t="s">
        <v>164</v>
      </c>
      <c r="B11" s="121">
        <v>262296.23</v>
      </c>
      <c r="C11" s="122">
        <f t="shared" si="1"/>
        <v>8.0608431853567282E-5</v>
      </c>
      <c r="D11" s="123">
        <f t="shared" si="0"/>
        <v>819.55390688997204</v>
      </c>
    </row>
    <row r="12" spans="1:4" ht="15.75">
      <c r="A12" s="120" t="s">
        <v>165</v>
      </c>
      <c r="B12" s="121">
        <v>27973312.5</v>
      </c>
      <c r="C12" s="122">
        <f t="shared" si="1"/>
        <v>8.5967108805749589E-3</v>
      </c>
      <c r="D12" s="123">
        <f t="shared" si="0"/>
        <v>87403.610597182778</v>
      </c>
    </row>
    <row r="13" spans="1:4" ht="15.75">
      <c r="A13" s="120" t="s">
        <v>166</v>
      </c>
      <c r="B13" s="121">
        <v>11926844</v>
      </c>
      <c r="C13" s="122">
        <f t="shared" si="1"/>
        <v>3.6653374385218112E-3</v>
      </c>
      <c r="D13" s="123">
        <f t="shared" si="0"/>
        <v>37265.848605857667</v>
      </c>
    </row>
    <row r="14" spans="1:4" ht="15.75">
      <c r="A14" s="120" t="s">
        <v>167</v>
      </c>
      <c r="B14" s="121">
        <v>1083458.81</v>
      </c>
      <c r="C14" s="122">
        <f t="shared" si="1"/>
        <v>3.3296672106965513E-4</v>
      </c>
      <c r="D14" s="123">
        <f t="shared" si="0"/>
        <v>3385.3056168205694</v>
      </c>
    </row>
    <row r="15" spans="1:4" ht="15.75">
      <c r="A15" s="120" t="s">
        <v>168</v>
      </c>
      <c r="B15" s="125">
        <v>1158032.3600000001</v>
      </c>
      <c r="C15" s="122">
        <f t="shared" si="1"/>
        <v>3.5588453778114047E-4</v>
      </c>
      <c r="D15" s="123">
        <f t="shared" si="0"/>
        <v>3618.3133281900955</v>
      </c>
    </row>
    <row r="16" spans="1:4" ht="15.75">
      <c r="A16" s="120" t="s">
        <v>169</v>
      </c>
      <c r="B16" s="121">
        <v>70814518</v>
      </c>
      <c r="C16" s="122">
        <f t="shared" si="1"/>
        <v>2.1762597382532771E-2</v>
      </c>
      <c r="D16" s="123">
        <f t="shared" si="0"/>
        <v>221262.48208535154</v>
      </c>
    </row>
    <row r="17" spans="1:7" ht="15.75">
      <c r="A17" s="120" t="s">
        <v>170</v>
      </c>
      <c r="B17" s="121">
        <v>242570</v>
      </c>
      <c r="C17" s="122">
        <f t="shared" si="1"/>
        <v>7.4546200357968607E-5</v>
      </c>
      <c r="D17" s="123">
        <f t="shared" si="0"/>
        <v>757.91859911330221</v>
      </c>
    </row>
    <row r="18" spans="1:7" ht="15.75">
      <c r="A18" s="120" t="s">
        <v>171</v>
      </c>
      <c r="B18" s="121">
        <v>50402.16</v>
      </c>
      <c r="C18" s="122">
        <f t="shared" si="1"/>
        <v>1.548950619546684E-5</v>
      </c>
      <c r="D18" s="123">
        <f t="shared" si="0"/>
        <v>157.48334295042471</v>
      </c>
    </row>
    <row r="19" spans="1:7" ht="15.75">
      <c r="A19" s="120" t="s">
        <v>172</v>
      </c>
      <c r="B19" s="126">
        <v>934148.74</v>
      </c>
      <c r="C19" s="122">
        <f t="shared" si="1"/>
        <v>2.8708100398311387E-4</v>
      </c>
      <c r="D19" s="123">
        <f t="shared" si="0"/>
        <v>2918.780988515713</v>
      </c>
    </row>
    <row r="20" spans="1:7" ht="15.75">
      <c r="A20" s="120" t="s">
        <v>173</v>
      </c>
      <c r="B20" s="121">
        <v>1427519</v>
      </c>
      <c r="C20" s="122">
        <f t="shared" si="1"/>
        <v>4.3870271422190294E-4</v>
      </c>
      <c r="D20" s="123">
        <f t="shared" si="0"/>
        <v>4460.3339270627948</v>
      </c>
      <c r="G20" s="53" t="s">
        <v>154</v>
      </c>
    </row>
    <row r="21" spans="1:7" ht="15.75">
      <c r="A21" s="120" t="s">
        <v>174</v>
      </c>
      <c r="B21" s="121">
        <v>302546029.12</v>
      </c>
      <c r="C21" s="122">
        <f t="shared" si="1"/>
        <v>9.2977931748721307E-2</v>
      </c>
      <c r="D21" s="123">
        <f t="shared" si="0"/>
        <v>945315.83690449269</v>
      </c>
    </row>
    <row r="22" spans="1:7" ht="15.75">
      <c r="A22" s="120" t="s">
        <v>175</v>
      </c>
      <c r="B22" s="121">
        <v>569006</v>
      </c>
      <c r="C22" s="122">
        <f t="shared" si="1"/>
        <v>1.7486595737678314E-4</v>
      </c>
      <c r="D22" s="123">
        <f t="shared" si="0"/>
        <v>1777.8795003795344</v>
      </c>
    </row>
    <row r="23" spans="1:7" ht="15.75">
      <c r="A23" s="120" t="s">
        <v>176</v>
      </c>
      <c r="B23" s="121">
        <v>154080926.87</v>
      </c>
      <c r="C23" s="122">
        <f t="shared" si="1"/>
        <v>4.7351888715803807E-2</v>
      </c>
      <c r="D23" s="123">
        <f t="shared" si="0"/>
        <v>481431.34041056019</v>
      </c>
    </row>
    <row r="24" spans="1:7" ht="15.75">
      <c r="A24" s="120" t="s">
        <v>177</v>
      </c>
      <c r="B24" s="121">
        <v>4946509.51</v>
      </c>
      <c r="C24" s="122">
        <f t="shared" si="1"/>
        <v>1.5201529002146065E-3</v>
      </c>
      <c r="D24" s="123">
        <f t="shared" si="0"/>
        <v>15455.545031619025</v>
      </c>
    </row>
    <row r="25" spans="1:7" ht="15.75">
      <c r="A25" s="120" t="s">
        <v>178</v>
      </c>
      <c r="B25" s="121">
        <v>47700</v>
      </c>
      <c r="C25" s="122">
        <f t="shared" si="1"/>
        <v>1.4659082974296502E-5</v>
      </c>
      <c r="D25" s="123">
        <f t="shared" si="0"/>
        <v>149.040347848887</v>
      </c>
    </row>
    <row r="26" spans="1:7" ht="15.75">
      <c r="A26" s="120" t="s">
        <v>179</v>
      </c>
      <c r="B26" s="121">
        <v>4418</v>
      </c>
      <c r="C26" s="122">
        <f t="shared" si="1"/>
        <v>1.3577322553551772E-6</v>
      </c>
      <c r="D26" s="123">
        <f t="shared" si="0"/>
        <v>13.804198255689366</v>
      </c>
    </row>
    <row r="27" spans="1:7" ht="15.75">
      <c r="A27" s="120" t="s">
        <v>180</v>
      </c>
      <c r="B27" s="121">
        <v>6963081.0699999994</v>
      </c>
      <c r="C27" s="122">
        <f t="shared" si="1"/>
        <v>2.1398822465803621E-3</v>
      </c>
      <c r="D27" s="123">
        <f t="shared" si="0"/>
        <v>21756.394649324953</v>
      </c>
    </row>
    <row r="28" spans="1:7" ht="15.75">
      <c r="A28" s="120" t="s">
        <v>181</v>
      </c>
      <c r="B28" s="121">
        <v>183395793.04000002</v>
      </c>
      <c r="C28" s="122">
        <f t="shared" si="1"/>
        <v>5.6360883591410262E-2</v>
      </c>
      <c r="D28" s="123">
        <f t="shared" si="0"/>
        <v>573026.68320134364</v>
      </c>
    </row>
    <row r="29" spans="1:7" ht="15.75">
      <c r="A29" s="120" t="s">
        <v>182</v>
      </c>
      <c r="B29" s="121">
        <v>35168</v>
      </c>
      <c r="C29" s="122">
        <f t="shared" si="1"/>
        <v>1.0807770021804181E-5</v>
      </c>
      <c r="D29" s="123">
        <f t="shared" si="0"/>
        <v>109.88366778091527</v>
      </c>
    </row>
    <row r="30" spans="1:7" ht="15.75">
      <c r="A30" s="120" t="s">
        <v>183</v>
      </c>
      <c r="B30" s="121">
        <v>204866.33</v>
      </c>
      <c r="C30" s="122">
        <f t="shared" si="1"/>
        <v>6.2959172538985505E-5</v>
      </c>
      <c r="D30" s="123">
        <f t="shared" si="0"/>
        <v>640.11214016194697</v>
      </c>
    </row>
    <row r="31" spans="1:7" ht="15.75">
      <c r="A31" s="120" t="s">
        <v>184</v>
      </c>
      <c r="B31" s="121">
        <v>276953.89999999997</v>
      </c>
      <c r="C31" s="122">
        <f t="shared" si="1"/>
        <v>8.5113002099685859E-5</v>
      </c>
      <c r="D31" s="123">
        <f t="shared" si="0"/>
        <v>865.35231853471396</v>
      </c>
    </row>
    <row r="32" spans="1:7" ht="15.75">
      <c r="A32" s="127" t="s">
        <v>185</v>
      </c>
      <c r="B32" s="121">
        <v>1253398.98</v>
      </c>
      <c r="C32" s="122">
        <f t="shared" si="1"/>
        <v>3.8519244544483441E-4</v>
      </c>
      <c r="D32" s="123">
        <f t="shared" si="0"/>
        <v>3916.2897268897304</v>
      </c>
    </row>
    <row r="33" spans="1:4" ht="15.75">
      <c r="A33" s="120" t="s">
        <v>186</v>
      </c>
      <c r="B33" s="121">
        <v>24273</v>
      </c>
      <c r="C33" s="122">
        <f t="shared" si="1"/>
        <v>7.4595371286184284E-6</v>
      </c>
      <c r="D33" s="123">
        <f t="shared" si="0"/>
        <v>75.841852480839293</v>
      </c>
    </row>
    <row r="34" spans="1:4" ht="15.75">
      <c r="A34" s="120" t="s">
        <v>187</v>
      </c>
      <c r="B34" s="128">
        <v>96713324.799999997</v>
      </c>
      <c r="C34" s="122">
        <f t="shared" si="1"/>
        <v>2.9721774695247123E-2</v>
      </c>
      <c r="D34" s="123">
        <f t="shared" si="0"/>
        <v>302184.22578227235</v>
      </c>
    </row>
    <row r="35" spans="1:4" ht="15.75">
      <c r="A35" s="120" t="s">
        <v>188</v>
      </c>
      <c r="B35" s="126">
        <v>2624214.0099999998</v>
      </c>
      <c r="C35" s="122">
        <f t="shared" si="1"/>
        <v>8.0646899192665308E-4</v>
      </c>
      <c r="D35" s="123">
        <f t="shared" si="0"/>
        <v>8199.4500813484829</v>
      </c>
    </row>
    <row r="36" spans="1:4" ht="15.75">
      <c r="A36" s="127" t="s">
        <v>189</v>
      </c>
      <c r="B36" s="121">
        <v>10174486.800000001</v>
      </c>
      <c r="C36" s="122">
        <f t="shared" si="1"/>
        <v>3.1268060004629879E-3</v>
      </c>
      <c r="D36" s="123">
        <f t="shared" si="0"/>
        <v>31790.546160501242</v>
      </c>
    </row>
    <row r="37" spans="1:4" ht="15.75">
      <c r="A37" s="120" t="s">
        <v>190</v>
      </c>
      <c r="B37" s="121">
        <v>2990927.88</v>
      </c>
      <c r="C37" s="122">
        <f t="shared" si="1"/>
        <v>9.191668755357805E-4</v>
      </c>
      <c r="D37" s="123">
        <f t="shared" si="0"/>
        <v>9345.2606210929589</v>
      </c>
    </row>
    <row r="38" spans="1:4" ht="15.75">
      <c r="A38" s="120" t="s">
        <v>191</v>
      </c>
      <c r="B38" s="121">
        <v>105901.43</v>
      </c>
      <c r="C38" s="122">
        <f t="shared" si="1"/>
        <v>3.2545447577917248E-5</v>
      </c>
      <c r="D38" s="123">
        <f t="shared" si="0"/>
        <v>330.89278752399485</v>
      </c>
    </row>
    <row r="39" spans="1:4" ht="15.75">
      <c r="A39" s="120" t="s">
        <v>192</v>
      </c>
      <c r="B39" s="121">
        <v>1884</v>
      </c>
      <c r="C39" s="122">
        <f t="shared" si="1"/>
        <v>5.7898767973950971E-7</v>
      </c>
      <c r="D39" s="123">
        <f t="shared" si="0"/>
        <v>5.8866250596918892</v>
      </c>
    </row>
    <row r="40" spans="1:4" ht="15.75">
      <c r="A40" s="120" t="s">
        <v>193</v>
      </c>
      <c r="B40" s="121">
        <v>788755</v>
      </c>
      <c r="C40" s="122">
        <f t="shared" si="1"/>
        <v>2.4239884677969053E-4</v>
      </c>
      <c r="D40" s="123">
        <f t="shared" si="0"/>
        <v>2464.4930726949447</v>
      </c>
    </row>
    <row r="41" spans="1:4" ht="15.75">
      <c r="A41" s="120" t="s">
        <v>194</v>
      </c>
      <c r="B41" s="121">
        <v>40444725</v>
      </c>
      <c r="C41" s="122">
        <f t="shared" si="1"/>
        <v>1.2429404185484364E-2</v>
      </c>
      <c r="D41" s="123">
        <f t="shared" si="0"/>
        <v>126370.98286483389</v>
      </c>
    </row>
    <row r="42" spans="1:4" ht="15.75">
      <c r="A42" s="127" t="s">
        <v>195</v>
      </c>
      <c r="B42" s="121">
        <v>838189118</v>
      </c>
      <c r="C42" s="122">
        <f t="shared" si="1"/>
        <v>0.25759085595208392</v>
      </c>
      <c r="D42" s="123">
        <f t="shared" si="0"/>
        <v>2618951.7339595766</v>
      </c>
    </row>
    <row r="43" spans="1:4" ht="15.75">
      <c r="A43" s="120" t="s">
        <v>196</v>
      </c>
      <c r="B43" s="121">
        <v>166956</v>
      </c>
      <c r="C43" s="122">
        <f t="shared" si="1"/>
        <v>5.1308634319845846E-5</v>
      </c>
      <c r="D43" s="123">
        <f t="shared" si="0"/>
        <v>521.6599646846704</v>
      </c>
    </row>
    <row r="44" spans="1:4" ht="15.75">
      <c r="A44" s="120" t="s">
        <v>197</v>
      </c>
      <c r="B44" s="121">
        <v>31107299.859999999</v>
      </c>
      <c r="C44" s="122">
        <f t="shared" si="1"/>
        <v>9.5598425524960583E-3</v>
      </c>
      <c r="D44" s="123">
        <f t="shared" si="0"/>
        <v>97195.865655640126</v>
      </c>
    </row>
    <row r="45" spans="1:4" ht="15.75">
      <c r="A45" s="120" t="s">
        <v>198</v>
      </c>
      <c r="B45" s="121">
        <v>2720907.64</v>
      </c>
      <c r="C45" s="122">
        <f t="shared" si="1"/>
        <v>8.3618471404941889E-4</v>
      </c>
      <c r="D45" s="123">
        <f t="shared" si="0"/>
        <v>8501.5727700271327</v>
      </c>
    </row>
    <row r="46" spans="1:4" ht="15.75">
      <c r="A46" s="120" t="s">
        <v>199</v>
      </c>
      <c r="B46" s="121">
        <v>126794.61</v>
      </c>
      <c r="C46" s="122">
        <f t="shared" si="1"/>
        <v>3.89663041652739E-5</v>
      </c>
      <c r="D46" s="123">
        <f t="shared" si="0"/>
        <v>396.17427211245212</v>
      </c>
    </row>
    <row r="47" spans="1:4" ht="15.75">
      <c r="A47" s="120" t="s">
        <v>200</v>
      </c>
      <c r="B47" s="121">
        <v>3898012.83</v>
      </c>
      <c r="C47" s="122">
        <f t="shared" si="1"/>
        <v>1.1979306815480572E-3</v>
      </c>
      <c r="D47" s="123">
        <f t="shared" si="0"/>
        <v>12179.47983443657</v>
      </c>
    </row>
    <row r="48" spans="1:4" ht="15.75">
      <c r="A48" s="120" t="s">
        <v>201</v>
      </c>
      <c r="B48" s="121">
        <v>44901466.049999997</v>
      </c>
      <c r="C48" s="122">
        <f t="shared" si="1"/>
        <v>1.3799042274517975E-2</v>
      </c>
      <c r="D48" s="123">
        <f t="shared" si="0"/>
        <v>140296.22891020944</v>
      </c>
    </row>
    <row r="49" spans="1:4" ht="15.75">
      <c r="A49" s="120" t="s">
        <v>202</v>
      </c>
      <c r="B49" s="129">
        <v>113461498</v>
      </c>
      <c r="C49" s="122">
        <f t="shared" si="1"/>
        <v>3.4868794833752131E-2</v>
      </c>
      <c r="D49" s="123">
        <f t="shared" si="0"/>
        <v>354514.48908544646</v>
      </c>
    </row>
    <row r="50" spans="1:4" ht="15.75">
      <c r="A50" s="130" t="s">
        <v>203</v>
      </c>
      <c r="B50" s="121">
        <v>476069452.07999998</v>
      </c>
      <c r="C50" s="122">
        <f t="shared" si="1"/>
        <v>0.14630485533686777</v>
      </c>
      <c r="D50" s="123">
        <f t="shared" si="0"/>
        <v>1487495.9483906128</v>
      </c>
    </row>
    <row r="51" spans="1:4" ht="15.75">
      <c r="A51" s="120" t="s">
        <v>204</v>
      </c>
      <c r="B51" s="121">
        <v>171024852.19</v>
      </c>
      <c r="C51" s="122">
        <f t="shared" si="1"/>
        <v>5.2559067063312474E-2</v>
      </c>
      <c r="D51" s="123">
        <f t="shared" si="0"/>
        <v>534373.23818033724</v>
      </c>
    </row>
    <row r="52" spans="1:4" ht="15.75">
      <c r="A52" s="120" t="s">
        <v>205</v>
      </c>
      <c r="B52" s="121">
        <v>164398080.58000001</v>
      </c>
      <c r="C52" s="122">
        <f t="shared" si="1"/>
        <v>5.0522538868706557E-2</v>
      </c>
      <c r="D52" s="123">
        <f t="shared" si="0"/>
        <v>513667.65440948756</v>
      </c>
    </row>
    <row r="53" spans="1:4" ht="15.75">
      <c r="A53" s="120" t="s">
        <v>206</v>
      </c>
      <c r="B53" s="121">
        <v>724463.75</v>
      </c>
      <c r="C53" s="122">
        <f t="shared" si="1"/>
        <v>2.2264096903815511E-4</v>
      </c>
      <c r="D53" s="123">
        <f t="shared" si="0"/>
        <v>2263.6127736668577</v>
      </c>
    </row>
    <row r="54" spans="1:4" ht="15.75">
      <c r="A54" s="131" t="s">
        <v>207</v>
      </c>
      <c r="B54" s="132">
        <v>575440</v>
      </c>
      <c r="C54" s="122">
        <f t="shared" si="1"/>
        <v>1.7684324332765575E-4</v>
      </c>
      <c r="D54" s="133">
        <f t="shared" si="0"/>
        <v>1797.9827623933654</v>
      </c>
    </row>
    <row r="55" spans="1:4" ht="16.5" thickBot="1">
      <c r="A55" s="134" t="s">
        <v>208</v>
      </c>
      <c r="B55" s="339">
        <f>+SUM(B4:B54)</f>
        <v>3253955249.7000003</v>
      </c>
      <c r="C55" s="135">
        <f>SUM(C4:C54)</f>
        <v>1</v>
      </c>
      <c r="D55" s="136">
        <f>SUM(D4:D54)</f>
        <v>10167098.999999996</v>
      </c>
    </row>
    <row r="56" spans="1:4" ht="16.5" thickBot="1">
      <c r="A56" s="137"/>
      <c r="B56" s="138"/>
      <c r="C56" s="137"/>
      <c r="D56" s="137"/>
    </row>
    <row r="57" spans="1:4" ht="15.75">
      <c r="A57" s="139" t="s">
        <v>209</v>
      </c>
      <c r="B57" s="140">
        <f>+'PART MES'!B13</f>
        <v>50835495</v>
      </c>
      <c r="C57" s="137"/>
      <c r="D57" s="137"/>
    </row>
    <row r="58" spans="1:4" ht="16.5" thickBot="1">
      <c r="A58" s="141" t="s">
        <v>210</v>
      </c>
      <c r="B58" s="142">
        <f>+B57*0.2</f>
        <v>10167099</v>
      </c>
      <c r="C58" s="137"/>
      <c r="D58" s="137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11</vt:i4>
      </vt:variant>
    </vt:vector>
  </HeadingPairs>
  <TitlesOfParts>
    <vt:vector size="21" baseType="lpstr">
      <vt:lpstr>PART MES</vt:lpstr>
      <vt:lpstr>DIST AGOSTO</vt:lpstr>
      <vt:lpstr>COEF Art 14 F I </vt:lpstr>
      <vt:lpstr>CALCULO GARANTIA</vt:lpstr>
      <vt:lpstr>PART PEF2022 </vt:lpstr>
      <vt:lpstr>COEF Art 14 F II ieps</vt:lpstr>
      <vt:lpstr>Art.14 Frac.III </vt:lpstr>
      <vt:lpstr>ISR agosto </vt:lpstr>
      <vt:lpstr>ISAI</vt:lpstr>
      <vt:lpstr>AJUSTE</vt:lpstr>
      <vt:lpstr>AJUSTE!Área_de_impresión</vt:lpstr>
      <vt:lpstr>'Art.14 Frac.III '!Área_de_impresión</vt:lpstr>
      <vt:lpstr>'CALCULO GARANTIA'!Área_de_impresión</vt:lpstr>
      <vt:lpstr>'COEF Art 14 F I '!Área_de_impresión</vt:lpstr>
      <vt:lpstr>'COEF Art 14 F II ieps'!Área_de_impresión</vt:lpstr>
      <vt:lpstr>'DIST AGOSTO'!Área_de_impresión</vt:lpstr>
      <vt:lpstr>ISAI!Área_de_impresión</vt:lpstr>
      <vt:lpstr>'PART MES'!Área_de_impresión</vt:lpstr>
      <vt:lpstr>'PART PEF2022 '!Área_de_impresión</vt:lpstr>
      <vt:lpstr>'COEF Art 14 F I '!Títulos_a_imprimir</vt:lpstr>
      <vt:lpstr>'DIST AGOSTO'!Títulos_a_imprimir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2022-01-31T21:37:01Z</cp:lastPrinted>
  <dcterms:created xsi:type="dcterms:W3CDTF">2009-12-17T23:31:03Z</dcterms:created>
  <dcterms:modified xsi:type="dcterms:W3CDTF">2022-09-01T16:56:34Z</dcterms:modified>
</cp:coreProperties>
</file>