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de Planeación Hacendaria\Participaciones y Aportaciones\APORTACIONES 2021\06. Junio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E8" i="111" l="1"/>
  <c r="F8" i="111" s="1"/>
  <c r="H4" i="111" l="1"/>
  <c r="H5" i="111"/>
  <c r="H6" i="111"/>
  <c r="H7" i="111"/>
  <c r="H8" i="111"/>
  <c r="H9" i="111"/>
  <c r="H10" i="111"/>
  <c r="H11" i="111"/>
  <c r="H3" i="111"/>
  <c r="E4" i="111" l="1"/>
  <c r="F4" i="111" s="1"/>
  <c r="E5" i="111"/>
  <c r="F5" i="111" s="1"/>
  <c r="E6" i="111"/>
  <c r="F6" i="111" s="1"/>
  <c r="E7" i="111"/>
  <c r="F7" i="111" s="1"/>
  <c r="E9" i="111"/>
  <c r="F9" i="111" s="1"/>
  <c r="E10" i="111"/>
  <c r="F10" i="111" s="1"/>
  <c r="E11" i="111"/>
  <c r="F11" i="111" s="1"/>
  <c r="E12" i="111"/>
  <c r="F12" i="111" s="1"/>
  <c r="E3" i="111"/>
  <c r="F3" i="111" s="1"/>
  <c r="I6" i="9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B13" i="111" l="1"/>
  <c r="E13" i="111" l="1"/>
  <c r="B45" i="103" l="1"/>
  <c r="E41" i="103"/>
  <c r="D41" i="103"/>
  <c r="B5" i="104" l="1"/>
  <c r="T58" i="114"/>
  <c r="T59" i="114" s="1"/>
  <c r="S58" i="114"/>
  <c r="S59" i="114" s="1"/>
  <c r="R58" i="114"/>
  <c r="Q58" i="114"/>
  <c r="U57" i="114"/>
  <c r="U56" i="114"/>
  <c r="D56" i="114"/>
  <c r="K57" i="114" s="1"/>
  <c r="Y57" i="114" s="1"/>
  <c r="U55" i="114"/>
  <c r="D55" i="114"/>
  <c r="U54" i="114"/>
  <c r="U53" i="114"/>
  <c r="U52" i="114"/>
  <c r="D52" i="114"/>
  <c r="K15" i="114" s="1"/>
  <c r="Y15" i="114" s="1"/>
  <c r="U51" i="114"/>
  <c r="D51" i="114"/>
  <c r="K14" i="114" s="1"/>
  <c r="Y14" i="114" s="1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K12" i="114" s="1"/>
  <c r="Y12" i="114" s="1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K10" i="114" s="1"/>
  <c r="Y10" i="114" s="1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U14" i="114"/>
  <c r="U13" i="114"/>
  <c r="D13" i="114"/>
  <c r="K25" i="114" s="1"/>
  <c r="Y25" i="114" s="1"/>
  <c r="U12" i="114"/>
  <c r="D12" i="114"/>
  <c r="K24" i="114" s="1"/>
  <c r="Y24" i="114" s="1"/>
  <c r="U11" i="114"/>
  <c r="U10" i="114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C39" i="111" l="1"/>
  <c r="C41" i="111" s="1"/>
  <c r="C20" i="111"/>
  <c r="D4" i="104" s="1"/>
  <c r="F13" i="111"/>
  <c r="D5" i="104" l="1"/>
  <c r="D7" i="104"/>
  <c r="C17" i="103"/>
  <c r="B18" i="111" l="1"/>
  <c r="B20" i="111" s="1"/>
  <c r="B34" i="111"/>
  <c r="B36" i="111" s="1"/>
  <c r="B21" i="107" s="1"/>
  <c r="B29" i="111"/>
  <c r="B31" i="111" s="1"/>
  <c r="B39" i="111"/>
  <c r="B41" i="111" s="1"/>
  <c r="B44" i="111" s="1"/>
  <c r="B46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3" i="111" l="1"/>
  <c r="B25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E10" i="103"/>
  <c r="D11" i="103"/>
  <c r="E11" i="103" s="1"/>
  <c r="D10" i="103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AB5" i="91"/>
  <c r="E56" i="91"/>
  <c r="F56" i="91"/>
  <c r="G56" i="91"/>
  <c r="AA56" i="91"/>
  <c r="Q5" i="98" l="1"/>
  <c r="B38" i="103"/>
  <c r="B40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H14" i="91"/>
  <c r="AI14" i="91" s="1"/>
  <c r="K16" i="98" s="1"/>
  <c r="AH45" i="91"/>
  <c r="AI45" i="91" s="1"/>
  <c r="K47" i="98" s="1"/>
  <c r="AH11" i="91"/>
  <c r="AI11" i="91" s="1"/>
  <c r="K13" i="98" s="1"/>
  <c r="AH25" i="9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18" i="91"/>
  <c r="K20" i="98" s="1"/>
  <c r="AI43" i="91"/>
  <c r="AI24" i="91"/>
  <c r="AI25" i="91"/>
  <c r="K27" i="98" s="1"/>
  <c r="AI39" i="91"/>
  <c r="K41" i="98" s="1"/>
  <c r="AI53" i="91"/>
  <c r="AI29" i="91"/>
  <c r="AI13" i="91"/>
  <c r="AI54" i="91"/>
  <c r="K56" i="98" s="1"/>
  <c r="AI49" i="91"/>
  <c r="AI21" i="91"/>
  <c r="K23" i="98" s="1"/>
  <c r="AI51" i="91"/>
  <c r="AI35" i="91"/>
  <c r="AI55" i="91"/>
  <c r="K57" i="98" s="1"/>
  <c r="AI44" i="91"/>
  <c r="K46" i="98" s="1"/>
  <c r="AI22" i="91"/>
  <c r="AI10" i="91"/>
  <c r="AI52" i="91"/>
  <c r="AI16" i="91"/>
  <c r="K18" i="98" s="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57" i="114" s="1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Z19" i="114"/>
  <c r="Z58" i="114" s="1"/>
  <c r="Z59" i="114" s="1"/>
  <c r="L58" i="114"/>
  <c r="L59" i="114" s="1"/>
  <c r="X54" i="114"/>
  <c r="X24" i="114"/>
  <c r="X31" i="114"/>
  <c r="X42" i="114"/>
  <c r="X41" i="114"/>
  <c r="X40" i="114"/>
  <c r="X32" i="114"/>
  <c r="X28" i="114"/>
  <c r="X25" i="114"/>
  <c r="X39" i="114"/>
  <c r="X30" i="114"/>
  <c r="X47" i="114"/>
  <c r="X20" i="114"/>
  <c r="X22" i="114"/>
  <c r="X46" i="114"/>
  <c r="X57" i="114"/>
  <c r="X34" i="114"/>
  <c r="X49" i="114"/>
  <c r="X53" i="114"/>
  <c r="X50" i="114"/>
  <c r="X36" i="114"/>
  <c r="X23" i="114"/>
  <c r="X33" i="114"/>
  <c r="X44" i="114"/>
  <c r="X35" i="114"/>
  <c r="X48" i="114"/>
  <c r="X51" i="114"/>
  <c r="X55" i="114"/>
  <c r="X37" i="114"/>
  <c r="X27" i="114"/>
  <c r="J58" i="114"/>
  <c r="X19" i="114"/>
  <c r="X56" i="114"/>
  <c r="X21" i="114"/>
  <c r="X43" i="114"/>
  <c r="X45" i="114"/>
  <c r="Y29" i="114"/>
  <c r="Y52" i="114"/>
  <c r="Y38" i="114"/>
  <c r="Y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X58" i="114" l="1"/>
  <c r="Y58" i="114"/>
  <c r="Y59" i="114" s="1"/>
  <c r="N58" i="100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X13" i="114"/>
  <c r="X10" i="114"/>
  <c r="J6" i="114"/>
  <c r="C57" i="114"/>
  <c r="X14" i="114"/>
  <c r="X15" i="114"/>
  <c r="X7" i="114"/>
  <c r="X9" i="114"/>
  <c r="X16" i="114"/>
  <c r="X11" i="114"/>
  <c r="X12" i="114"/>
  <c r="X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18" i="100"/>
  <c r="N59" i="100" s="1"/>
  <c r="X18" i="100"/>
  <c r="X59" i="100" s="1"/>
  <c r="AB18" i="100"/>
  <c r="AB59" i="100" s="1"/>
  <c r="X18" i="114" l="1"/>
  <c r="X59" i="114" s="1"/>
  <c r="D47" i="104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AA40" i="114" l="1"/>
  <c r="AB40" i="114" s="1"/>
  <c r="N40" i="114"/>
  <c r="N14" i="114"/>
  <c r="AA14" i="114"/>
  <c r="AB14" i="114" s="1"/>
  <c r="N31" i="114"/>
  <c r="AA31" i="114"/>
  <c r="AB31" i="114" s="1"/>
  <c r="F26" i="104"/>
  <c r="B11" i="114"/>
  <c r="AA41" i="114"/>
  <c r="AB41" i="114" s="1"/>
  <c r="N41" i="114"/>
  <c r="N43" i="114"/>
  <c r="AA43" i="114"/>
  <c r="AB43" i="114" s="1"/>
  <c r="AA33" i="114"/>
  <c r="AB33" i="114" s="1"/>
  <c r="N33" i="114"/>
  <c r="AA27" i="114"/>
  <c r="AB27" i="114" s="1"/>
  <c r="N27" i="114"/>
  <c r="N38" i="114"/>
  <c r="AA38" i="114"/>
  <c r="AB38" i="114" s="1"/>
  <c r="N13" i="114"/>
  <c r="AA13" i="114"/>
  <c r="AB13" i="114" s="1"/>
  <c r="AA24" i="114"/>
  <c r="AB24" i="114" s="1"/>
  <c r="N24" i="114"/>
  <c r="N23" i="114"/>
  <c r="AA23" i="114"/>
  <c r="AB23" i="114" s="1"/>
  <c r="N55" i="114"/>
  <c r="AA55" i="114"/>
  <c r="AB55" i="114" s="1"/>
  <c r="AA21" i="114"/>
  <c r="AB21" i="114" s="1"/>
  <c r="N21" i="114"/>
  <c r="N48" i="114"/>
  <c r="AA48" i="114"/>
  <c r="AB48" i="114" s="1"/>
  <c r="N36" i="114"/>
  <c r="AA36" i="114"/>
  <c r="AB36" i="114" s="1"/>
  <c r="E69" i="104"/>
  <c r="AA54" i="114"/>
  <c r="AB54" i="114" s="1"/>
  <c r="N54" i="114"/>
  <c r="AA17" i="114"/>
  <c r="AB17" i="114" s="1"/>
  <c r="N17" i="114"/>
  <c r="AA35" i="114"/>
  <c r="AB35" i="114" s="1"/>
  <c r="N35" i="114"/>
  <c r="AA57" i="114"/>
  <c r="AB57" i="114" s="1"/>
  <c r="N57" i="114"/>
  <c r="AA12" i="114"/>
  <c r="AB12" i="114" s="1"/>
  <c r="N12" i="114"/>
  <c r="N50" i="114"/>
  <c r="AA50" i="114"/>
  <c r="AB50" i="114" s="1"/>
  <c r="AA10" i="114"/>
  <c r="AB10" i="114" s="1"/>
  <c r="N10" i="114"/>
  <c r="AA39" i="114"/>
  <c r="AB39" i="114" s="1"/>
  <c r="N39" i="114"/>
  <c r="N20" i="114"/>
  <c r="AA20" i="114"/>
  <c r="AB20" i="114" s="1"/>
  <c r="N32" i="114"/>
  <c r="AA32" i="114"/>
  <c r="AB32" i="114" s="1"/>
  <c r="AA16" i="114"/>
  <c r="AB16" i="114" s="1"/>
  <c r="N16" i="114"/>
  <c r="AA45" i="114"/>
  <c r="AB45" i="114" s="1"/>
  <c r="N45" i="114"/>
  <c r="AA56" i="114"/>
  <c r="AB56" i="114" s="1"/>
  <c r="N56" i="114"/>
  <c r="N15" i="114"/>
  <c r="AA15" i="114"/>
  <c r="AB15" i="114" s="1"/>
  <c r="N46" i="114"/>
  <c r="AA46" i="114"/>
  <c r="AB46" i="114" s="1"/>
  <c r="N7" i="114"/>
  <c r="AA7" i="114"/>
  <c r="AB7" i="114" s="1"/>
  <c r="N9" i="114"/>
  <c r="AA9" i="114"/>
  <c r="AB9" i="114" s="1"/>
  <c r="AA28" i="114"/>
  <c r="AB28" i="114" s="1"/>
  <c r="N28" i="114"/>
  <c r="N34" i="114"/>
  <c r="AA34" i="114"/>
  <c r="AB34" i="114" s="1"/>
  <c r="AA42" i="114"/>
  <c r="AB42" i="114" s="1"/>
  <c r="N42" i="114"/>
  <c r="AA37" i="114"/>
  <c r="AB37" i="114" s="1"/>
  <c r="N37" i="114"/>
  <c r="N44" i="114"/>
  <c r="AA44" i="114"/>
  <c r="AB44" i="114" s="1"/>
  <c r="AA52" i="114"/>
  <c r="AB52" i="114" s="1"/>
  <c r="N52" i="114"/>
  <c r="AA11" i="114"/>
  <c r="AB11" i="114" s="1"/>
  <c r="N11" i="114"/>
  <c r="N30" i="114"/>
  <c r="AA30" i="114"/>
  <c r="AB30" i="114" s="1"/>
  <c r="AA29" i="114"/>
  <c r="AB29" i="114" s="1"/>
  <c r="N29" i="114"/>
  <c r="N47" i="114"/>
  <c r="AA47" i="114"/>
  <c r="AB47" i="114" s="1"/>
  <c r="AA22" i="114"/>
  <c r="AB22" i="114" s="1"/>
  <c r="N22" i="114"/>
  <c r="AA49" i="114"/>
  <c r="AB49" i="114" s="1"/>
  <c r="N49" i="114"/>
  <c r="B6" i="114"/>
  <c r="F68" i="104"/>
  <c r="AA25" i="114"/>
  <c r="AB25" i="114" s="1"/>
  <c r="N25" i="114"/>
  <c r="AA26" i="114"/>
  <c r="AB26" i="114" s="1"/>
  <c r="N26" i="114"/>
  <c r="N53" i="114"/>
  <c r="AA53" i="114"/>
  <c r="AB53" i="114" s="1"/>
  <c r="N51" i="114"/>
  <c r="AA51" i="114"/>
  <c r="AB51" i="114" s="1"/>
  <c r="N8" i="114"/>
  <c r="AA8" i="114"/>
  <c r="AB8" i="114" s="1"/>
  <c r="F69" i="104" l="1"/>
  <c r="B57" i="114"/>
  <c r="M19" i="114"/>
  <c r="F6" i="114"/>
  <c r="M6" i="114"/>
  <c r="F11" i="114"/>
  <c r="N6" i="114" l="1"/>
  <c r="N18" i="114" s="1"/>
  <c r="M18" i="114"/>
  <c r="AA6" i="114"/>
  <c r="M58" i="114"/>
  <c r="M59" i="114" s="1"/>
  <c r="AA19" i="114"/>
  <c r="N19" i="114"/>
  <c r="N58" i="114" s="1"/>
  <c r="F57" i="114"/>
  <c r="N59" i="114" l="1"/>
  <c r="AB19" i="114"/>
  <c r="AB58" i="114" s="1"/>
  <c r="AA58" i="114"/>
  <c r="AA18" i="114"/>
  <c r="AB6" i="114"/>
  <c r="AB18" i="114" s="1"/>
  <c r="AA59" i="114" l="1"/>
  <c r="AB59" i="114"/>
</calcChain>
</file>

<file path=xl/sharedStrings.xml><?xml version="1.0" encoding="utf-8"?>
<sst xmlns="http://schemas.openxmlformats.org/spreadsheetml/2006/main" count="1295" uniqueCount="210">
  <si>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</si>
  <si>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</si>
  <si>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</si>
  <si>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</si>
  <si>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</si>
  <si>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</si>
  <si>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</si>
  <si>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</si>
  <si>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</si>
  <si>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</si>
  <si>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</si>
  <si>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</si>
  <si>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</si>
  <si>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</si>
  <si>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</si>
  <si>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</si>
  <si>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</si>
  <si>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</si>
  <si>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</si>
  <si>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</si>
  <si>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</si>
  <si>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</si>
  <si>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</si>
  <si>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</si>
  <si>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</si>
  <si>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</si>
  <si>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</si>
  <si>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</si>
  <si>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</si>
  <si>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</si>
  <si>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</si>
  <si>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</si>
  <si>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</si>
  <si>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</si>
  <si>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</si>
  <si>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</si>
  <si>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</si>
  <si>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</si>
  <si>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</si>
  <si>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</si>
  <si>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</si>
  <si>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</si>
  <si>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</si>
  <si>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</si>
  <si>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</si>
  <si>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</si>
  <si>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</si>
  <si>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</si>
  <si>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</si>
  <si>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</si>
  <si>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</si>
  <si>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</si>
  <si>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</si>
  <si>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</si>
  <si>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</si>
  <si>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</si>
  <si>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</si>
  <si>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</si>
  <si>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</si>
  <si>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</si>
  <si>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</si>
  <si>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</si>
  <si>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</si>
  <si>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</si>
  <si>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</si>
  <si>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</si>
  <si>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</si>
  <si>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</si>
  <si>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</si>
  <si>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</si>
  <si>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</si>
  <si>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</si>
  <si>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</si>
  <si>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</si>
  <si>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</si>
  <si>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</si>
  <si>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sin Acceso A  Electricidad 2000</t>
  </si>
  <si>
    <t>Pob Ing &lt; A 2 Salarios Min
2000</t>
  </si>
  <si>
    <t>Pob sin Acceso A Drenaje 2000</t>
  </si>
  <si>
    <t>Pob 15 Años O + no sabe leer ni escribir 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</si>
  <si>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</si>
  <si>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</si>
  <si>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</si>
  <si>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</si>
  <si>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</si>
  <si>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</si>
  <si>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</si>
  <si>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</si>
  <si>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</si>
  <si>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85% población</t>
  </si>
  <si>
    <t>15% Territorio</t>
  </si>
  <si>
    <t>Coeficiente Población y Territorio</t>
  </si>
  <si>
    <t>15% Coeficiente Mejora Social 2010</t>
  </si>
  <si>
    <t>Carencia Social 2000</t>
  </si>
  <si>
    <t>Carencia Social 2010</t>
  </si>
  <si>
    <t>Coeficiente de Mejora 2010</t>
  </si>
  <si>
    <t>85% Carencia Social 2010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</si>
  <si>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</si>
  <si>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</si>
  <si>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</si>
  <si>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</si>
  <si>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</si>
  <si>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</si>
  <si>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</si>
  <si>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</si>
  <si>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</si>
  <si>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</si>
  <si>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</si>
  <si>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</si>
  <si>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</si>
  <si>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</si>
  <si>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</si>
  <si>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</si>
  <si>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</si>
  <si>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</si>
  <si>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</si>
  <si>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</si>
  <si>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</si>
  <si>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</si>
  <si>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</si>
  <si>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</si>
  <si>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</si>
  <si>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</si>
  <si>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</si>
  <si>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</si>
  <si>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</si>
  <si>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</si>
  <si>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</si>
  <si>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</si>
  <si>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</si>
  <si>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</si>
  <si>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</si>
  <si>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</si>
  <si>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</si>
  <si>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</si>
  <si>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</si>
  <si>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</si>
  <si>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</si>
  <si>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</si>
  <si>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</si>
  <si>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</si>
  <si>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</si>
  <si>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</si>
  <si>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</si>
  <si>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</si>
  <si>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</si>
  <si>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</si>
  <si>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</si>
  <si>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</si>
  <si>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</si>
  <si>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</si>
  <si>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</si>
  <si>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</si>
  <si>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</si>
  <si>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</si>
  <si>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</si>
  <si>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</si>
  <si>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</si>
  <si>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</si>
  <si>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</si>
  <si>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</si>
  <si>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</si>
  <si>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</si>
  <si>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</si>
  <si>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</si>
  <si>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</si>
  <si>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</si>
  <si>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</si>
  <si>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</si>
  <si>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</si>
  <si>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</si>
  <si>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</si>
  <si>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</si>
  <si>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</si>
  <si>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</si>
  <si>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</si>
  <si>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</si>
  <si>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</si>
  <si>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</si>
  <si>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</si>
  <si>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</si>
  <si>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</si>
  <si>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</si>
  <si>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</si>
  <si>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</si>
  <si>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</si>
  <si>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</si>
  <si>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</si>
  <si>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</si>
  <si>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</si>
  <si>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</si>
  <si>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</si>
  <si>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</si>
  <si>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</si>
  <si>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</si>
  <si>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</si>
  <si>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</si>
  <si>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</si>
  <si>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</si>
  <si>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</si>
  <si>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</si>
  <si>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</si>
  <si>
    <t>Recaudación 2020</t>
  </si>
  <si>
    <t>Facturación 2020</t>
  </si>
  <si>
    <t>Eficiencia 2020</t>
  </si>
  <si>
    <t>Crecimiento Rec 2020</t>
  </si>
  <si>
    <t>Proyección de Población CONAPO 2020</t>
  </si>
  <si>
    <t>Eficiencia de Recaudación Predial ponderada por Monto 2020</t>
  </si>
  <si>
    <t xml:space="preserve">Ajuste </t>
  </si>
  <si>
    <t>fexhi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</si>
</sst>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39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5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7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40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49" fontId="12" fillId="24" borderId="41" xfId="132" applyNumberFormat="1" applyFont="1" applyFill="1" applyBorder="1" applyAlignment="1">
      <alignment horizontal="center" vertical="center" wrapText="1"/>
    </xf>
    <xf numFmtId="170" fontId="0" fillId="24" borderId="31" xfId="49" applyNumberFormat="1" applyFont="1" applyFill="1" applyBorder="1"/>
    <xf numFmtId="170" fontId="0" fillId="24" borderId="42" xfId="49" applyNumberFormat="1" applyFont="1" applyFill="1" applyBorder="1"/>
    <xf numFmtId="0" fontId="12" fillId="24" borderId="43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0" fontId="12" fillId="24" borderId="47" xfId="132" applyFont="1" applyFill="1" applyBorder="1"/>
    <xf numFmtId="176" fontId="9" fillId="24" borderId="43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6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8" xfId="138" applyNumberFormat="1" applyFont="1" applyFill="1" applyBorder="1" applyProtection="1">
      <protection hidden="1"/>
    </xf>
    <xf numFmtId="176" fontId="9" fillId="24" borderId="48" xfId="138" applyNumberFormat="1" applyFont="1" applyFill="1" applyBorder="1" applyProtection="1">
      <protection hidden="1"/>
    </xf>
    <xf numFmtId="177" fontId="38" fillId="24" borderId="40" xfId="38" applyNumberFormat="1" applyFont="1" applyFill="1" applyBorder="1" applyProtection="1">
      <protection hidden="1"/>
    </xf>
    <xf numFmtId="177" fontId="38" fillId="24" borderId="44" xfId="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1" fontId="0" fillId="24" borderId="42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40" xfId="38" applyNumberFormat="1" applyFont="1" applyFill="1" applyBorder="1" applyProtection="1">
      <protection hidden="1"/>
    </xf>
    <xf numFmtId="170" fontId="12" fillId="24" borderId="49" xfId="49" applyNumberFormat="1" applyFont="1" applyFill="1" applyBorder="1" applyAlignment="1">
      <alignment horizontal="center" vertical="center" wrapText="1"/>
    </xf>
    <xf numFmtId="170" fontId="12" fillId="24" borderId="50" xfId="49" applyNumberFormat="1" applyFont="1" applyFill="1" applyBorder="1" applyAlignment="1">
      <alignment horizontal="center" vertical="center"/>
    </xf>
    <xf numFmtId="170" fontId="12" fillId="24" borderId="39" xfId="49" applyNumberFormat="1" applyFont="1" applyFill="1" applyBorder="1"/>
    <xf numFmtId="170" fontId="12" fillId="24" borderId="51" xfId="49" applyNumberFormat="1" applyFont="1" applyFill="1" applyBorder="1" applyAlignment="1">
      <alignment horizontal="center" vertical="center" wrapText="1"/>
    </xf>
    <xf numFmtId="170" fontId="12" fillId="24" borderId="46" xfId="49" applyNumberFormat="1" applyFont="1" applyFill="1" applyBorder="1"/>
    <xf numFmtId="170" fontId="12" fillId="24" borderId="47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9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3" xfId="132" applyNumberFormat="1" applyFont="1" applyFill="1" applyBorder="1" applyAlignment="1">
      <alignment horizontal="center" vertical="center" wrapText="1"/>
    </xf>
    <xf numFmtId="49" fontId="12" fillId="24" borderId="54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6" xfId="132" applyFont="1" applyFill="1" applyBorder="1" applyAlignment="1">
      <alignment horizontal="center" vertical="center" wrapText="1"/>
    </xf>
    <xf numFmtId="0" fontId="12" fillId="24" borderId="56" xfId="132" applyFont="1" applyFill="1" applyBorder="1" applyAlignment="1">
      <alignment horizontal="center" vertical="center"/>
    </xf>
    <xf numFmtId="0" fontId="12" fillId="24" borderId="57" xfId="132" applyFont="1" applyFill="1" applyBorder="1" applyAlignment="1">
      <alignment horizontal="center" vertical="center" wrapText="1"/>
    </xf>
    <xf numFmtId="49" fontId="12" fillId="24" borderId="58" xfId="132" applyNumberFormat="1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8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5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0" fontId="12" fillId="0" borderId="64" xfId="51" applyFont="1" applyBorder="1" applyAlignment="1">
      <alignment horizontal="center" vertical="center" wrapText="1"/>
    </xf>
    <xf numFmtId="38" fontId="9" fillId="0" borderId="65" xfId="51" applyNumberFormat="1" applyFont="1" applyBorder="1" applyAlignment="1">
      <alignment vertical="center" wrapText="1"/>
    </xf>
    <xf numFmtId="10" fontId="9" fillId="0" borderId="65" xfId="38" applyNumberFormat="1" applyFont="1" applyFill="1" applyBorder="1" applyAlignment="1">
      <alignment vertical="center" wrapText="1"/>
    </xf>
    <xf numFmtId="170" fontId="9" fillId="0" borderId="65" xfId="140" applyNumberFormat="1" applyFont="1" applyFill="1" applyBorder="1" applyAlignment="1">
      <alignment vertical="center" wrapText="1"/>
    </xf>
    <xf numFmtId="0" fontId="9" fillId="0" borderId="66" xfId="51" applyBorder="1"/>
    <xf numFmtId="0" fontId="9" fillId="0" borderId="0" xfId="51" applyBorder="1"/>
    <xf numFmtId="0" fontId="9" fillId="0" borderId="67" xfId="51" applyBorder="1"/>
    <xf numFmtId="0" fontId="12" fillId="0" borderId="70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4" xfId="138" applyFont="1" applyFill="1" applyBorder="1" applyAlignment="1" applyProtection="1">
      <alignment horizontal="center" vertical="center" wrapText="1"/>
      <protection hidden="1"/>
    </xf>
    <xf numFmtId="39" fontId="42" fillId="0" borderId="74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5" xfId="138" applyFont="1" applyFill="1" applyBorder="1" applyAlignment="1" applyProtection="1">
      <alignment horizontal="left"/>
      <protection hidden="1"/>
    </xf>
    <xf numFmtId="37" fontId="9" fillId="0" borderId="76" xfId="138" applyFont="1" applyFill="1" applyBorder="1" applyAlignment="1" applyProtection="1">
      <protection hidden="1"/>
    </xf>
    <xf numFmtId="179" fontId="44" fillId="0" borderId="76" xfId="52" applyNumberFormat="1" applyFont="1" applyFill="1" applyBorder="1" applyProtection="1">
      <protection hidden="1"/>
    </xf>
    <xf numFmtId="37" fontId="9" fillId="0" borderId="79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2" xfId="138" applyFont="1" applyFill="1" applyBorder="1" applyAlignment="1" applyProtection="1">
      <alignment horizontal="left"/>
      <protection hidden="1"/>
    </xf>
    <xf numFmtId="37" fontId="12" fillId="0" borderId="83" xfId="138" applyFont="1" applyFill="1" applyBorder="1" applyAlignment="1" applyProtection="1">
      <protection hidden="1"/>
    </xf>
    <xf numFmtId="179" fontId="46" fillId="0" borderId="83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179" fontId="44" fillId="0" borderId="76" xfId="52" applyNumberFormat="1" applyFont="1" applyBorder="1" applyProtection="1">
      <protection hidden="1"/>
    </xf>
    <xf numFmtId="37" fontId="9" fillId="0" borderId="81" xfId="138" applyFont="1" applyFill="1" applyBorder="1" applyAlignment="1" applyProtection="1">
      <alignment horizontal="left"/>
      <protection hidden="1"/>
    </xf>
    <xf numFmtId="37" fontId="12" fillId="0" borderId="85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6" xfId="132" applyNumberFormat="1" applyFont="1" applyFill="1" applyBorder="1" applyAlignment="1">
      <alignment horizontal="center"/>
    </xf>
    <xf numFmtId="37" fontId="12" fillId="24" borderId="74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7" xfId="138" applyFont="1" applyFill="1" applyBorder="1" applyAlignment="1" applyProtection="1">
      <alignment horizontal="left"/>
      <protection hidden="1"/>
    </xf>
    <xf numFmtId="179" fontId="9" fillId="24" borderId="88" xfId="52" applyNumberFormat="1" applyFont="1" applyFill="1" applyBorder="1" applyAlignment="1" applyProtection="1">
      <protection hidden="1"/>
    </xf>
    <xf numFmtId="179" fontId="44" fillId="24" borderId="88" xfId="52" applyNumberFormat="1" applyFont="1" applyFill="1" applyBorder="1" applyProtection="1">
      <protection hidden="1"/>
    </xf>
    <xf numFmtId="39" fontId="9" fillId="24" borderId="89" xfId="52" applyNumberFormat="1" applyFont="1" applyFill="1" applyBorder="1" applyProtection="1">
      <protection hidden="1"/>
    </xf>
    <xf numFmtId="37" fontId="9" fillId="24" borderId="90" xfId="138" applyFont="1" applyFill="1" applyBorder="1" applyAlignment="1" applyProtection="1">
      <alignment horizontal="left"/>
      <protection hidden="1"/>
    </xf>
    <xf numFmtId="179" fontId="9" fillId="24" borderId="91" xfId="52" applyNumberFormat="1" applyFont="1" applyFill="1" applyBorder="1" applyAlignment="1" applyProtection="1">
      <protection hidden="1"/>
    </xf>
    <xf numFmtId="179" fontId="44" fillId="24" borderId="91" xfId="52" applyNumberFormat="1" applyFont="1" applyFill="1" applyBorder="1" applyProtection="1">
      <protection hidden="1"/>
    </xf>
    <xf numFmtId="39" fontId="9" fillId="24" borderId="92" xfId="52" applyNumberFormat="1" applyFont="1" applyFill="1" applyBorder="1" applyProtection="1">
      <protection hidden="1"/>
    </xf>
    <xf numFmtId="37" fontId="12" fillId="24" borderId="93" xfId="138" applyFont="1" applyFill="1" applyBorder="1" applyAlignment="1" applyProtection="1">
      <alignment horizontal="left"/>
      <protection hidden="1"/>
    </xf>
    <xf numFmtId="179" fontId="9" fillId="24" borderId="94" xfId="52" applyNumberFormat="1" applyFont="1" applyFill="1" applyBorder="1" applyAlignment="1" applyProtection="1">
      <protection hidden="1"/>
    </xf>
    <xf numFmtId="179" fontId="44" fillId="24" borderId="94" xfId="52" applyNumberFormat="1" applyFont="1" applyFill="1" applyBorder="1" applyProtection="1">
      <protection hidden="1"/>
    </xf>
    <xf numFmtId="39" fontId="9" fillId="24" borderId="95" xfId="52" applyNumberFormat="1" applyFont="1" applyFill="1" applyBorder="1" applyProtection="1">
      <protection hidden="1"/>
    </xf>
    <xf numFmtId="37" fontId="12" fillId="24" borderId="60" xfId="138" applyFont="1" applyFill="1" applyBorder="1" applyAlignment="1" applyProtection="1">
      <alignment horizontal="left"/>
      <protection hidden="1"/>
    </xf>
    <xf numFmtId="184" fontId="9" fillId="24" borderId="60" xfId="138" applyNumberFormat="1" applyFont="1" applyFill="1" applyBorder="1" applyAlignment="1" applyProtection="1">
      <protection hidden="1"/>
    </xf>
    <xf numFmtId="182" fontId="44" fillId="24" borderId="60" xfId="38" applyNumberFormat="1" applyFont="1" applyFill="1" applyBorder="1" applyProtection="1">
      <protection hidden="1"/>
    </xf>
    <xf numFmtId="39" fontId="9" fillId="24" borderId="60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0" fillId="24" borderId="93" xfId="138" applyFont="1" applyFill="1" applyBorder="1" applyAlignment="1" applyProtection="1">
      <alignment horizontal="left"/>
      <protection hidden="1"/>
    </xf>
    <xf numFmtId="37" fontId="12" fillId="24" borderId="96" xfId="138" applyFont="1" applyFill="1" applyBorder="1" applyAlignment="1" applyProtection="1">
      <alignment horizontal="left"/>
      <protection hidden="1"/>
    </xf>
    <xf numFmtId="179" fontId="40" fillId="24" borderId="97" xfId="52" applyNumberFormat="1" applyFont="1" applyFill="1" applyBorder="1" applyAlignment="1" applyProtection="1">
      <protection hidden="1"/>
    </xf>
    <xf numFmtId="179" fontId="46" fillId="24" borderId="97" xfId="52" applyNumberFormat="1" applyFont="1" applyFill="1" applyBorder="1" applyProtection="1">
      <protection hidden="1"/>
    </xf>
    <xf numFmtId="39" fontId="12" fillId="24" borderId="98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9" xfId="140" applyNumberFormat="1" applyFont="1" applyFill="1" applyBorder="1" applyAlignment="1">
      <alignment vertical="center" wrapText="1"/>
    </xf>
    <xf numFmtId="170" fontId="12" fillId="24" borderId="101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/>
    <xf numFmtId="170" fontId="12" fillId="24" borderId="84" xfId="49" applyNumberFormat="1" applyFont="1" applyFill="1" applyBorder="1"/>
    <xf numFmtId="0" fontId="12" fillId="24" borderId="0" xfId="0" applyFont="1" applyFill="1"/>
    <xf numFmtId="0" fontId="12" fillId="24" borderId="81" xfId="0" applyFont="1" applyFill="1" applyBorder="1"/>
    <xf numFmtId="9" fontId="12" fillId="24" borderId="81" xfId="0" applyNumberFormat="1" applyFont="1" applyFill="1" applyBorder="1"/>
    <xf numFmtId="9" fontId="12" fillId="24" borderId="105" xfId="0" applyNumberFormat="1" applyFont="1" applyFill="1" applyBorder="1"/>
    <xf numFmtId="0" fontId="12" fillId="24" borderId="108" xfId="0" applyFont="1" applyFill="1" applyBorder="1"/>
    <xf numFmtId="170" fontId="12" fillId="24" borderId="76" xfId="49" applyNumberFormat="1" applyFont="1" applyFill="1" applyBorder="1" applyAlignment="1">
      <alignment horizontal="center" vertical="center" wrapText="1"/>
    </xf>
    <xf numFmtId="0" fontId="0" fillId="24" borderId="77" xfId="0" applyFill="1" applyBorder="1"/>
    <xf numFmtId="170" fontId="12" fillId="24" borderId="114" xfId="49" applyNumberFormat="1" applyFont="1" applyFill="1" applyBorder="1" applyAlignment="1">
      <alignment horizontal="center" vertical="center" wrapText="1"/>
    </xf>
    <xf numFmtId="170" fontId="12" fillId="24" borderId="115" xfId="49" applyNumberFormat="1" applyFont="1" applyFill="1" applyBorder="1" applyAlignment="1">
      <alignment horizontal="center" vertical="center" wrapText="1"/>
    </xf>
    <xf numFmtId="43" fontId="12" fillId="24" borderId="103" xfId="0" applyNumberFormat="1" applyFont="1" applyFill="1" applyBorder="1"/>
    <xf numFmtId="170" fontId="12" fillId="24" borderId="103" xfId="140" applyNumberFormat="1" applyFont="1" applyFill="1" applyBorder="1"/>
    <xf numFmtId="170" fontId="12" fillId="24" borderId="104" xfId="140" applyNumberFormat="1" applyFont="1" applyFill="1" applyBorder="1"/>
    <xf numFmtId="170" fontId="0" fillId="24" borderId="110" xfId="140" applyNumberFormat="1" applyFont="1" applyFill="1" applyBorder="1"/>
    <xf numFmtId="170" fontId="0" fillId="24" borderId="80" xfId="140" applyNumberFormat="1" applyFont="1" applyFill="1" applyBorder="1"/>
    <xf numFmtId="170" fontId="0" fillId="24" borderId="111" xfId="140" applyNumberFormat="1" applyFont="1" applyFill="1" applyBorder="1"/>
    <xf numFmtId="170" fontId="0" fillId="24" borderId="107" xfId="140" applyNumberFormat="1" applyFont="1" applyFill="1" applyBorder="1"/>
    <xf numFmtId="39" fontId="44" fillId="0" borderId="102" xfId="52" applyNumberFormat="1" applyFont="1" applyFill="1" applyBorder="1" applyProtection="1">
      <protection hidden="1"/>
    </xf>
    <xf numFmtId="39" fontId="44" fillId="0" borderId="103" xfId="52" applyNumberFormat="1" applyFont="1" applyFill="1" applyBorder="1" applyProtection="1">
      <protection hidden="1"/>
    </xf>
    <xf numFmtId="39" fontId="44" fillId="0" borderId="103" xfId="52" applyNumberFormat="1" applyFont="1" applyBorder="1" applyProtection="1">
      <protection hidden="1"/>
    </xf>
    <xf numFmtId="39" fontId="46" fillId="0" borderId="109" xfId="52" applyNumberFormat="1" applyFont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29" xfId="52" applyNumberFormat="1" applyFont="1" applyBorder="1" applyProtection="1">
      <protection hidden="1"/>
    </xf>
    <xf numFmtId="37" fontId="9" fillId="0" borderId="114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2" xfId="138" applyFont="1" applyFill="1" applyBorder="1" applyAlignment="1" applyProtection="1">
      <protection hidden="1"/>
    </xf>
    <xf numFmtId="37" fontId="12" fillId="0" borderId="130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12" fillId="24" borderId="81" xfId="49" applyNumberFormat="1" applyFont="1" applyFill="1" applyBorder="1" applyAlignment="1">
      <alignment horizontal="left" vertical="center" wrapText="1"/>
    </xf>
    <xf numFmtId="170" fontId="12" fillId="24" borderId="81" xfId="49" applyNumberFormat="1" applyFont="1" applyFill="1" applyBorder="1" applyAlignment="1">
      <alignment horizontal="left"/>
    </xf>
    <xf numFmtId="170" fontId="12" fillId="24" borderId="134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1" xfId="49" applyNumberFormat="1" applyFont="1" applyFill="1" applyBorder="1"/>
    <xf numFmtId="170" fontId="12" fillId="24" borderId="135" xfId="49" applyNumberFormat="1" applyFont="1" applyFill="1" applyBorder="1"/>
    <xf numFmtId="49" fontId="12" fillId="26" borderId="136" xfId="141" applyNumberFormat="1" applyFont="1" applyFill="1" applyBorder="1" applyAlignment="1">
      <alignment horizontal="center" vertical="center" wrapText="1"/>
    </xf>
    <xf numFmtId="0" fontId="0" fillId="24" borderId="132" xfId="0" applyFill="1" applyBorder="1"/>
    <xf numFmtId="170" fontId="0" fillId="24" borderId="103" xfId="0" applyNumberFormat="1" applyFill="1" applyBorder="1"/>
    <xf numFmtId="170" fontId="12" fillId="24" borderId="130" xfId="49" applyNumberFormat="1" applyFont="1" applyFill="1" applyBorder="1"/>
    <xf numFmtId="170" fontId="12" fillId="24" borderId="137" xfId="49" applyNumberFormat="1" applyFont="1" applyFill="1" applyBorder="1"/>
    <xf numFmtId="170" fontId="12" fillId="24" borderId="109" xfId="140" applyNumberFormat="1" applyFont="1" applyFill="1" applyBorder="1"/>
    <xf numFmtId="170" fontId="12" fillId="24" borderId="112" xfId="140" applyNumberFormat="1" applyFont="1" applyFill="1" applyBorder="1"/>
    <xf numFmtId="170" fontId="12" fillId="24" borderId="52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3" xfId="140" applyNumberFormat="1" applyFont="1" applyFill="1" applyBorder="1"/>
    <xf numFmtId="170" fontId="12" fillId="24" borderId="100" xfId="140" applyNumberFormat="1" applyFont="1" applyFill="1" applyBorder="1"/>
    <xf numFmtId="170" fontId="12" fillId="24" borderId="118" xfId="140" applyNumberFormat="1" applyFont="1" applyFill="1" applyBorder="1"/>
    <xf numFmtId="170" fontId="12" fillId="24" borderId="119" xfId="140" applyNumberFormat="1" applyFont="1" applyFill="1" applyBorder="1"/>
    <xf numFmtId="170" fontId="12" fillId="24" borderId="86" xfId="140" applyNumberFormat="1" applyFont="1" applyFill="1" applyBorder="1"/>
    <xf numFmtId="170" fontId="12" fillId="24" borderId="120" xfId="140" applyNumberFormat="1" applyFont="1" applyFill="1" applyBorder="1"/>
    <xf numFmtId="170" fontId="0" fillId="24" borderId="0" xfId="140" applyNumberFormat="1" applyFont="1" applyFill="1" applyBorder="1"/>
    <xf numFmtId="170" fontId="0" fillId="24" borderId="76" xfId="140" applyNumberFormat="1" applyFont="1" applyFill="1" applyBorder="1"/>
    <xf numFmtId="170" fontId="0" fillId="24" borderId="77" xfId="140" applyNumberFormat="1" applyFont="1" applyFill="1" applyBorder="1"/>
    <xf numFmtId="0" fontId="12" fillId="24" borderId="76" xfId="0" applyFont="1" applyFill="1" applyBorder="1" applyAlignment="1">
      <alignment horizontal="center" vertical="center" wrapText="1"/>
    </xf>
    <xf numFmtId="0" fontId="12" fillId="24" borderId="102" xfId="0" applyFont="1" applyFill="1" applyBorder="1" applyAlignment="1">
      <alignment horizontal="center" vertical="center" wrapText="1"/>
    </xf>
    <xf numFmtId="0" fontId="12" fillId="24" borderId="77" xfId="0" applyFont="1" applyFill="1" applyBorder="1" applyAlignment="1">
      <alignment horizontal="center" vertical="center" wrapText="1"/>
    </xf>
    <xf numFmtId="170" fontId="12" fillId="24" borderId="102" xfId="140" applyNumberFormat="1" applyFont="1" applyFill="1" applyBorder="1"/>
    <xf numFmtId="170" fontId="12" fillId="24" borderId="128" xfId="140" applyNumberFormat="1" applyFont="1" applyFill="1" applyBorder="1"/>
    <xf numFmtId="0" fontId="12" fillId="24" borderId="75" xfId="0" applyFont="1" applyFill="1" applyBorder="1"/>
    <xf numFmtId="0" fontId="12" fillId="24" borderId="79" xfId="0" applyFont="1" applyFill="1" applyBorder="1"/>
    <xf numFmtId="0" fontId="12" fillId="24" borderId="139" xfId="0" applyFont="1" applyFill="1" applyBorder="1"/>
    <xf numFmtId="170" fontId="12" fillId="24" borderId="138" xfId="140" applyNumberFormat="1" applyFont="1" applyFill="1" applyBorder="1"/>
    <xf numFmtId="170" fontId="12" fillId="24" borderId="106" xfId="140" applyNumberFormat="1" applyFont="1" applyFill="1" applyBorder="1"/>
    <xf numFmtId="170" fontId="0" fillId="24" borderId="0" xfId="0" applyNumberFormat="1" applyFill="1"/>
    <xf numFmtId="174" fontId="0" fillId="24" borderId="76" xfId="140" applyNumberFormat="1" applyFont="1" applyFill="1" applyBorder="1"/>
    <xf numFmtId="174" fontId="0" fillId="24" borderId="77" xfId="140" applyNumberFormat="1" applyFont="1" applyFill="1" applyBorder="1"/>
    <xf numFmtId="174" fontId="12" fillId="24" borderId="102" xfId="140" applyNumberFormat="1" applyFont="1" applyFill="1" applyBorder="1"/>
    <xf numFmtId="174" fontId="0" fillId="24" borderId="0" xfId="140" applyNumberFormat="1" applyFont="1" applyFill="1" applyBorder="1"/>
    <xf numFmtId="174" fontId="0" fillId="24" borderId="80" xfId="140" applyNumberFormat="1" applyFont="1" applyFill="1" applyBorder="1"/>
    <xf numFmtId="174" fontId="12" fillId="24" borderId="103" xfId="140" applyNumberFormat="1" applyFont="1" applyFill="1" applyBorder="1"/>
    <xf numFmtId="174" fontId="12" fillId="24" borderId="138" xfId="140" applyNumberFormat="1" applyFont="1" applyFill="1" applyBorder="1"/>
    <xf numFmtId="174" fontId="12" fillId="24" borderId="106" xfId="140" applyNumberFormat="1" applyFont="1" applyFill="1" applyBorder="1"/>
    <xf numFmtId="174" fontId="12" fillId="24" borderId="128" xfId="140" applyNumberFormat="1" applyFont="1" applyFill="1" applyBorder="1"/>
    <xf numFmtId="170" fontId="9" fillId="31" borderId="65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41" fontId="9" fillId="0" borderId="10" xfId="51" applyNumberFormat="1" applyFont="1" applyBorder="1" applyAlignment="1">
      <alignment horizontal="right" vertical="center" wrapText="1"/>
    </xf>
    <xf numFmtId="41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0" fontId="12" fillId="0" borderId="100" xfId="51" applyFont="1" applyBorder="1" applyAlignment="1">
      <alignment vertical="center"/>
    </xf>
    <xf numFmtId="49" fontId="12" fillId="24" borderId="136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6" xfId="49" applyNumberFormat="1" applyFont="1" applyFill="1" applyBorder="1" applyAlignment="1">
      <alignment horizontal="center" vertical="center" wrapText="1"/>
    </xf>
    <xf numFmtId="170" fontId="12" fillId="24" borderId="0" xfId="49" applyNumberFormat="1" applyFont="1" applyFill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170" fontId="12" fillId="0" borderId="73" xfId="140" applyNumberFormat="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7" xfId="5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8" xfId="51" applyFont="1" applyBorder="1" applyAlignment="1">
      <alignment horizontal="center" vertical="center" wrapText="1"/>
    </xf>
    <xf numFmtId="0" fontId="12" fillId="0" borderId="52" xfId="51" applyFont="1" applyBorder="1" applyAlignment="1">
      <alignment horizontal="center"/>
    </xf>
    <xf numFmtId="0" fontId="12" fillId="0" borderId="69" xfId="51" applyFont="1" applyBorder="1" applyAlignment="1">
      <alignment horizontal="center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2" xfId="51" applyFont="1" applyBorder="1" applyAlignment="1">
      <alignment horizontal="center" vertical="center" wrapText="1"/>
    </xf>
    <xf numFmtId="0" fontId="36" fillId="0" borderId="52" xfId="51" applyFont="1" applyBorder="1" applyAlignment="1">
      <alignment horizontal="center" vertical="center"/>
    </xf>
    <xf numFmtId="0" fontId="36" fillId="0" borderId="69" xfId="51" applyFont="1" applyBorder="1" applyAlignment="1">
      <alignment horizontal="center" vertical="center"/>
    </xf>
    <xf numFmtId="0" fontId="36" fillId="0" borderId="100" xfId="51" applyFont="1" applyBorder="1" applyAlignment="1">
      <alignment horizontal="center" vertical="center"/>
    </xf>
    <xf numFmtId="0" fontId="36" fillId="0" borderId="123" xfId="51" applyFont="1" applyBorder="1" applyAlignment="1">
      <alignment horizontal="center" vertical="center"/>
    </xf>
    <xf numFmtId="0" fontId="12" fillId="24" borderId="78" xfId="0" applyFont="1" applyFill="1" applyBorder="1" applyAlignment="1">
      <alignment horizontal="left" vertical="center" wrapText="1"/>
    </xf>
    <xf numFmtId="0" fontId="12" fillId="24" borderId="81" xfId="0" applyFont="1" applyFill="1" applyBorder="1" applyAlignment="1">
      <alignment horizontal="left" vertical="center" wrapText="1"/>
    </xf>
    <xf numFmtId="170" fontId="12" fillId="24" borderId="121" xfId="140" applyNumberFormat="1" applyFont="1" applyFill="1" applyBorder="1" applyAlignment="1">
      <alignment horizontal="center" vertical="center"/>
    </xf>
    <xf numFmtId="170" fontId="12" fillId="24" borderId="103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6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9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zoomScaleNormal="100" workbookViewId="0">
      <selection activeCell="E6" sqref="E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99</v>
      </c>
      <c r="B1" s="297"/>
      <c r="C1" s="297"/>
      <c r="D1" s="297"/>
      <c r="E1" s="297"/>
      <c r="F1" s="297"/>
      <c r="I1" s="297" t="s">
        <v>99</v>
      </c>
      <c r="J1" s="297"/>
      <c r="K1" s="297"/>
      <c r="L1" s="297"/>
      <c r="M1" s="297"/>
      <c r="N1" s="297"/>
      <c r="P1" s="297" t="s">
        <v>99</v>
      </c>
      <c r="Q1" s="297"/>
      <c r="R1" s="297"/>
      <c r="S1" s="297"/>
      <c r="T1" s="297"/>
      <c r="U1" s="297"/>
      <c r="W1" s="297" t="s">
        <v>99</v>
      </c>
      <c r="X1" s="297"/>
      <c r="Y1" s="297"/>
      <c r="Z1" s="297"/>
      <c r="AA1" s="297"/>
      <c r="AB1" s="297"/>
    </row>
    <row r="2" spans="1:28">
      <c r="A2" s="297" t="s">
        <v>100</v>
      </c>
      <c r="B2" s="297"/>
      <c r="C2" s="297"/>
      <c r="D2" s="297"/>
      <c r="E2" s="297"/>
      <c r="F2" s="297"/>
      <c r="I2" s="297" t="s">
        <v>100</v>
      </c>
      <c r="J2" s="297"/>
      <c r="K2" s="297"/>
      <c r="L2" s="297"/>
      <c r="M2" s="297"/>
      <c r="N2" s="297"/>
      <c r="P2" s="297" t="s">
        <v>100</v>
      </c>
      <c r="Q2" s="297"/>
      <c r="R2" s="297"/>
      <c r="S2" s="297"/>
      <c r="T2" s="297"/>
      <c r="U2" s="297"/>
      <c r="W2" s="297" t="s">
        <v>100</v>
      </c>
      <c r="X2" s="297"/>
      <c r="Y2" s="297"/>
      <c r="Z2" s="297"/>
      <c r="AA2" s="297"/>
      <c r="AB2" s="297"/>
    </row>
    <row r="3" spans="1:28">
      <c r="A3" s="297" t="s">
        <v>180</v>
      </c>
      <c r="B3" s="297"/>
      <c r="C3" s="297"/>
      <c r="D3" s="297"/>
      <c r="E3" s="297"/>
      <c r="F3" s="297"/>
      <c r="I3" s="297" t="s">
        <v>180</v>
      </c>
      <c r="J3" s="297"/>
      <c r="K3" s="297"/>
      <c r="L3" s="297"/>
      <c r="M3" s="297"/>
      <c r="N3" s="297"/>
      <c r="P3" s="297" t="s">
        <v>180</v>
      </c>
      <c r="Q3" s="297"/>
      <c r="R3" s="297"/>
      <c r="S3" s="297"/>
      <c r="T3" s="297"/>
      <c r="U3" s="297"/>
      <c r="W3" s="297" t="s">
        <v>180</v>
      </c>
      <c r="X3" s="297"/>
      <c r="Y3" s="297"/>
      <c r="Z3" s="297"/>
      <c r="AA3" s="297"/>
      <c r="AB3" s="297"/>
    </row>
    <row r="4" spans="1:28" ht="13.8" thickBot="1">
      <c r="A4" s="297" t="s">
        <v>191</v>
      </c>
      <c r="B4" s="297"/>
      <c r="C4" s="297"/>
      <c r="D4" s="297"/>
      <c r="E4" s="297"/>
      <c r="F4" s="297"/>
      <c r="I4" s="297" t="s">
        <v>191</v>
      </c>
      <c r="J4" s="297"/>
      <c r="K4" s="297"/>
      <c r="L4" s="297"/>
      <c r="M4" s="297"/>
      <c r="N4" s="297"/>
      <c r="P4" s="297" t="s">
        <v>191</v>
      </c>
      <c r="Q4" s="297"/>
      <c r="R4" s="297"/>
      <c r="S4" s="297"/>
      <c r="T4" s="297"/>
      <c r="U4" s="297"/>
      <c r="W4" s="297" t="s">
        <v>191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151</v>
      </c>
      <c r="C5" s="64" t="s">
        <v>159</v>
      </c>
      <c r="D5" s="64" t="s">
        <v>164</v>
      </c>
      <c r="E5" s="64" t="s">
        <v>179</v>
      </c>
      <c r="F5" s="65" t="s">
        <v>53</v>
      </c>
      <c r="I5" s="270"/>
      <c r="J5" s="265" t="s">
        <v>181</v>
      </c>
      <c r="K5" s="265" t="s">
        <v>182</v>
      </c>
      <c r="L5" s="265" t="s">
        <v>183</v>
      </c>
      <c r="M5" s="267" t="s">
        <v>184</v>
      </c>
      <c r="N5" s="266" t="s">
        <v>53</v>
      </c>
      <c r="P5" s="270"/>
      <c r="Q5" s="265" t="s">
        <v>181</v>
      </c>
      <c r="R5" s="265" t="s">
        <v>182</v>
      </c>
      <c r="S5" s="265" t="s">
        <v>183</v>
      </c>
      <c r="T5" s="267" t="s">
        <v>184</v>
      </c>
      <c r="U5" s="266" t="s">
        <v>53</v>
      </c>
      <c r="W5" s="270"/>
      <c r="X5" s="265" t="s">
        <v>181</v>
      </c>
      <c r="Y5" s="265" t="s">
        <v>182</v>
      </c>
      <c r="Z5" s="265" t="s">
        <v>183</v>
      </c>
      <c r="AA5" s="267" t="s">
        <v>184</v>
      </c>
      <c r="AB5" s="266" t="s">
        <v>53</v>
      </c>
    </row>
    <row r="6" spans="1:28">
      <c r="A6" s="68" t="s">
        <v>1</v>
      </c>
      <c r="B6" s="9">
        <f>VLOOKUP(A6,Seguridad!$A$14:$F$67,6,FALSE)</f>
        <v>398728.6571520631</v>
      </c>
      <c r="C6" s="9">
        <f>VLOOKUP(A6,Desarrollo!$A$13:$D$69,4,FALSE)</f>
        <v>256101.06</v>
      </c>
      <c r="D6" s="9">
        <f>IFERROR(VLOOKUP(A6,Ultracrecimiento!$A$6:$E$17,5,FALSE),0)</f>
        <v>0</v>
      </c>
      <c r="E6" s="9">
        <f>VLOOKUP(A6,Descentralizados!$A$6:$E$56,5,TRUE)/12</f>
        <v>143228.49826260723</v>
      </c>
      <c r="F6" s="66">
        <f t="shared" ref="F6:F56" si="0">SUM(B6:E6)</f>
        <v>798058.2154146703</v>
      </c>
      <c r="I6" s="270" t="s">
        <v>6</v>
      </c>
      <c r="J6" s="263">
        <f t="shared" ref="J6:J17" si="1">VLOOKUP(I6,$A$6:$E$56,3,FALSE)</f>
        <v>2530556.75</v>
      </c>
      <c r="K6" s="263">
        <f t="shared" ref="K6:K17" si="2">VLOOKUP(I6,$A$6:$E$56,4,FALSE)</f>
        <v>2811392.038335517</v>
      </c>
      <c r="L6" s="263">
        <f t="shared" ref="L6:L17" si="3">VLOOKUP(I6,$A$6:$E$56,5,FALSE)</f>
        <v>1747649.5180370137</v>
      </c>
      <c r="M6" s="264">
        <f t="shared" ref="M6:M17" si="4">VLOOKUP(I6,$A$6:$E$56,2,FALSE)</f>
        <v>4246169.4864180004</v>
      </c>
      <c r="N6" s="268">
        <f>SUM(J6:M6)</f>
        <v>11335767.792790532</v>
      </c>
      <c r="P6" s="270" t="s">
        <v>6</v>
      </c>
      <c r="Q6" s="263">
        <v>23282655.170000002</v>
      </c>
      <c r="R6" s="263">
        <v>28645857.449999999</v>
      </c>
      <c r="S6" s="263">
        <v>19975423.179237131</v>
      </c>
      <c r="T6" s="264">
        <v>44849466.46741198</v>
      </c>
      <c r="U6" s="268">
        <f>SUM(Q6:T6)</f>
        <v>116753402.26664911</v>
      </c>
      <c r="V6" s="275"/>
      <c r="W6" s="270" t="s">
        <v>6</v>
      </c>
      <c r="X6" s="276">
        <f>Q6-J6</f>
        <v>20752098.420000002</v>
      </c>
      <c r="Y6" s="276">
        <f>R6-K6</f>
        <v>25834465.411664482</v>
      </c>
      <c r="Z6" s="276">
        <f>S6-L6</f>
        <v>18227773.661200117</v>
      </c>
      <c r="AA6" s="277">
        <f>T6-M6</f>
        <v>40603296.980993979</v>
      </c>
      <c r="AB6" s="278">
        <f>SUM(X6:AA6)</f>
        <v>105417634.47385859</v>
      </c>
    </row>
    <row r="7" spans="1:28">
      <c r="A7" s="68" t="s">
        <v>2</v>
      </c>
      <c r="B7" s="9">
        <f>VLOOKUP(A7,Seguridad!$A$14:$F$67,6,FALSE)</f>
        <v>407700.17</v>
      </c>
      <c r="C7" s="9">
        <f>VLOOKUP(A7,Desarrollo!$A$13:$D$69,4,FALSE)</f>
        <v>345867.1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6">
        <f t="shared" si="0"/>
        <v>995286.65986644255</v>
      </c>
      <c r="I7" s="271" t="s">
        <v>9</v>
      </c>
      <c r="J7" s="262">
        <f t="shared" si="1"/>
        <v>1019572.43</v>
      </c>
      <c r="K7" s="262">
        <f t="shared" si="2"/>
        <v>992227.93436003965</v>
      </c>
      <c r="L7" s="262">
        <f t="shared" si="3"/>
        <v>506731.01177109405</v>
      </c>
      <c r="M7" s="221">
        <f t="shared" si="4"/>
        <v>1062519.757051799</v>
      </c>
      <c r="N7" s="218">
        <f t="shared" ref="N7:N57" si="5">SUM(J7:M7)</f>
        <v>3581051.1331829326</v>
      </c>
      <c r="P7" s="271" t="s">
        <v>9</v>
      </c>
      <c r="Q7" s="262">
        <v>9548732.7699999996</v>
      </c>
      <c r="R7" s="262">
        <v>9486442.7599999998</v>
      </c>
      <c r="S7" s="262">
        <v>6080772.1341687515</v>
      </c>
      <c r="T7" s="221">
        <v>10534606.81053259</v>
      </c>
      <c r="U7" s="218">
        <f t="shared" ref="U7:U17" si="6">SUM(Q7:T7)</f>
        <v>35650554.474701345</v>
      </c>
      <c r="W7" s="271" t="s">
        <v>9</v>
      </c>
      <c r="X7" s="279">
        <f t="shared" ref="X7:AA57" si="7">Q7-J7</f>
        <v>8529160.3399999999</v>
      </c>
      <c r="Y7" s="279">
        <f t="shared" si="7"/>
        <v>8494214.8256399594</v>
      </c>
      <c r="Z7" s="279">
        <f t="shared" si="7"/>
        <v>5574041.1223976575</v>
      </c>
      <c r="AA7" s="280">
        <f t="shared" si="7"/>
        <v>9472087.0534807909</v>
      </c>
      <c r="AB7" s="281">
        <f t="shared" ref="AB7:AB17" si="8">SUM(X7:AA7)</f>
        <v>32069503.34151841</v>
      </c>
    </row>
    <row r="8" spans="1:28">
      <c r="A8" s="68" t="s">
        <v>3</v>
      </c>
      <c r="B8" s="9">
        <f>VLOOKUP(A8,Seguridad!$A$14:$F$67,6,FALSE)</f>
        <v>364271.87</v>
      </c>
      <c r="C8" s="9">
        <f>VLOOKUP(A8,Desarrollo!$A$13:$D$69,4,FALSE)</f>
        <v>355476.36</v>
      </c>
      <c r="D8" s="9">
        <f>IFERROR(VLOOKUP(A8,Ultracrecimiento!$A$6:$E$17,5,FALSE),0)</f>
        <v>0</v>
      </c>
      <c r="E8" s="9">
        <f>VLOOKUP(A8,Descentralizados!$A$6:$E$56,5,TRUE)/12</f>
        <v>173891.59625916352</v>
      </c>
      <c r="F8" s="66">
        <f t="shared" si="0"/>
        <v>893639.82625916344</v>
      </c>
      <c r="I8" s="271" t="s">
        <v>18</v>
      </c>
      <c r="J8" s="262">
        <f t="shared" si="1"/>
        <v>1400276.57</v>
      </c>
      <c r="K8" s="262">
        <f t="shared" si="2"/>
        <v>1663451.9213205217</v>
      </c>
      <c r="L8" s="262">
        <f t="shared" si="3"/>
        <v>664081.07134879578</v>
      </c>
      <c r="M8" s="221">
        <f t="shared" si="4"/>
        <v>2700863.1357078659</v>
      </c>
      <c r="N8" s="218">
        <f t="shared" si="5"/>
        <v>6428672.6983771827</v>
      </c>
      <c r="P8" s="271" t="s">
        <v>18</v>
      </c>
      <c r="Q8" s="262">
        <v>12255078.59</v>
      </c>
      <c r="R8" s="262">
        <v>14246136.279999999</v>
      </c>
      <c r="S8" s="262">
        <v>6658903.2770231804</v>
      </c>
      <c r="T8" s="221">
        <v>20920318.281674031</v>
      </c>
      <c r="U8" s="218">
        <f t="shared" si="6"/>
        <v>54080436.428697214</v>
      </c>
      <c r="W8" s="271" t="s">
        <v>18</v>
      </c>
      <c r="X8" s="279">
        <f t="shared" si="7"/>
        <v>10854802.02</v>
      </c>
      <c r="Y8" s="279">
        <f t="shared" si="7"/>
        <v>12582684.358679477</v>
      </c>
      <c r="Z8" s="279">
        <f t="shared" si="7"/>
        <v>5994822.2056743847</v>
      </c>
      <c r="AA8" s="280">
        <f t="shared" si="7"/>
        <v>18219455.145966165</v>
      </c>
      <c r="AB8" s="281">
        <f t="shared" si="8"/>
        <v>47651763.730320022</v>
      </c>
    </row>
    <row r="9" spans="1:28">
      <c r="A9" s="68" t="s">
        <v>4</v>
      </c>
      <c r="B9" s="9">
        <f>VLOOKUP(A9,Seguridad!$A$14:$F$67,6,FALSE)</f>
        <v>1109303.6000000001</v>
      </c>
      <c r="C9" s="9">
        <f>VLOOKUP(A9,Desarrollo!$A$13:$D$69,4,FALSE)</f>
        <v>674185.86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6">
        <f t="shared" si="0"/>
        <v>2493342.8447098192</v>
      </c>
      <c r="I9" s="271" t="s">
        <v>20</v>
      </c>
      <c r="J9" s="262">
        <f t="shared" si="1"/>
        <v>1790502.94</v>
      </c>
      <c r="K9" s="262">
        <f t="shared" si="2"/>
        <v>2051429.0760061136</v>
      </c>
      <c r="L9" s="262">
        <f t="shared" si="3"/>
        <v>1038180.3405734088</v>
      </c>
      <c r="M9" s="221">
        <f t="shared" si="4"/>
        <v>3201590.5778042134</v>
      </c>
      <c r="N9" s="218">
        <f t="shared" si="5"/>
        <v>8081702.934383736</v>
      </c>
      <c r="P9" s="271" t="s">
        <v>20</v>
      </c>
      <c r="Q9" s="262">
        <v>17641019.199999999</v>
      </c>
      <c r="R9" s="262">
        <v>21407525.73</v>
      </c>
      <c r="S9" s="262">
        <v>13162778.798296982</v>
      </c>
      <c r="T9" s="221">
        <v>33080484.605316535</v>
      </c>
      <c r="U9" s="218">
        <f t="shared" si="6"/>
        <v>85291808.333613515</v>
      </c>
      <c r="W9" s="271" t="s">
        <v>20</v>
      </c>
      <c r="X9" s="279">
        <f t="shared" si="7"/>
        <v>15850516.26</v>
      </c>
      <c r="Y9" s="279">
        <f t="shared" si="7"/>
        <v>19356096.653993886</v>
      </c>
      <c r="Z9" s="279">
        <f t="shared" si="7"/>
        <v>12124598.457723573</v>
      </c>
      <c r="AA9" s="280">
        <f t="shared" si="7"/>
        <v>29878894.027512319</v>
      </c>
      <c r="AB9" s="281">
        <f t="shared" si="8"/>
        <v>77210105.39922978</v>
      </c>
    </row>
    <row r="10" spans="1:28">
      <c r="A10" s="68" t="s">
        <v>5</v>
      </c>
      <c r="B10" s="9">
        <f>VLOOKUP(A10,Seguridad!$A$14:$F$67,6,FALSE)</f>
        <v>729795.23</v>
      </c>
      <c r="C10" s="9">
        <f>VLOOKUP(A10,Desarrollo!$A$13:$D$69,4,FALSE)</f>
        <v>562549.03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6">
        <f t="shared" si="0"/>
        <v>1803813.2948487534</v>
      </c>
      <c r="I10" s="271" t="s">
        <v>25</v>
      </c>
      <c r="J10" s="262">
        <f t="shared" si="1"/>
        <v>2333573.33</v>
      </c>
      <c r="K10" s="262">
        <f t="shared" si="2"/>
        <v>0</v>
      </c>
      <c r="L10" s="262">
        <f t="shared" si="3"/>
        <v>1558806.9486618557</v>
      </c>
      <c r="M10" s="221">
        <f t="shared" si="4"/>
        <v>4166770.0214126981</v>
      </c>
      <c r="N10" s="218">
        <f t="shared" si="5"/>
        <v>8059150.3000745531</v>
      </c>
      <c r="P10" s="271" t="s">
        <v>25</v>
      </c>
      <c r="Q10" s="262">
        <v>25364973.93</v>
      </c>
      <c r="R10" s="262">
        <v>0</v>
      </c>
      <c r="S10" s="262">
        <v>22489959.251444831</v>
      </c>
      <c r="T10" s="221">
        <v>50709572.495409966</v>
      </c>
      <c r="U10" s="218">
        <f t="shared" si="6"/>
        <v>98564505.676854789</v>
      </c>
      <c r="W10" s="271" t="s">
        <v>25</v>
      </c>
      <c r="X10" s="279">
        <f t="shared" si="7"/>
        <v>23031400.600000001</v>
      </c>
      <c r="Y10" s="279">
        <f t="shared" si="7"/>
        <v>0</v>
      </c>
      <c r="Z10" s="279">
        <f t="shared" si="7"/>
        <v>20931152.302782975</v>
      </c>
      <c r="AA10" s="280">
        <f t="shared" si="7"/>
        <v>46542802.473997265</v>
      </c>
      <c r="AB10" s="281">
        <f t="shared" si="8"/>
        <v>90505355.376780242</v>
      </c>
    </row>
    <row r="11" spans="1:28">
      <c r="A11" s="68" t="s">
        <v>6</v>
      </c>
      <c r="B11" s="9">
        <f>VLOOKUP(A11,Seguridad!$A$14:$F$67,6,FALSE)</f>
        <v>4246169.4864180004</v>
      </c>
      <c r="C11" s="9">
        <f>VLOOKUP(A11,Desarrollo!$A$13:$D$69,4,FALSE)</f>
        <v>2530556.75</v>
      </c>
      <c r="D11" s="9">
        <f>IFERROR(VLOOKUP(A11,Ultracrecimiento!$A$6:$E$17,5,FALSE),0)</f>
        <v>2811392.038335517</v>
      </c>
      <c r="E11" s="9">
        <f>VLOOKUP(A11,Descentralizados!$A$6:$E$56,5,TRUE)/12</f>
        <v>1747649.5180370137</v>
      </c>
      <c r="F11" s="66">
        <f t="shared" si="0"/>
        <v>11335767.792790532</v>
      </c>
      <c r="I11" s="271" t="s">
        <v>31</v>
      </c>
      <c r="J11" s="262">
        <f t="shared" si="1"/>
        <v>1502391.48</v>
      </c>
      <c r="K11" s="262">
        <f t="shared" si="2"/>
        <v>1844388.9089249084</v>
      </c>
      <c r="L11" s="262">
        <f t="shared" si="3"/>
        <v>761975.82802667504</v>
      </c>
      <c r="M11" s="221">
        <f t="shared" si="4"/>
        <v>3143833.5913991849</v>
      </c>
      <c r="N11" s="218">
        <f t="shared" si="5"/>
        <v>7252589.8083507679</v>
      </c>
      <c r="P11" s="271" t="s">
        <v>31</v>
      </c>
      <c r="Q11" s="262">
        <v>13479964.83</v>
      </c>
      <c r="R11" s="262">
        <v>16723437.619999999</v>
      </c>
      <c r="S11" s="262">
        <v>8138033.5227512307</v>
      </c>
      <c r="T11" s="221">
        <v>26810383.882002413</v>
      </c>
      <c r="U11" s="218">
        <f t="shared" si="6"/>
        <v>65151819.854753643</v>
      </c>
      <c r="W11" s="271" t="s">
        <v>31</v>
      </c>
      <c r="X11" s="279">
        <f t="shared" si="7"/>
        <v>11977573.35</v>
      </c>
      <c r="Y11" s="279">
        <f t="shared" si="7"/>
        <v>14879048.71107509</v>
      </c>
      <c r="Z11" s="279">
        <f t="shared" si="7"/>
        <v>7376057.6947245561</v>
      </c>
      <c r="AA11" s="280">
        <f t="shared" si="7"/>
        <v>23666550.290603228</v>
      </c>
      <c r="AB11" s="281">
        <f t="shared" si="8"/>
        <v>57899230.046402879</v>
      </c>
    </row>
    <row r="12" spans="1:28">
      <c r="A12" s="68" t="s">
        <v>7</v>
      </c>
      <c r="B12" s="9">
        <f>VLOOKUP(A12,Seguridad!$A$14:$F$67,6,FALSE)</f>
        <v>662992.61</v>
      </c>
      <c r="C12" s="9">
        <f>VLOOKUP(A12,Desarrollo!$A$13:$D$69,4,FALSE)</f>
        <v>703866.17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6">
        <f t="shared" si="0"/>
        <v>2052248.3711869577</v>
      </c>
      <c r="I12" s="271" t="s">
        <v>39</v>
      </c>
      <c r="J12" s="262">
        <f t="shared" si="1"/>
        <v>7078938.4800000004</v>
      </c>
      <c r="K12" s="262">
        <f t="shared" si="2"/>
        <v>0</v>
      </c>
      <c r="L12" s="262">
        <f t="shared" si="3"/>
        <v>6108057.675518549</v>
      </c>
      <c r="M12" s="221">
        <f t="shared" si="4"/>
        <v>7146118.5674952306</v>
      </c>
      <c r="N12" s="218">
        <f t="shared" si="5"/>
        <v>20333114.723013781</v>
      </c>
      <c r="P12" s="271" t="s">
        <v>39</v>
      </c>
      <c r="Q12" s="262">
        <v>66697182.609999999</v>
      </c>
      <c r="R12" s="262">
        <v>0</v>
      </c>
      <c r="S12" s="262">
        <v>72401304.254294619</v>
      </c>
      <c r="T12" s="221">
        <v>79868239.27235584</v>
      </c>
      <c r="U12" s="218">
        <f t="shared" si="6"/>
        <v>218966726.13665044</v>
      </c>
      <c r="W12" s="271" t="s">
        <v>39</v>
      </c>
      <c r="X12" s="279">
        <f t="shared" si="7"/>
        <v>59618244.129999995</v>
      </c>
      <c r="Y12" s="279">
        <f t="shared" si="7"/>
        <v>0</v>
      </c>
      <c r="Z12" s="279">
        <f t="shared" si="7"/>
        <v>66293246.578776069</v>
      </c>
      <c r="AA12" s="280">
        <f t="shared" si="7"/>
        <v>72722120.704860613</v>
      </c>
      <c r="AB12" s="281">
        <f t="shared" si="8"/>
        <v>198633611.41363668</v>
      </c>
    </row>
    <row r="13" spans="1:28">
      <c r="A13" s="68" t="s">
        <v>8</v>
      </c>
      <c r="B13" s="9">
        <f>VLOOKUP(A13,Seguridad!$A$14:$F$67,6,FALSE)</f>
        <v>413835.11</v>
      </c>
      <c r="C13" s="9">
        <f>VLOOKUP(A13,Desarrollo!$A$13:$D$69,4,FALSE)</f>
        <v>296638.40000000002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6">
        <f t="shared" si="0"/>
        <v>958325.0999526435</v>
      </c>
      <c r="I13" s="271" t="s">
        <v>45</v>
      </c>
      <c r="J13" s="262">
        <f t="shared" si="1"/>
        <v>937972.56</v>
      </c>
      <c r="K13" s="262">
        <f t="shared" si="2"/>
        <v>883779.56687150756</v>
      </c>
      <c r="L13" s="262">
        <f t="shared" si="3"/>
        <v>220882.96991702847</v>
      </c>
      <c r="M13" s="221">
        <f t="shared" si="4"/>
        <v>850499.76082752075</v>
      </c>
      <c r="N13" s="218">
        <f t="shared" si="5"/>
        <v>2893134.8576160567</v>
      </c>
      <c r="P13" s="271" t="s">
        <v>45</v>
      </c>
      <c r="Q13" s="262">
        <v>8567683.1699999999</v>
      </c>
      <c r="R13" s="262">
        <v>8015543.1900000004</v>
      </c>
      <c r="S13" s="262">
        <v>2344408.0906964196</v>
      </c>
      <c r="T13" s="221">
        <v>7706778.8669623602</v>
      </c>
      <c r="U13" s="218">
        <f t="shared" si="6"/>
        <v>26634413.317658782</v>
      </c>
      <c r="W13" s="271" t="s">
        <v>45</v>
      </c>
      <c r="X13" s="279">
        <f t="shared" si="7"/>
        <v>7629710.6099999994</v>
      </c>
      <c r="Y13" s="279">
        <f t="shared" si="7"/>
        <v>7131763.6231284924</v>
      </c>
      <c r="Z13" s="279">
        <f t="shared" si="7"/>
        <v>2123525.1207793909</v>
      </c>
      <c r="AA13" s="280">
        <f t="shared" si="7"/>
        <v>6856279.1061348394</v>
      </c>
      <c r="AB13" s="281">
        <f t="shared" si="8"/>
        <v>23741278.460042723</v>
      </c>
    </row>
    <row r="14" spans="1:28">
      <c r="A14" s="68" t="s">
        <v>9</v>
      </c>
      <c r="B14" s="9">
        <f>VLOOKUP(A14,Seguridad!$A$14:$F$67,6,FALSE)</f>
        <v>1062519.757051799</v>
      </c>
      <c r="C14" s="9">
        <f>VLOOKUP(A14,Desarrollo!$A$13:$D$69,4,FALSE)</f>
        <v>1019572.43</v>
      </c>
      <c r="D14" s="9">
        <f>IFERROR(VLOOKUP(A14,Ultracrecimiento!$A$6:$E$17,5,FALSE),0)</f>
        <v>992227.93436003965</v>
      </c>
      <c r="E14" s="9">
        <f>VLOOKUP(A14,Descentralizados!$A$6:$E$56,5,TRUE)/12</f>
        <v>506731.01177109405</v>
      </c>
      <c r="F14" s="66">
        <f t="shared" si="0"/>
        <v>3581051.1331829326</v>
      </c>
      <c r="I14" s="271" t="s">
        <v>46</v>
      </c>
      <c r="J14" s="262">
        <f t="shared" si="1"/>
        <v>2390185.0099999998</v>
      </c>
      <c r="K14" s="262">
        <f t="shared" si="2"/>
        <v>0</v>
      </c>
      <c r="L14" s="262">
        <f t="shared" si="3"/>
        <v>1613079.0057626683</v>
      </c>
      <c r="M14" s="221">
        <f t="shared" si="4"/>
        <v>2790234.4725661725</v>
      </c>
      <c r="N14" s="218">
        <f t="shared" si="5"/>
        <v>6793498.4883288406</v>
      </c>
      <c r="P14" s="271" t="s">
        <v>46</v>
      </c>
      <c r="Q14" s="262">
        <v>21683055.550000001</v>
      </c>
      <c r="R14" s="262">
        <v>0</v>
      </c>
      <c r="S14" s="262">
        <v>18043802.028718401</v>
      </c>
      <c r="T14" s="221">
        <v>33422146.851413317</v>
      </c>
      <c r="U14" s="218">
        <f t="shared" si="6"/>
        <v>73149004.430131719</v>
      </c>
      <c r="W14" s="271" t="s">
        <v>46</v>
      </c>
      <c r="X14" s="279">
        <f t="shared" si="7"/>
        <v>19292870.539999999</v>
      </c>
      <c r="Y14" s="279">
        <f t="shared" si="7"/>
        <v>0</v>
      </c>
      <c r="Z14" s="279">
        <f t="shared" si="7"/>
        <v>16430723.022955732</v>
      </c>
      <c r="AA14" s="280">
        <f t="shared" si="7"/>
        <v>30631912.378847145</v>
      </c>
      <c r="AB14" s="281">
        <f t="shared" si="8"/>
        <v>66355505.941802874</v>
      </c>
    </row>
    <row r="15" spans="1:28">
      <c r="A15" s="68" t="s">
        <v>10</v>
      </c>
      <c r="B15" s="9">
        <f>VLOOKUP(A15,Seguridad!$A$14:$F$67,6,FALSE)</f>
        <v>2630701.4</v>
      </c>
      <c r="C15" s="9">
        <f>VLOOKUP(A15,Desarrollo!$A$13:$D$69,4,FALSE)</f>
        <v>470407.09</v>
      </c>
      <c r="D15" s="9">
        <f>IFERROR(VLOOKUP(A15,Ultracrecimiento!$A$6:$E$17,5,FALSE),0)</f>
        <v>840566.19979498629</v>
      </c>
      <c r="E15" s="9">
        <f>VLOOKUP(A15,Descentralizados!$A$6:$E$56,5,TRUE)/12</f>
        <v>311065.2867225635</v>
      </c>
      <c r="F15" s="66">
        <f t="shared" si="0"/>
        <v>4252739.9765175497</v>
      </c>
      <c r="I15" s="271" t="s">
        <v>47</v>
      </c>
      <c r="J15" s="262">
        <f t="shared" si="1"/>
        <v>3956022.92</v>
      </c>
      <c r="K15" s="262">
        <f t="shared" si="2"/>
        <v>0</v>
      </c>
      <c r="L15" s="262">
        <f t="shared" si="3"/>
        <v>3114204.6349519598</v>
      </c>
      <c r="M15" s="221">
        <f t="shared" si="4"/>
        <v>1121123.1306673035</v>
      </c>
      <c r="N15" s="218">
        <f t="shared" si="5"/>
        <v>8191350.6856192639</v>
      </c>
      <c r="P15" s="271" t="s">
        <v>47</v>
      </c>
      <c r="Q15" s="262">
        <v>39465188.299999997</v>
      </c>
      <c r="R15" s="262">
        <v>0</v>
      </c>
      <c r="S15" s="262">
        <v>39516890.218708888</v>
      </c>
      <c r="T15" s="221">
        <v>12423975.091150288</v>
      </c>
      <c r="U15" s="218">
        <f t="shared" si="6"/>
        <v>91406053.609859169</v>
      </c>
      <c r="W15" s="271" t="s">
        <v>47</v>
      </c>
      <c r="X15" s="279">
        <f t="shared" si="7"/>
        <v>35509165.379999995</v>
      </c>
      <c r="Y15" s="279">
        <f t="shared" si="7"/>
        <v>0</v>
      </c>
      <c r="Z15" s="279">
        <f t="shared" si="7"/>
        <v>36402685.583756931</v>
      </c>
      <c r="AA15" s="280">
        <f t="shared" si="7"/>
        <v>11302851.960482985</v>
      </c>
      <c r="AB15" s="281">
        <f t="shared" si="8"/>
        <v>83214702.924239904</v>
      </c>
    </row>
    <row r="16" spans="1:28">
      <c r="A16" s="68" t="s">
        <v>11</v>
      </c>
      <c r="B16" s="9">
        <f>VLOOKUP(A16,Seguridad!$A$14:$F$67,6,FALSE)</f>
        <v>494732.69</v>
      </c>
      <c r="C16" s="9">
        <f>VLOOKUP(A16,Desarrollo!$A$13:$D$69,4,FALSE)</f>
        <v>380033.18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6">
        <f t="shared" si="0"/>
        <v>1182526.1507484538</v>
      </c>
      <c r="I16" s="271" t="s">
        <v>48</v>
      </c>
      <c r="J16" s="262">
        <f t="shared" si="1"/>
        <v>1559753.86</v>
      </c>
      <c r="K16" s="262">
        <f t="shared" si="2"/>
        <v>1632013.0955749524</v>
      </c>
      <c r="L16" s="262">
        <f t="shared" si="3"/>
        <v>816967.55624152906</v>
      </c>
      <c r="M16" s="221">
        <f t="shared" si="4"/>
        <v>2159157.4395831828</v>
      </c>
      <c r="N16" s="218">
        <f t="shared" si="5"/>
        <v>6167891.9513996644</v>
      </c>
      <c r="P16" s="271" t="s">
        <v>48</v>
      </c>
      <c r="Q16" s="262">
        <v>15052318.01</v>
      </c>
      <c r="R16" s="262">
        <v>17171332.84</v>
      </c>
      <c r="S16" s="262">
        <v>10036752.817523148</v>
      </c>
      <c r="T16" s="221">
        <v>24311906.031516474</v>
      </c>
      <c r="U16" s="218">
        <f t="shared" si="6"/>
        <v>66572309.699039623</v>
      </c>
      <c r="W16" s="271" t="s">
        <v>48</v>
      </c>
      <c r="X16" s="279">
        <f t="shared" si="7"/>
        <v>13492564.15</v>
      </c>
      <c r="Y16" s="279">
        <f t="shared" si="7"/>
        <v>15539319.744425047</v>
      </c>
      <c r="Z16" s="279">
        <f t="shared" si="7"/>
        <v>9219785.2612816188</v>
      </c>
      <c r="AA16" s="280">
        <f t="shared" si="7"/>
        <v>22152748.591933291</v>
      </c>
      <c r="AB16" s="281">
        <f t="shared" si="8"/>
        <v>60404417.747639954</v>
      </c>
    </row>
    <row r="17" spans="1:28" ht="13.8" thickBot="1">
      <c r="A17" s="68" t="s">
        <v>12</v>
      </c>
      <c r="B17" s="9">
        <f>VLOOKUP(A17,Seguridad!$A$14:$F$67,6,FALSE)</f>
        <v>551684.23</v>
      </c>
      <c r="C17" s="9">
        <f>VLOOKUP(A17,Desarrollo!$A$13:$D$69,4,FALSE)</f>
        <v>550011.86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6">
        <f t="shared" si="0"/>
        <v>1565290.4467548579</v>
      </c>
      <c r="I17" s="271" t="s">
        <v>49</v>
      </c>
      <c r="J17" s="262">
        <f t="shared" si="1"/>
        <v>1139609.55</v>
      </c>
      <c r="K17" s="262">
        <f t="shared" si="2"/>
        <v>957720.8663788808</v>
      </c>
      <c r="L17" s="262">
        <f t="shared" si="3"/>
        <v>414186.7907462265</v>
      </c>
      <c r="M17" s="221">
        <f t="shared" si="4"/>
        <v>612188.11681866238</v>
      </c>
      <c r="N17" s="218">
        <f t="shared" si="5"/>
        <v>3123705.3239437696</v>
      </c>
      <c r="P17" s="271" t="s">
        <v>49</v>
      </c>
      <c r="Q17" s="262">
        <v>10272989.48</v>
      </c>
      <c r="R17" s="262">
        <v>9018342.1300000008</v>
      </c>
      <c r="S17" s="262">
        <v>4532747.80593001</v>
      </c>
      <c r="T17" s="221">
        <v>6900674.8488941686</v>
      </c>
      <c r="U17" s="218">
        <f t="shared" si="6"/>
        <v>30724754.264824178</v>
      </c>
      <c r="W17" s="271" t="s">
        <v>49</v>
      </c>
      <c r="X17" s="279">
        <f t="shared" si="7"/>
        <v>9133379.9299999997</v>
      </c>
      <c r="Y17" s="279">
        <f t="shared" si="7"/>
        <v>8060621.2636211198</v>
      </c>
      <c r="Z17" s="279">
        <f t="shared" si="7"/>
        <v>4118561.0151837836</v>
      </c>
      <c r="AA17" s="280">
        <f t="shared" si="7"/>
        <v>6288486.7320755059</v>
      </c>
      <c r="AB17" s="281">
        <f t="shared" si="8"/>
        <v>27601048.94088041</v>
      </c>
    </row>
    <row r="18" spans="1:28" ht="13.8" thickBot="1">
      <c r="A18" s="68" t="s">
        <v>13</v>
      </c>
      <c r="B18" s="9">
        <f>VLOOKUP(A18,Seguridad!$A$14:$F$67,6,FALSE)</f>
        <v>1845011.99</v>
      </c>
      <c r="C18" s="9">
        <f>VLOOKUP(A18,Desarrollo!$A$13:$D$69,4,FALSE)</f>
        <v>440787.09</v>
      </c>
      <c r="D18" s="9">
        <f>IFERROR(VLOOKUP(A18,Ultracrecimiento!$A$6:$E$17,5,FALSE),0)</f>
        <v>775776.30582593614</v>
      </c>
      <c r="E18" s="9">
        <f>VLOOKUP(A18,Descentralizados!$A$6:$E$56,5,TRUE)/12</f>
        <v>271782.81627851533</v>
      </c>
      <c r="F18" s="66">
        <f t="shared" si="0"/>
        <v>3333358.2021044516</v>
      </c>
      <c r="I18" s="272" t="s">
        <v>144</v>
      </c>
      <c r="J18" s="273">
        <f>SUM(J6:J17)</f>
        <v>27639355.879999999</v>
      </c>
      <c r="K18" s="273">
        <f>SUM(K6:K17)</f>
        <v>12836403.40777244</v>
      </c>
      <c r="L18" s="273">
        <f>SUM(L6:L17)</f>
        <v>18564803.3515568</v>
      </c>
      <c r="M18" s="274">
        <f>SUM(M6:M17)</f>
        <v>33201068.057751831</v>
      </c>
      <c r="N18" s="269">
        <f>SUM(N6:N17)</f>
        <v>92241630.697081089</v>
      </c>
      <c r="P18" s="272" t="s">
        <v>144</v>
      </c>
      <c r="Q18" s="273">
        <f>SUM(Q6:Q17)</f>
        <v>263310841.60999998</v>
      </c>
      <c r="R18" s="273">
        <f>SUM(R6:R17)</f>
        <v>124714618</v>
      </c>
      <c r="S18" s="273">
        <f>SUM(S6:S17)</f>
        <v>223381775.37879363</v>
      </c>
      <c r="T18" s="274">
        <f>SUM(T6:T17)</f>
        <v>351538553.50463998</v>
      </c>
      <c r="U18" s="269">
        <f>SUM(U6:U17)</f>
        <v>962945788.49343336</v>
      </c>
      <c r="W18" s="272" t="s">
        <v>144</v>
      </c>
      <c r="X18" s="282">
        <f>SUM(X6:X17)</f>
        <v>235671485.73000002</v>
      </c>
      <c r="Y18" s="282">
        <f>SUM(Y6:Y17)</f>
        <v>111878214.59222755</v>
      </c>
      <c r="Z18" s="282">
        <f>SUM(Z6:Z17)</f>
        <v>204816972.02723679</v>
      </c>
      <c r="AA18" s="283">
        <f>SUM(AA6:AA17)</f>
        <v>318337485.44688809</v>
      </c>
      <c r="AB18" s="284">
        <f>SUM(AB6:AB17)</f>
        <v>870704157.79635251</v>
      </c>
    </row>
    <row r="19" spans="1:28">
      <c r="A19" s="68" t="s">
        <v>14</v>
      </c>
      <c r="B19" s="9">
        <f>VLOOKUP(A19,Seguridad!$A$14:$F$67,6,FALSE)</f>
        <v>1126872.82</v>
      </c>
      <c r="C19" s="9">
        <f>VLOOKUP(A19,Desarrollo!$A$13:$D$69,4,FALSE)</f>
        <v>1293608.55</v>
      </c>
      <c r="D19" s="9">
        <f>IFERROR(VLOOKUP(A19,Ultracrecimiento!$A$6:$E$17,5,FALSE),0)</f>
        <v>0</v>
      </c>
      <c r="E19" s="9">
        <f>VLOOKUP(A19,Descentralizados!$A$6:$E$56,5,TRUE)/12</f>
        <v>1542631.5953047806</v>
      </c>
      <c r="F19" s="66">
        <f t="shared" si="0"/>
        <v>3963112.9653047808</v>
      </c>
      <c r="I19" s="271" t="s">
        <v>1</v>
      </c>
      <c r="J19" s="262">
        <f t="shared" ref="J19:J57" si="9">VLOOKUP(I19,$A$6:$E$56,3,FALSE)</f>
        <v>256101.06</v>
      </c>
      <c r="K19" s="262">
        <f t="shared" ref="K19:K57" si="10">VLOOKUP(I19,$A$6:$E$56,4,FALSE)</f>
        <v>0</v>
      </c>
      <c r="L19" s="262">
        <f t="shared" ref="L19:L57" si="11">VLOOKUP(I19,$A$6:$E$56,5,FALSE)</f>
        <v>143228.49826260723</v>
      </c>
      <c r="M19" s="221">
        <f t="shared" ref="M19:M57" si="12">VLOOKUP(I19,$A$6:$E$56,2,FALSE)</f>
        <v>398728.6571520631</v>
      </c>
      <c r="N19" s="218">
        <f t="shared" si="5"/>
        <v>798058.2154146703</v>
      </c>
      <c r="P19" s="271" t="s">
        <v>1</v>
      </c>
      <c r="Q19" s="262">
        <v>2443293.2200000002</v>
      </c>
      <c r="R19" s="262">
        <v>0</v>
      </c>
      <c r="S19" s="262">
        <v>1718741.9861008578</v>
      </c>
      <c r="T19" s="221">
        <v>4783188.2086414928</v>
      </c>
      <c r="U19" s="218">
        <f t="shared" ref="U19:U57" si="13">SUM(Q19:T19)</f>
        <v>8945223.4147423506</v>
      </c>
      <c r="W19" s="271" t="s">
        <v>1</v>
      </c>
      <c r="X19" s="279">
        <f t="shared" si="7"/>
        <v>2187192.16</v>
      </c>
      <c r="Y19" s="279">
        <f t="shared" si="7"/>
        <v>0</v>
      </c>
      <c r="Z19" s="279">
        <f t="shared" si="7"/>
        <v>1575513.4878382506</v>
      </c>
      <c r="AA19" s="280">
        <f t="shared" si="7"/>
        <v>4384459.5514894295</v>
      </c>
      <c r="AB19" s="281">
        <f t="shared" ref="AB19:AB57" si="14">SUM(X19:AA19)</f>
        <v>8147165.1993276803</v>
      </c>
    </row>
    <row r="20" spans="1:28">
      <c r="A20" s="68" t="s">
        <v>15</v>
      </c>
      <c r="B20" s="9">
        <f>VLOOKUP(A20,Seguridad!$A$14:$F$67,6,FALSE)</f>
        <v>363238.39</v>
      </c>
      <c r="C20" s="9">
        <f>VLOOKUP(A20,Desarrollo!$A$13:$D$69,4,FALSE)</f>
        <v>371060.09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6">
        <f t="shared" si="0"/>
        <v>953282.29602503718</v>
      </c>
      <c r="I20" s="271" t="s">
        <v>2</v>
      </c>
      <c r="J20" s="262">
        <f t="shared" si="9"/>
        <v>345867.1</v>
      </c>
      <c r="K20" s="262">
        <f t="shared" si="10"/>
        <v>0</v>
      </c>
      <c r="L20" s="262">
        <f t="shared" si="11"/>
        <v>241719.38986644254</v>
      </c>
      <c r="M20" s="221">
        <f t="shared" si="12"/>
        <v>407700.17</v>
      </c>
      <c r="N20" s="218">
        <f t="shared" si="5"/>
        <v>995286.65986644244</v>
      </c>
      <c r="P20" s="271" t="s">
        <v>2</v>
      </c>
      <c r="Q20" s="262">
        <v>3334020.9</v>
      </c>
      <c r="R20" s="262">
        <v>0</v>
      </c>
      <c r="S20" s="262">
        <v>2900632.6789315413</v>
      </c>
      <c r="T20" s="221">
        <v>4723833.2856675256</v>
      </c>
      <c r="U20" s="218">
        <f t="shared" si="13"/>
        <v>10958486.864599068</v>
      </c>
      <c r="W20" s="271" t="s">
        <v>2</v>
      </c>
      <c r="X20" s="279">
        <f t="shared" si="7"/>
        <v>2988153.8</v>
      </c>
      <c r="Y20" s="279">
        <f t="shared" si="7"/>
        <v>0</v>
      </c>
      <c r="Z20" s="279">
        <f t="shared" si="7"/>
        <v>2658913.2890650989</v>
      </c>
      <c r="AA20" s="280">
        <f t="shared" si="7"/>
        <v>4316133.1156675257</v>
      </c>
      <c r="AB20" s="281">
        <f t="shared" si="14"/>
        <v>9963200.2047326248</v>
      </c>
    </row>
    <row r="21" spans="1:28">
      <c r="A21" s="68" t="s">
        <v>16</v>
      </c>
      <c r="B21" s="9">
        <f>VLOOKUP(A21,Seguridad!$A$14:$F$67,6,FALSE)</f>
        <v>404929.56</v>
      </c>
      <c r="C21" s="9">
        <f>VLOOKUP(A21,Desarrollo!$A$13:$D$69,4,FALSE)</f>
        <v>287170.75</v>
      </c>
      <c r="D21" s="9">
        <f>IFERROR(VLOOKUP(A21,Ultracrecimiento!$A$6:$E$17,5,FALSE),0)</f>
        <v>0</v>
      </c>
      <c r="E21" s="9">
        <f>VLOOKUP(A21,Descentralizados!$A$6:$E$56,5,TRUE)/12</f>
        <v>74715.812159023961</v>
      </c>
      <c r="F21" s="66">
        <f t="shared" si="0"/>
        <v>766816.122159024</v>
      </c>
      <c r="I21" s="271" t="s">
        <v>3</v>
      </c>
      <c r="J21" s="262">
        <f t="shared" si="9"/>
        <v>355476.36</v>
      </c>
      <c r="K21" s="262">
        <f t="shared" si="10"/>
        <v>0</v>
      </c>
      <c r="L21" s="262">
        <f t="shared" si="11"/>
        <v>173891.59625916352</v>
      </c>
      <c r="M21" s="221">
        <f t="shared" si="12"/>
        <v>364271.87</v>
      </c>
      <c r="N21" s="218">
        <f t="shared" si="5"/>
        <v>893639.82625916356</v>
      </c>
      <c r="P21" s="271" t="s">
        <v>3</v>
      </c>
      <c r="Q21" s="262">
        <v>3421062.17</v>
      </c>
      <c r="R21" s="262">
        <v>0</v>
      </c>
      <c r="S21" s="262">
        <v>2084379.9700768916</v>
      </c>
      <c r="T21" s="221">
        <v>4383432.8024118254</v>
      </c>
      <c r="U21" s="218">
        <f t="shared" si="13"/>
        <v>9888874.9424887169</v>
      </c>
      <c r="W21" s="271" t="s">
        <v>3</v>
      </c>
      <c r="X21" s="279">
        <f t="shared" si="7"/>
        <v>3065585.81</v>
      </c>
      <c r="Y21" s="279">
        <f t="shared" si="7"/>
        <v>0</v>
      </c>
      <c r="Z21" s="279">
        <f t="shared" si="7"/>
        <v>1910488.3738177281</v>
      </c>
      <c r="AA21" s="280">
        <f t="shared" si="7"/>
        <v>4019160.9324118253</v>
      </c>
      <c r="AB21" s="281">
        <f t="shared" si="14"/>
        <v>8995235.1162295528</v>
      </c>
    </row>
    <row r="22" spans="1:28">
      <c r="A22" s="68" t="s">
        <v>17</v>
      </c>
      <c r="B22" s="9">
        <f>VLOOKUP(A22,Seguridad!$A$14:$F$67,6,FALSE)</f>
        <v>1232749.92</v>
      </c>
      <c r="C22" s="9">
        <f>VLOOKUP(A22,Desarrollo!$A$13:$D$69,4,FALSE)</f>
        <v>1016689.05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6">
        <f t="shared" si="0"/>
        <v>3396997.9351947308</v>
      </c>
      <c r="I22" s="271" t="s">
        <v>4</v>
      </c>
      <c r="J22" s="262">
        <f t="shared" si="9"/>
        <v>674185.86</v>
      </c>
      <c r="K22" s="262">
        <f t="shared" si="10"/>
        <v>0</v>
      </c>
      <c r="L22" s="262">
        <f t="shared" si="11"/>
        <v>709853.38470981934</v>
      </c>
      <c r="M22" s="221">
        <f t="shared" si="12"/>
        <v>1109303.6000000001</v>
      </c>
      <c r="N22" s="218">
        <f t="shared" si="5"/>
        <v>2493342.8447098192</v>
      </c>
      <c r="P22" s="271" t="s">
        <v>4</v>
      </c>
      <c r="Q22" s="262">
        <v>5826931.5800000001</v>
      </c>
      <c r="R22" s="262">
        <v>0</v>
      </c>
      <c r="S22" s="262">
        <v>8518240.5976785552</v>
      </c>
      <c r="T22" s="221">
        <v>14195098.344623413</v>
      </c>
      <c r="U22" s="218">
        <f t="shared" si="13"/>
        <v>28540270.522301968</v>
      </c>
      <c r="W22" s="271" t="s">
        <v>4</v>
      </c>
      <c r="X22" s="279">
        <f t="shared" si="7"/>
        <v>5152745.72</v>
      </c>
      <c r="Y22" s="279">
        <f t="shared" si="7"/>
        <v>0</v>
      </c>
      <c r="Z22" s="279">
        <f t="shared" si="7"/>
        <v>7808387.212968736</v>
      </c>
      <c r="AA22" s="280">
        <f t="shared" si="7"/>
        <v>13085794.744623413</v>
      </c>
      <c r="AB22" s="281">
        <f t="shared" si="14"/>
        <v>26046927.677592151</v>
      </c>
    </row>
    <row r="23" spans="1:28">
      <c r="A23" s="68" t="s">
        <v>18</v>
      </c>
      <c r="B23" s="9">
        <f>VLOOKUP(A23,Seguridad!$A$14:$F$67,6,FALSE)</f>
        <v>2700863.1357078659</v>
      </c>
      <c r="C23" s="9">
        <f>VLOOKUP(A23,Desarrollo!$A$13:$D$69,4,FALSE)</f>
        <v>1400276.57</v>
      </c>
      <c r="D23" s="9">
        <f>IFERROR(VLOOKUP(A23,Ultracrecimiento!$A$6:$E$17,5,FALSE),0)</f>
        <v>1663451.9213205217</v>
      </c>
      <c r="E23" s="9">
        <f>VLOOKUP(A23,Descentralizados!$A$6:$E$56,5,TRUE)/12</f>
        <v>664081.07134879578</v>
      </c>
      <c r="F23" s="66">
        <f t="shared" si="0"/>
        <v>6428672.6983771827</v>
      </c>
      <c r="I23" s="271" t="s">
        <v>5</v>
      </c>
      <c r="J23" s="262">
        <f t="shared" si="9"/>
        <v>562549.03</v>
      </c>
      <c r="K23" s="262">
        <f t="shared" si="10"/>
        <v>0</v>
      </c>
      <c r="L23" s="262">
        <f t="shared" si="11"/>
        <v>511469.03484875342</v>
      </c>
      <c r="M23" s="221">
        <f t="shared" si="12"/>
        <v>729795.23</v>
      </c>
      <c r="N23" s="218">
        <f t="shared" si="5"/>
        <v>1803813.2948487534</v>
      </c>
      <c r="P23" s="271" t="s">
        <v>5</v>
      </c>
      <c r="Q23" s="262">
        <v>5441614.9100000001</v>
      </c>
      <c r="R23" s="262">
        <v>0</v>
      </c>
      <c r="S23" s="262">
        <v>6137628.3987900279</v>
      </c>
      <c r="T23" s="221">
        <v>9399517.3429417629</v>
      </c>
      <c r="U23" s="218">
        <f t="shared" si="13"/>
        <v>20978760.651731789</v>
      </c>
      <c r="W23" s="271" t="s">
        <v>5</v>
      </c>
      <c r="X23" s="279">
        <f t="shared" si="7"/>
        <v>4879065.88</v>
      </c>
      <c r="Y23" s="279">
        <f t="shared" si="7"/>
        <v>0</v>
      </c>
      <c r="Z23" s="279">
        <f t="shared" si="7"/>
        <v>5626159.3639412746</v>
      </c>
      <c r="AA23" s="280">
        <f t="shared" si="7"/>
        <v>8669722.1129417624</v>
      </c>
      <c r="AB23" s="281">
        <f t="shared" si="14"/>
        <v>19174947.356883034</v>
      </c>
    </row>
    <row r="24" spans="1:28">
      <c r="A24" s="68" t="s">
        <v>19</v>
      </c>
      <c r="B24" s="9">
        <f>VLOOKUP(A24,Seguridad!$A$14:$F$67,6,FALSE)</f>
        <v>454404.84</v>
      </c>
      <c r="C24" s="9">
        <f>VLOOKUP(A24,Desarrollo!$A$13:$D$69,4,FALSE)</f>
        <v>354196.49</v>
      </c>
      <c r="D24" s="9">
        <f>IFERROR(VLOOKUP(A24,Ultracrecimiento!$A$6:$E$17,5,FALSE),0)</f>
        <v>0</v>
      </c>
      <c r="E24" s="9">
        <f>VLOOKUP(A24,Descentralizados!$A$6:$E$56,5,TRUE)/12</f>
        <v>192846.38868606859</v>
      </c>
      <c r="F24" s="66">
        <f t="shared" si="0"/>
        <v>1001447.7186860687</v>
      </c>
      <c r="I24" s="271" t="s">
        <v>7</v>
      </c>
      <c r="J24" s="262">
        <f t="shared" si="9"/>
        <v>703866.17</v>
      </c>
      <c r="K24" s="262">
        <f t="shared" si="10"/>
        <v>0</v>
      </c>
      <c r="L24" s="262">
        <f t="shared" si="11"/>
        <v>685389.59118695778</v>
      </c>
      <c r="M24" s="221">
        <f t="shared" si="12"/>
        <v>662992.61</v>
      </c>
      <c r="N24" s="218">
        <f t="shared" si="5"/>
        <v>2052248.3711869577</v>
      </c>
      <c r="P24" s="271" t="s">
        <v>7</v>
      </c>
      <c r="Q24" s="262">
        <v>6893917.4699999997</v>
      </c>
      <c r="R24" s="262">
        <v>0</v>
      </c>
      <c r="S24" s="262">
        <v>8249514.9753969274</v>
      </c>
      <c r="T24" s="221">
        <v>8793503.5793775618</v>
      </c>
      <c r="U24" s="218">
        <f t="shared" si="13"/>
        <v>23936936.024774488</v>
      </c>
      <c r="W24" s="271" t="s">
        <v>7</v>
      </c>
      <c r="X24" s="279">
        <f t="shared" si="7"/>
        <v>6190051.2999999998</v>
      </c>
      <c r="Y24" s="279">
        <f t="shared" si="7"/>
        <v>0</v>
      </c>
      <c r="Z24" s="279">
        <f t="shared" si="7"/>
        <v>7564125.38420997</v>
      </c>
      <c r="AA24" s="280">
        <f t="shared" si="7"/>
        <v>8130510.9693775615</v>
      </c>
      <c r="AB24" s="281">
        <f t="shared" si="14"/>
        <v>21884687.653587531</v>
      </c>
    </row>
    <row r="25" spans="1:28">
      <c r="A25" s="68" t="s">
        <v>20</v>
      </c>
      <c r="B25" s="9">
        <f>VLOOKUP(A25,Seguridad!$A$14:$F$67,6,FALSE)</f>
        <v>3201590.5778042134</v>
      </c>
      <c r="C25" s="9">
        <f>VLOOKUP(A25,Desarrollo!$A$13:$D$69,4,FALSE)</f>
        <v>1790502.94</v>
      </c>
      <c r="D25" s="9">
        <f>IFERROR(VLOOKUP(A25,Ultracrecimiento!$A$6:$E$17,5,FALSE),0)</f>
        <v>2051429.0760061136</v>
      </c>
      <c r="E25" s="9">
        <f>VLOOKUP(A25,Descentralizados!$A$6:$E$56,5,TRUE)/12</f>
        <v>1038180.3405734088</v>
      </c>
      <c r="F25" s="66">
        <f t="shared" si="0"/>
        <v>8081702.9343837351</v>
      </c>
      <c r="I25" s="271" t="s">
        <v>8</v>
      </c>
      <c r="J25" s="262">
        <f t="shared" si="9"/>
        <v>296638.40000000002</v>
      </c>
      <c r="K25" s="262">
        <f t="shared" si="10"/>
        <v>0</v>
      </c>
      <c r="L25" s="262">
        <f t="shared" si="11"/>
        <v>247851.58995264347</v>
      </c>
      <c r="M25" s="221">
        <f t="shared" si="12"/>
        <v>413835.11</v>
      </c>
      <c r="N25" s="218">
        <f t="shared" si="5"/>
        <v>958325.0999526435</v>
      </c>
      <c r="P25" s="271" t="s">
        <v>8</v>
      </c>
      <c r="Q25" s="262">
        <v>2870724.84</v>
      </c>
      <c r="R25" s="262">
        <v>0</v>
      </c>
      <c r="S25" s="262">
        <v>2974219.0796211474</v>
      </c>
      <c r="T25" s="221">
        <v>5180272.6433373308</v>
      </c>
      <c r="U25" s="218">
        <f t="shared" si="13"/>
        <v>11025216.562958479</v>
      </c>
      <c r="W25" s="271" t="s">
        <v>8</v>
      </c>
      <c r="X25" s="279">
        <f t="shared" si="7"/>
        <v>2574086.44</v>
      </c>
      <c r="Y25" s="279">
        <f t="shared" si="7"/>
        <v>0</v>
      </c>
      <c r="Z25" s="279">
        <f t="shared" si="7"/>
        <v>2726367.4896685039</v>
      </c>
      <c r="AA25" s="280">
        <f t="shared" si="7"/>
        <v>4766437.5333373304</v>
      </c>
      <c r="AB25" s="281">
        <f t="shared" si="14"/>
        <v>10066891.463005833</v>
      </c>
    </row>
    <row r="26" spans="1:28">
      <c r="A26" s="68" t="s">
        <v>21</v>
      </c>
      <c r="B26" s="9">
        <f>VLOOKUP(A26,Seguridad!$A$14:$F$67,6,FALSE)</f>
        <v>643576.31000000006</v>
      </c>
      <c r="C26" s="9">
        <f>VLOOKUP(A26,Desarrollo!$A$13:$D$69,4,FALSE)</f>
        <v>520214.03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6">
        <f t="shared" si="0"/>
        <v>1583440.7533948494</v>
      </c>
      <c r="I26" s="271" t="s">
        <v>10</v>
      </c>
      <c r="J26" s="262">
        <f t="shared" si="9"/>
        <v>470407.09</v>
      </c>
      <c r="K26" s="262">
        <f t="shared" si="10"/>
        <v>840566.19979498629</v>
      </c>
      <c r="L26" s="262">
        <f t="shared" si="11"/>
        <v>311065.2867225635</v>
      </c>
      <c r="M26" s="221">
        <f t="shared" si="12"/>
        <v>2630701.4</v>
      </c>
      <c r="N26" s="218">
        <f t="shared" si="5"/>
        <v>4252739.9765175497</v>
      </c>
      <c r="P26" s="271" t="s">
        <v>10</v>
      </c>
      <c r="Q26" s="262">
        <v>3644327.85</v>
      </c>
      <c r="R26" s="262">
        <v>6928203.5499999998</v>
      </c>
      <c r="S26" s="262">
        <v>3660359.1323029641</v>
      </c>
      <c r="T26" s="221">
        <v>15368248.397203868</v>
      </c>
      <c r="U26" s="218">
        <f t="shared" si="13"/>
        <v>29601138.929506831</v>
      </c>
      <c r="W26" s="271" t="s">
        <v>10</v>
      </c>
      <c r="X26" s="279">
        <f t="shared" si="7"/>
        <v>3173920.7600000002</v>
      </c>
      <c r="Y26" s="279">
        <f t="shared" si="7"/>
        <v>6087637.3502050135</v>
      </c>
      <c r="Z26" s="279">
        <f t="shared" si="7"/>
        <v>3349293.8455804004</v>
      </c>
      <c r="AA26" s="280">
        <f t="shared" si="7"/>
        <v>12737546.997203868</v>
      </c>
      <c r="AB26" s="281">
        <f t="shared" si="14"/>
        <v>25348398.95298928</v>
      </c>
    </row>
    <row r="27" spans="1:28">
      <c r="A27" s="68" t="s">
        <v>22</v>
      </c>
      <c r="B27" s="9">
        <f>VLOOKUP(A27,Seguridad!$A$14:$F$67,6,FALSE)</f>
        <v>373089.47</v>
      </c>
      <c r="C27" s="9">
        <f>VLOOKUP(A27,Desarrollo!$A$13:$D$69,4,FALSE)</f>
        <v>260822.14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6">
        <f t="shared" si="0"/>
        <v>848850.55040893762</v>
      </c>
      <c r="I27" s="271" t="s">
        <v>11</v>
      </c>
      <c r="J27" s="262">
        <f t="shared" si="9"/>
        <v>380033.18</v>
      </c>
      <c r="K27" s="262">
        <f t="shared" si="10"/>
        <v>0</v>
      </c>
      <c r="L27" s="262">
        <f t="shared" si="11"/>
        <v>307760.28074845381</v>
      </c>
      <c r="M27" s="221">
        <f t="shared" si="12"/>
        <v>494732.69</v>
      </c>
      <c r="N27" s="218">
        <f t="shared" si="5"/>
        <v>1182526.1507484538</v>
      </c>
      <c r="P27" s="271" t="s">
        <v>11</v>
      </c>
      <c r="Q27" s="262">
        <v>3612033.9</v>
      </c>
      <c r="R27" s="262">
        <v>0</v>
      </c>
      <c r="S27" s="262">
        <v>3693123.3659876306</v>
      </c>
      <c r="T27" s="221">
        <v>6302080.6875453042</v>
      </c>
      <c r="U27" s="218">
        <f t="shared" si="13"/>
        <v>13607237.953532934</v>
      </c>
      <c r="W27" s="271" t="s">
        <v>11</v>
      </c>
      <c r="X27" s="279">
        <f t="shared" si="7"/>
        <v>3232000.7199999997</v>
      </c>
      <c r="Y27" s="279">
        <f t="shared" si="7"/>
        <v>0</v>
      </c>
      <c r="Z27" s="279">
        <f t="shared" si="7"/>
        <v>3385363.0852391766</v>
      </c>
      <c r="AA27" s="280">
        <f t="shared" si="7"/>
        <v>5807347.9975453038</v>
      </c>
      <c r="AB27" s="281">
        <f t="shared" si="14"/>
        <v>12424711.80278448</v>
      </c>
    </row>
    <row r="28" spans="1:28">
      <c r="A28" s="68" t="s">
        <v>23</v>
      </c>
      <c r="B28" s="9">
        <f>VLOOKUP(A28,Seguridad!$A$14:$F$67,6,FALSE)</f>
        <v>471468.31</v>
      </c>
      <c r="C28" s="9">
        <f>VLOOKUP(A28,Desarrollo!$A$13:$D$69,4,FALSE)</f>
        <v>469081.8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6">
        <f t="shared" si="0"/>
        <v>1280882.5589392995</v>
      </c>
      <c r="I28" s="271" t="s">
        <v>12</v>
      </c>
      <c r="J28" s="262">
        <f t="shared" si="9"/>
        <v>550011.86</v>
      </c>
      <c r="K28" s="262">
        <f t="shared" si="10"/>
        <v>0</v>
      </c>
      <c r="L28" s="262">
        <f t="shared" si="11"/>
        <v>463594.35675485799</v>
      </c>
      <c r="M28" s="221">
        <f t="shared" si="12"/>
        <v>551684.23</v>
      </c>
      <c r="N28" s="218">
        <f t="shared" si="5"/>
        <v>1565290.4467548579</v>
      </c>
      <c r="P28" s="271" t="s">
        <v>12</v>
      </c>
      <c r="Q28" s="262">
        <v>5383135.2000000002</v>
      </c>
      <c r="R28" s="262">
        <v>0</v>
      </c>
      <c r="S28" s="262">
        <v>5567521.0863518687</v>
      </c>
      <c r="T28" s="221">
        <v>7215552.9521146528</v>
      </c>
      <c r="U28" s="218">
        <f t="shared" si="13"/>
        <v>18166209.238466524</v>
      </c>
      <c r="W28" s="271" t="s">
        <v>12</v>
      </c>
      <c r="X28" s="279">
        <f t="shared" si="7"/>
        <v>4833123.34</v>
      </c>
      <c r="Y28" s="279">
        <f t="shared" si="7"/>
        <v>0</v>
      </c>
      <c r="Z28" s="279">
        <f t="shared" si="7"/>
        <v>5103926.7295970106</v>
      </c>
      <c r="AA28" s="280">
        <f t="shared" si="7"/>
        <v>6663868.7221146524</v>
      </c>
      <c r="AB28" s="281">
        <f t="shared" si="14"/>
        <v>16600918.791711662</v>
      </c>
    </row>
    <row r="29" spans="1:28">
      <c r="A29" s="68" t="s">
        <v>24</v>
      </c>
      <c r="B29" s="9">
        <f>VLOOKUP(A29,Seguridad!$A$14:$F$67,6,FALSE)</f>
        <v>2579488.9900000002</v>
      </c>
      <c r="C29" s="9">
        <f>VLOOKUP(A29,Desarrollo!$A$13:$D$69,4,FALSE)</f>
        <v>494422.77</v>
      </c>
      <c r="D29" s="9">
        <f>IFERROR(VLOOKUP(A29,Ultracrecimiento!$A$6:$E$17,5,FALSE),0)</f>
        <v>845604.80891936948</v>
      </c>
      <c r="E29" s="9">
        <f>VLOOKUP(A29,Descentralizados!$A$6:$E$56,5,TRUE)/12</f>
        <v>356899.62988831714</v>
      </c>
      <c r="F29" s="66">
        <f t="shared" si="0"/>
        <v>4276416.1988076875</v>
      </c>
      <c r="I29" s="271" t="s">
        <v>13</v>
      </c>
      <c r="J29" s="262">
        <f t="shared" si="9"/>
        <v>440787.09</v>
      </c>
      <c r="K29" s="262">
        <f t="shared" si="10"/>
        <v>775776.30582593614</v>
      </c>
      <c r="L29" s="262">
        <f t="shared" si="11"/>
        <v>271782.81627851533</v>
      </c>
      <c r="M29" s="221">
        <f t="shared" si="12"/>
        <v>1845011.99</v>
      </c>
      <c r="N29" s="218">
        <f t="shared" si="5"/>
        <v>3333358.2021044516</v>
      </c>
      <c r="P29" s="271" t="s">
        <v>13</v>
      </c>
      <c r="Q29" s="262">
        <v>4021820.05</v>
      </c>
      <c r="R29" s="262">
        <v>7149681.4699999997</v>
      </c>
      <c r="S29" s="262">
        <v>3150866.5058017666</v>
      </c>
      <c r="T29" s="221">
        <v>16676727.674164966</v>
      </c>
      <c r="U29" s="218">
        <f t="shared" si="13"/>
        <v>30999095.699966732</v>
      </c>
      <c r="W29" s="271" t="s">
        <v>13</v>
      </c>
      <c r="X29" s="279">
        <f t="shared" si="7"/>
        <v>3581032.96</v>
      </c>
      <c r="Y29" s="279">
        <f t="shared" si="7"/>
        <v>6373905.1641740631</v>
      </c>
      <c r="Z29" s="279">
        <f t="shared" si="7"/>
        <v>2879083.6895232513</v>
      </c>
      <c r="AA29" s="280">
        <f t="shared" si="7"/>
        <v>14831715.684164966</v>
      </c>
      <c r="AB29" s="281">
        <f t="shared" si="14"/>
        <v>27665737.497862279</v>
      </c>
    </row>
    <row r="30" spans="1:28">
      <c r="A30" s="68" t="s">
        <v>25</v>
      </c>
      <c r="B30" s="9">
        <f>VLOOKUP(A30,Seguridad!$A$14:$F$67,6,FALSE)</f>
        <v>4166770.0214126981</v>
      </c>
      <c r="C30" s="9">
        <f>VLOOKUP(A30,Desarrollo!$A$13:$D$69,4,FALSE)</f>
        <v>2333573.33</v>
      </c>
      <c r="D30" s="9">
        <f>IFERROR(VLOOKUP(A30,Ultracrecimiento!$A$6:$E$17,5,FALSE),0)</f>
        <v>0</v>
      </c>
      <c r="E30" s="9">
        <f>VLOOKUP(A30,Descentralizados!$A$6:$E$56,5,TRUE)/12</f>
        <v>1558806.9486618557</v>
      </c>
      <c r="F30" s="66">
        <f t="shared" si="0"/>
        <v>8059150.300074554</v>
      </c>
      <c r="I30" s="271" t="s">
        <v>14</v>
      </c>
      <c r="J30" s="262">
        <f t="shared" si="9"/>
        <v>1293608.55</v>
      </c>
      <c r="K30" s="262">
        <f t="shared" si="10"/>
        <v>0</v>
      </c>
      <c r="L30" s="262">
        <f t="shared" si="11"/>
        <v>1542631.5953047806</v>
      </c>
      <c r="M30" s="221">
        <f t="shared" si="12"/>
        <v>1126872.82</v>
      </c>
      <c r="N30" s="218">
        <f t="shared" si="5"/>
        <v>3963112.9653047808</v>
      </c>
      <c r="P30" s="271" t="s">
        <v>14</v>
      </c>
      <c r="Q30" s="262">
        <v>12654853.73</v>
      </c>
      <c r="R30" s="262">
        <v>0</v>
      </c>
      <c r="S30" s="262">
        <v>18476531.852501161</v>
      </c>
      <c r="T30" s="221">
        <v>14122982.113210045</v>
      </c>
      <c r="U30" s="218">
        <f t="shared" si="13"/>
        <v>45254367.69571121</v>
      </c>
      <c r="W30" s="271" t="s">
        <v>14</v>
      </c>
      <c r="X30" s="279">
        <f t="shared" si="7"/>
        <v>11361245.18</v>
      </c>
      <c r="Y30" s="279">
        <f t="shared" si="7"/>
        <v>0</v>
      </c>
      <c r="Z30" s="279">
        <f t="shared" si="7"/>
        <v>16933900.257196382</v>
      </c>
      <c r="AA30" s="280">
        <f t="shared" si="7"/>
        <v>12996109.293210045</v>
      </c>
      <c r="AB30" s="281">
        <f t="shared" si="14"/>
        <v>41291254.730406426</v>
      </c>
    </row>
    <row r="31" spans="1:28">
      <c r="A31" s="68" t="s">
        <v>26</v>
      </c>
      <c r="B31" s="9">
        <f>VLOOKUP(A31,Seguridad!$A$14:$F$67,6,FALSE)</f>
        <v>376409.81</v>
      </c>
      <c r="C31" s="9">
        <f>VLOOKUP(A31,Desarrollo!$A$13:$D$69,4,FALSE)</f>
        <v>298125.23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6">
        <f t="shared" si="0"/>
        <v>875883.42108117451</v>
      </c>
      <c r="I31" s="271" t="s">
        <v>15</v>
      </c>
      <c r="J31" s="262">
        <f t="shared" si="9"/>
        <v>371060.09</v>
      </c>
      <c r="K31" s="262">
        <f t="shared" si="10"/>
        <v>0</v>
      </c>
      <c r="L31" s="262">
        <f t="shared" si="11"/>
        <v>218983.81602503717</v>
      </c>
      <c r="M31" s="221">
        <f t="shared" si="12"/>
        <v>363238.39</v>
      </c>
      <c r="N31" s="218">
        <f t="shared" si="5"/>
        <v>953282.29602503718</v>
      </c>
      <c r="P31" s="271" t="s">
        <v>15</v>
      </c>
      <c r="Q31" s="262">
        <v>3579153.56</v>
      </c>
      <c r="R31" s="262">
        <v>0</v>
      </c>
      <c r="S31" s="262">
        <v>2627805.8082002969</v>
      </c>
      <c r="T31" s="221">
        <v>4484336.1714675697</v>
      </c>
      <c r="U31" s="218">
        <f t="shared" si="13"/>
        <v>10691295.539667867</v>
      </c>
      <c r="W31" s="271" t="s">
        <v>15</v>
      </c>
      <c r="X31" s="279">
        <f t="shared" si="7"/>
        <v>3208093.47</v>
      </c>
      <c r="Y31" s="279">
        <f t="shared" si="7"/>
        <v>0</v>
      </c>
      <c r="Z31" s="279">
        <f t="shared" si="7"/>
        <v>2408821.9921752596</v>
      </c>
      <c r="AA31" s="280">
        <f t="shared" si="7"/>
        <v>4121097.7814675695</v>
      </c>
      <c r="AB31" s="281">
        <f t="shared" si="14"/>
        <v>9738013.2436428294</v>
      </c>
    </row>
    <row r="32" spans="1:28">
      <c r="A32" s="68" t="s">
        <v>27</v>
      </c>
      <c r="B32" s="9">
        <f>VLOOKUP(A32,Seguridad!$A$14:$F$67,6,FALSE)</f>
        <v>687048.59</v>
      </c>
      <c r="C32" s="9">
        <f>VLOOKUP(A32,Desarrollo!$A$13:$D$69,4,FALSE)</f>
        <v>381214.49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6">
        <f t="shared" si="0"/>
        <v>1278569.3340123242</v>
      </c>
      <c r="I32" s="271" t="s">
        <v>16</v>
      </c>
      <c r="J32" s="262">
        <f t="shared" si="9"/>
        <v>287170.75</v>
      </c>
      <c r="K32" s="262">
        <f t="shared" si="10"/>
        <v>0</v>
      </c>
      <c r="L32" s="262">
        <f t="shared" si="11"/>
        <v>74715.812159023961</v>
      </c>
      <c r="M32" s="221">
        <f t="shared" si="12"/>
        <v>404929.56</v>
      </c>
      <c r="N32" s="218">
        <f t="shared" si="5"/>
        <v>766816.122159024</v>
      </c>
      <c r="P32" s="271" t="s">
        <v>16</v>
      </c>
      <c r="Q32" s="262">
        <v>2756671.43</v>
      </c>
      <c r="R32" s="262">
        <v>0</v>
      </c>
      <c r="S32" s="262">
        <v>904930.12946649513</v>
      </c>
      <c r="T32" s="221">
        <v>4849072.1731425952</v>
      </c>
      <c r="U32" s="218">
        <f t="shared" si="13"/>
        <v>8510673.7326090895</v>
      </c>
      <c r="W32" s="271" t="s">
        <v>16</v>
      </c>
      <c r="X32" s="279">
        <f t="shared" si="7"/>
        <v>2469500.6800000002</v>
      </c>
      <c r="Y32" s="279">
        <f t="shared" si="7"/>
        <v>0</v>
      </c>
      <c r="Z32" s="279">
        <f t="shared" si="7"/>
        <v>830214.31730747118</v>
      </c>
      <c r="AA32" s="280">
        <f t="shared" si="7"/>
        <v>4444142.6131425956</v>
      </c>
      <c r="AB32" s="281">
        <f t="shared" si="14"/>
        <v>7743857.6104500666</v>
      </c>
    </row>
    <row r="33" spans="1:28">
      <c r="A33" s="68" t="s">
        <v>28</v>
      </c>
      <c r="B33" s="9">
        <f>VLOOKUP(A33,Seguridad!$A$14:$F$67,6,FALSE)</f>
        <v>363810.1</v>
      </c>
      <c r="C33" s="9">
        <f>VLOOKUP(A33,Desarrollo!$A$13:$D$69,4,FALSE)</f>
        <v>330886.32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6">
        <f t="shared" si="0"/>
        <v>879058.31560164946</v>
      </c>
      <c r="I33" s="271" t="s">
        <v>17</v>
      </c>
      <c r="J33" s="262">
        <f t="shared" si="9"/>
        <v>1016689.05</v>
      </c>
      <c r="K33" s="262">
        <f t="shared" si="10"/>
        <v>0</v>
      </c>
      <c r="L33" s="262">
        <f t="shared" si="11"/>
        <v>1147558.9651947313</v>
      </c>
      <c r="M33" s="221">
        <f t="shared" si="12"/>
        <v>1232749.92</v>
      </c>
      <c r="N33" s="218">
        <f t="shared" si="5"/>
        <v>3396997.9351947312</v>
      </c>
      <c r="P33" s="271" t="s">
        <v>17</v>
      </c>
      <c r="Q33" s="262">
        <v>9990382.3499999996</v>
      </c>
      <c r="R33" s="262">
        <v>0</v>
      </c>
      <c r="S33" s="262">
        <v>13746468.436023457</v>
      </c>
      <c r="T33" s="221">
        <v>16206339.909596281</v>
      </c>
      <c r="U33" s="218">
        <f t="shared" si="13"/>
        <v>39943190.69561974</v>
      </c>
      <c r="W33" s="271" t="s">
        <v>17</v>
      </c>
      <c r="X33" s="279">
        <f t="shared" si="7"/>
        <v>8973693.2999999989</v>
      </c>
      <c r="Y33" s="279">
        <f t="shared" si="7"/>
        <v>0</v>
      </c>
      <c r="Z33" s="279">
        <f t="shared" si="7"/>
        <v>12598909.470828725</v>
      </c>
      <c r="AA33" s="280">
        <f t="shared" si="7"/>
        <v>14973589.989596281</v>
      </c>
      <c r="AB33" s="281">
        <f t="shared" si="14"/>
        <v>36546192.760425001</v>
      </c>
    </row>
    <row r="34" spans="1:28">
      <c r="A34" s="68" t="s">
        <v>29</v>
      </c>
      <c r="B34" s="9">
        <f>VLOOKUP(A34,Seguridad!$A$14:$F$67,6,FALSE)</f>
        <v>487828.14</v>
      </c>
      <c r="C34" s="9">
        <f>VLOOKUP(A34,Desarrollo!$A$13:$D$69,4,FALSE)</f>
        <v>340689.45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6">
        <f t="shared" si="0"/>
        <v>981639.21531019383</v>
      </c>
      <c r="I34" s="271" t="s">
        <v>19</v>
      </c>
      <c r="J34" s="262">
        <f t="shared" si="9"/>
        <v>354196.49</v>
      </c>
      <c r="K34" s="262">
        <f t="shared" si="10"/>
        <v>0</v>
      </c>
      <c r="L34" s="262">
        <f t="shared" si="11"/>
        <v>192846.38868606859</v>
      </c>
      <c r="M34" s="221">
        <f t="shared" si="12"/>
        <v>454404.84</v>
      </c>
      <c r="N34" s="218">
        <f t="shared" si="5"/>
        <v>1001447.7186860687</v>
      </c>
      <c r="P34" s="271" t="s">
        <v>19</v>
      </c>
      <c r="Q34" s="262">
        <v>3428899.93</v>
      </c>
      <c r="R34" s="262">
        <v>0</v>
      </c>
      <c r="S34" s="262">
        <v>2314156.6694885492</v>
      </c>
      <c r="T34" s="221">
        <v>5626028.1148718223</v>
      </c>
      <c r="U34" s="218">
        <f t="shared" si="13"/>
        <v>11369084.714360371</v>
      </c>
      <c r="W34" s="271" t="s">
        <v>19</v>
      </c>
      <c r="X34" s="279">
        <f t="shared" si="7"/>
        <v>3074703.4400000004</v>
      </c>
      <c r="Y34" s="279">
        <f t="shared" si="7"/>
        <v>0</v>
      </c>
      <c r="Z34" s="279">
        <f t="shared" si="7"/>
        <v>2121310.2808024809</v>
      </c>
      <c r="AA34" s="280">
        <f t="shared" si="7"/>
        <v>5171623.2748718224</v>
      </c>
      <c r="AB34" s="281">
        <f t="shared" si="14"/>
        <v>10367636.995674305</v>
      </c>
    </row>
    <row r="35" spans="1:28">
      <c r="A35" s="68" t="s">
        <v>30</v>
      </c>
      <c r="B35" s="9">
        <f>VLOOKUP(A35,Seguridad!$A$14:$F$67,6,FALSE)</f>
        <v>405853.1</v>
      </c>
      <c r="C35" s="9">
        <f>VLOOKUP(A35,Desarrollo!$A$13:$D$69,4,FALSE)</f>
        <v>357415.11</v>
      </c>
      <c r="D35" s="9">
        <f>IFERROR(VLOOKUP(A35,Ultracrecimiento!$A$6:$E$17,5,FALSE),0)</f>
        <v>0</v>
      </c>
      <c r="E35" s="9">
        <f>VLOOKUP(A35,Descentralizados!$A$6:$E$56,5,TRUE)/12</f>
        <v>178350.28225100864</v>
      </c>
      <c r="F35" s="66">
        <f t="shared" si="0"/>
        <v>941618.49225100863</v>
      </c>
      <c r="I35" s="271" t="s">
        <v>21</v>
      </c>
      <c r="J35" s="262">
        <f t="shared" si="9"/>
        <v>520214.03</v>
      </c>
      <c r="K35" s="262">
        <f t="shared" si="10"/>
        <v>0</v>
      </c>
      <c r="L35" s="262">
        <f t="shared" si="11"/>
        <v>419650.41339484928</v>
      </c>
      <c r="M35" s="221">
        <f t="shared" si="12"/>
        <v>643576.31000000006</v>
      </c>
      <c r="N35" s="218">
        <f t="shared" si="5"/>
        <v>1583440.7533948494</v>
      </c>
      <c r="P35" s="271" t="s">
        <v>21</v>
      </c>
      <c r="Q35" s="262">
        <v>5110801.75</v>
      </c>
      <c r="R35" s="262">
        <v>0</v>
      </c>
      <c r="S35" s="262">
        <v>5084065.160310776</v>
      </c>
      <c r="T35" s="221">
        <v>8390780.4269991964</v>
      </c>
      <c r="U35" s="218">
        <f t="shared" si="13"/>
        <v>18585647.337309971</v>
      </c>
      <c r="W35" s="271" t="s">
        <v>21</v>
      </c>
      <c r="X35" s="279">
        <f t="shared" si="7"/>
        <v>4590587.72</v>
      </c>
      <c r="Y35" s="279">
        <f t="shared" si="7"/>
        <v>0</v>
      </c>
      <c r="Z35" s="279">
        <f t="shared" si="7"/>
        <v>4664414.7469159272</v>
      </c>
      <c r="AA35" s="280">
        <f t="shared" si="7"/>
        <v>7747204.1169991959</v>
      </c>
      <c r="AB35" s="281">
        <f t="shared" si="14"/>
        <v>17002206.583915122</v>
      </c>
    </row>
    <row r="36" spans="1:28">
      <c r="A36" s="68" t="s">
        <v>31</v>
      </c>
      <c r="B36" s="9">
        <f>VLOOKUP(A36,Seguridad!$A$14:$F$67,6,FALSE)</f>
        <v>3143833.5913991849</v>
      </c>
      <c r="C36" s="9">
        <f>VLOOKUP(A36,Desarrollo!$A$13:$D$69,4,FALSE)</f>
        <v>1502391.48</v>
      </c>
      <c r="D36" s="9">
        <f>IFERROR(VLOOKUP(A36,Ultracrecimiento!$A$6:$E$17,5,FALSE),0)</f>
        <v>1844388.9089249084</v>
      </c>
      <c r="E36" s="9">
        <f>VLOOKUP(A36,Descentralizados!$A$6:$E$56,5,TRUE)/12</f>
        <v>761975.82802667504</v>
      </c>
      <c r="F36" s="66">
        <f t="shared" si="0"/>
        <v>7252589.8083507679</v>
      </c>
      <c r="I36" s="271" t="s">
        <v>22</v>
      </c>
      <c r="J36" s="262">
        <f t="shared" si="9"/>
        <v>260822.14</v>
      </c>
      <c r="K36" s="262">
        <f t="shared" si="10"/>
        <v>0</v>
      </c>
      <c r="L36" s="262">
        <f t="shared" si="11"/>
        <v>214938.94040893766</v>
      </c>
      <c r="M36" s="221">
        <f t="shared" si="12"/>
        <v>373089.47</v>
      </c>
      <c r="N36" s="218">
        <f t="shared" si="5"/>
        <v>848850.55040893762</v>
      </c>
      <c r="P36" s="271" t="s">
        <v>22</v>
      </c>
      <c r="Q36" s="262">
        <v>2489961.59</v>
      </c>
      <c r="R36" s="262">
        <v>0</v>
      </c>
      <c r="S36" s="262">
        <v>2579267.2832715013</v>
      </c>
      <c r="T36" s="221">
        <v>4309832.6979241073</v>
      </c>
      <c r="U36" s="218">
        <f t="shared" si="13"/>
        <v>9379061.571195608</v>
      </c>
      <c r="W36" s="271" t="s">
        <v>22</v>
      </c>
      <c r="X36" s="279">
        <f t="shared" si="7"/>
        <v>2229139.4499999997</v>
      </c>
      <c r="Y36" s="279">
        <f t="shared" si="7"/>
        <v>0</v>
      </c>
      <c r="Z36" s="279">
        <f t="shared" si="7"/>
        <v>2364328.3428625637</v>
      </c>
      <c r="AA36" s="280">
        <f t="shared" si="7"/>
        <v>3936743.2279241076</v>
      </c>
      <c r="AB36" s="281">
        <f t="shared" si="14"/>
        <v>8530211.020786671</v>
      </c>
    </row>
    <row r="37" spans="1:28">
      <c r="A37" s="68" t="s">
        <v>32</v>
      </c>
      <c r="B37" s="9">
        <f>VLOOKUP(A37,Seguridad!$A$14:$F$67,6,FALSE)</f>
        <v>450996.54</v>
      </c>
      <c r="C37" s="9">
        <f>VLOOKUP(A37,Desarrollo!$A$13:$D$69,4,FALSE)</f>
        <v>434577.28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6">
        <f t="shared" si="0"/>
        <v>1292188.1947663182</v>
      </c>
      <c r="I37" s="271" t="s">
        <v>23</v>
      </c>
      <c r="J37" s="262">
        <f t="shared" si="9"/>
        <v>469081.8</v>
      </c>
      <c r="K37" s="262">
        <f t="shared" si="10"/>
        <v>0</v>
      </c>
      <c r="L37" s="262">
        <f t="shared" si="11"/>
        <v>340332.44893929956</v>
      </c>
      <c r="M37" s="221">
        <f t="shared" si="12"/>
        <v>471468.31</v>
      </c>
      <c r="N37" s="218">
        <f t="shared" si="5"/>
        <v>1280882.5589392995</v>
      </c>
      <c r="P37" s="271" t="s">
        <v>23</v>
      </c>
      <c r="Q37" s="262">
        <v>4542437.33</v>
      </c>
      <c r="R37" s="262">
        <v>0</v>
      </c>
      <c r="S37" s="262">
        <v>4075084.6434160983</v>
      </c>
      <c r="T37" s="221">
        <v>5783912.209982574</v>
      </c>
      <c r="U37" s="218">
        <f t="shared" si="13"/>
        <v>14401434.183398671</v>
      </c>
      <c r="W37" s="271" t="s">
        <v>23</v>
      </c>
      <c r="X37" s="279">
        <f t="shared" si="7"/>
        <v>4073355.5300000003</v>
      </c>
      <c r="Y37" s="279">
        <f t="shared" si="7"/>
        <v>0</v>
      </c>
      <c r="Z37" s="279">
        <f t="shared" si="7"/>
        <v>3734752.1944767986</v>
      </c>
      <c r="AA37" s="280">
        <f t="shared" si="7"/>
        <v>5312443.8999825744</v>
      </c>
      <c r="AB37" s="281">
        <f t="shared" si="14"/>
        <v>13120551.624459375</v>
      </c>
    </row>
    <row r="38" spans="1:28">
      <c r="A38" s="68" t="s">
        <v>33</v>
      </c>
      <c r="B38" s="9">
        <f>VLOOKUP(A38,Seguridad!$A$14:$F$67,6,FALSE)</f>
        <v>2195055.08</v>
      </c>
      <c r="C38" s="9">
        <f>VLOOKUP(A38,Desarrollo!$A$13:$D$69,4,FALSE)</f>
        <v>993379.79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6">
        <f t="shared" si="0"/>
        <v>4369010.7984750336</v>
      </c>
      <c r="I38" s="271" t="s">
        <v>24</v>
      </c>
      <c r="J38" s="262">
        <f t="shared" si="9"/>
        <v>494422.77</v>
      </c>
      <c r="K38" s="262">
        <f t="shared" si="10"/>
        <v>845604.80891936948</v>
      </c>
      <c r="L38" s="262">
        <f t="shared" si="11"/>
        <v>356899.62988831714</v>
      </c>
      <c r="M38" s="221">
        <f t="shared" si="12"/>
        <v>2579488.9900000002</v>
      </c>
      <c r="N38" s="218">
        <f t="shared" si="5"/>
        <v>4276416.1988076866</v>
      </c>
      <c r="P38" s="271" t="s">
        <v>24</v>
      </c>
      <c r="Q38" s="262">
        <v>4272366.3099999996</v>
      </c>
      <c r="R38" s="262">
        <v>7698938.29</v>
      </c>
      <c r="S38" s="262">
        <v>4282795.5591065371</v>
      </c>
      <c r="T38" s="221">
        <v>23971150.933050621</v>
      </c>
      <c r="U38" s="218">
        <f t="shared" si="13"/>
        <v>40225251.092157155</v>
      </c>
      <c r="W38" s="271" t="s">
        <v>24</v>
      </c>
      <c r="X38" s="279">
        <f t="shared" si="7"/>
        <v>3777943.5399999996</v>
      </c>
      <c r="Y38" s="279">
        <f t="shared" si="7"/>
        <v>6853333.4810806308</v>
      </c>
      <c r="Z38" s="279">
        <f t="shared" si="7"/>
        <v>3925895.9292182201</v>
      </c>
      <c r="AA38" s="280">
        <f t="shared" si="7"/>
        <v>21391661.943050623</v>
      </c>
      <c r="AB38" s="281">
        <f t="shared" si="14"/>
        <v>35948834.893349469</v>
      </c>
    </row>
    <row r="39" spans="1:28">
      <c r="A39" s="68" t="s">
        <v>34</v>
      </c>
      <c r="B39" s="9">
        <f>VLOOKUP(A39,Seguridad!$A$14:$F$67,6,FALSE)</f>
        <v>445895.09</v>
      </c>
      <c r="C39" s="9">
        <f>VLOOKUP(A39,Desarrollo!$A$13:$D$69,4,FALSE)</f>
        <v>414353.64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6">
        <f t="shared" si="0"/>
        <v>1124862.3827674587</v>
      </c>
      <c r="I39" s="271" t="s">
        <v>26</v>
      </c>
      <c r="J39" s="262">
        <f t="shared" si="9"/>
        <v>298125.23</v>
      </c>
      <c r="K39" s="262">
        <f t="shared" si="10"/>
        <v>0</v>
      </c>
      <c r="L39" s="262">
        <f t="shared" si="11"/>
        <v>201348.38108117445</v>
      </c>
      <c r="M39" s="221">
        <f t="shared" si="12"/>
        <v>376409.81</v>
      </c>
      <c r="N39" s="218">
        <f t="shared" si="5"/>
        <v>875883.4210811744</v>
      </c>
      <c r="P39" s="271" t="s">
        <v>26</v>
      </c>
      <c r="Q39" s="262">
        <v>2859897.23</v>
      </c>
      <c r="R39" s="262">
        <v>0</v>
      </c>
      <c r="S39" s="262">
        <v>2416180.5686493949</v>
      </c>
      <c r="T39" s="221">
        <v>4523510.420630387</v>
      </c>
      <c r="U39" s="218">
        <f t="shared" si="13"/>
        <v>9799588.219279781</v>
      </c>
      <c r="W39" s="271" t="s">
        <v>26</v>
      </c>
      <c r="X39" s="279">
        <f t="shared" si="7"/>
        <v>2561772</v>
      </c>
      <c r="Y39" s="279">
        <f t="shared" si="7"/>
        <v>0</v>
      </c>
      <c r="Z39" s="279">
        <f t="shared" si="7"/>
        <v>2214832.1875682203</v>
      </c>
      <c r="AA39" s="280">
        <f t="shared" si="7"/>
        <v>4147100.610630387</v>
      </c>
      <c r="AB39" s="281">
        <f t="shared" si="14"/>
        <v>8923704.7981986068</v>
      </c>
    </row>
    <row r="40" spans="1:28">
      <c r="A40" s="68" t="s">
        <v>35</v>
      </c>
      <c r="B40" s="9">
        <f>VLOOKUP(A40,Seguridad!$A$14:$F$67,6,FALSE)</f>
        <v>365943.03999999998</v>
      </c>
      <c r="C40" s="9">
        <f>VLOOKUP(A40,Desarrollo!$A$13:$D$69,4,FALSE)</f>
        <v>408162.01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6">
        <f t="shared" si="0"/>
        <v>1032394.4599064894</v>
      </c>
      <c r="I40" s="271" t="s">
        <v>27</v>
      </c>
      <c r="J40" s="262">
        <f t="shared" si="9"/>
        <v>381214.49</v>
      </c>
      <c r="K40" s="262">
        <f t="shared" si="10"/>
        <v>0</v>
      </c>
      <c r="L40" s="262">
        <f t="shared" si="11"/>
        <v>210306.25401232415</v>
      </c>
      <c r="M40" s="221">
        <f t="shared" si="12"/>
        <v>687048.59</v>
      </c>
      <c r="N40" s="218">
        <f t="shared" si="5"/>
        <v>1278569.334012324</v>
      </c>
      <c r="P40" s="271" t="s">
        <v>27</v>
      </c>
      <c r="Q40" s="262">
        <v>3663423.1</v>
      </c>
      <c r="R40" s="262">
        <v>0</v>
      </c>
      <c r="S40" s="262">
        <v>2514627.6235656175</v>
      </c>
      <c r="T40" s="221">
        <v>8106173.5713390261</v>
      </c>
      <c r="U40" s="218">
        <f t="shared" si="13"/>
        <v>14284224.294904644</v>
      </c>
      <c r="W40" s="271" t="s">
        <v>27</v>
      </c>
      <c r="X40" s="279">
        <f t="shared" si="7"/>
        <v>3282208.6100000003</v>
      </c>
      <c r="Y40" s="279">
        <f t="shared" si="7"/>
        <v>0</v>
      </c>
      <c r="Z40" s="279">
        <f t="shared" si="7"/>
        <v>2304321.3695532931</v>
      </c>
      <c r="AA40" s="280">
        <f t="shared" si="7"/>
        <v>7419124.9813390262</v>
      </c>
      <c r="AB40" s="281">
        <f t="shared" si="14"/>
        <v>13005654.96089232</v>
      </c>
    </row>
    <row r="41" spans="1:28">
      <c r="A41" s="68" t="s">
        <v>36</v>
      </c>
      <c r="B41" s="9">
        <f>VLOOKUP(A41,Seguridad!$A$14:$F$67,6,FALSE)</f>
        <v>501593.26</v>
      </c>
      <c r="C41" s="9">
        <f>VLOOKUP(A41,Desarrollo!$A$13:$D$69,4,FALSE)</f>
        <v>408433.47</v>
      </c>
      <c r="D41" s="9">
        <f>IFERROR(VLOOKUP(A41,Ultracrecimiento!$A$6:$E$17,5,FALSE),0)</f>
        <v>0</v>
      </c>
      <c r="E41" s="9">
        <f>VLOOKUP(A41,Descentralizados!$A$6:$E$56,5,TRUE)/12</f>
        <v>251399.98200117677</v>
      </c>
      <c r="F41" s="66">
        <f t="shared" si="0"/>
        <v>1161426.7120011768</v>
      </c>
      <c r="I41" s="271" t="s">
        <v>28</v>
      </c>
      <c r="J41" s="262">
        <f t="shared" si="9"/>
        <v>330886.32</v>
      </c>
      <c r="K41" s="262">
        <f t="shared" si="10"/>
        <v>0</v>
      </c>
      <c r="L41" s="262">
        <f t="shared" si="11"/>
        <v>184361.89560164956</v>
      </c>
      <c r="M41" s="221">
        <f t="shared" si="12"/>
        <v>363810.1</v>
      </c>
      <c r="N41" s="218">
        <f t="shared" si="5"/>
        <v>879058.31560164958</v>
      </c>
      <c r="P41" s="271" t="s">
        <v>28</v>
      </c>
      <c r="Q41" s="262">
        <v>3180167.38</v>
      </c>
      <c r="R41" s="262">
        <v>0</v>
      </c>
      <c r="S41" s="262">
        <v>2212342.7648131964</v>
      </c>
      <c r="T41" s="221">
        <v>4448426.443068319</v>
      </c>
      <c r="U41" s="218">
        <f t="shared" si="13"/>
        <v>9840936.5878815167</v>
      </c>
      <c r="W41" s="271" t="s">
        <v>28</v>
      </c>
      <c r="X41" s="279">
        <f t="shared" si="7"/>
        <v>2849281.06</v>
      </c>
      <c r="Y41" s="279">
        <f t="shared" si="7"/>
        <v>0</v>
      </c>
      <c r="Z41" s="279">
        <f t="shared" si="7"/>
        <v>2027980.8692115468</v>
      </c>
      <c r="AA41" s="280">
        <f t="shared" si="7"/>
        <v>4084616.3430683189</v>
      </c>
      <c r="AB41" s="281">
        <f t="shared" si="14"/>
        <v>8961878.272279866</v>
      </c>
    </row>
    <row r="42" spans="1:28">
      <c r="A42" s="68" t="s">
        <v>37</v>
      </c>
      <c r="B42" s="9">
        <f>VLOOKUP(A42,Seguridad!$A$14:$F$67,6,FALSE)</f>
        <v>466322.88</v>
      </c>
      <c r="C42" s="9">
        <f>VLOOKUP(A42,Desarrollo!$A$13:$D$69,4,FALSE)</f>
        <v>457261.88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6">
        <f t="shared" si="0"/>
        <v>1242166.4691861849</v>
      </c>
      <c r="I42" s="271" t="s">
        <v>29</v>
      </c>
      <c r="J42" s="262">
        <f t="shared" si="9"/>
        <v>340689.45</v>
      </c>
      <c r="K42" s="262">
        <f t="shared" si="10"/>
        <v>0</v>
      </c>
      <c r="L42" s="262">
        <f t="shared" si="11"/>
        <v>153121.62531019375</v>
      </c>
      <c r="M42" s="221">
        <f t="shared" si="12"/>
        <v>487828.14</v>
      </c>
      <c r="N42" s="218">
        <f t="shared" si="5"/>
        <v>981639.21531019383</v>
      </c>
      <c r="P42" s="271" t="s">
        <v>29</v>
      </c>
      <c r="Q42" s="262">
        <v>3282604.13</v>
      </c>
      <c r="R42" s="262">
        <v>0</v>
      </c>
      <c r="S42" s="262">
        <v>1838584.382485369</v>
      </c>
      <c r="T42" s="221">
        <v>6053977.1095141228</v>
      </c>
      <c r="U42" s="218">
        <f t="shared" si="13"/>
        <v>11175165.621999491</v>
      </c>
      <c r="W42" s="271" t="s">
        <v>29</v>
      </c>
      <c r="X42" s="279">
        <f t="shared" si="7"/>
        <v>2941914.6799999997</v>
      </c>
      <c r="Y42" s="279">
        <f t="shared" si="7"/>
        <v>0</v>
      </c>
      <c r="Z42" s="279">
        <f t="shared" si="7"/>
        <v>1685462.7571751752</v>
      </c>
      <c r="AA42" s="280">
        <f t="shared" si="7"/>
        <v>5566148.9695141232</v>
      </c>
      <c r="AB42" s="281">
        <f t="shared" si="14"/>
        <v>10193526.406689297</v>
      </c>
    </row>
    <row r="43" spans="1:28">
      <c r="A43" s="68" t="s">
        <v>38</v>
      </c>
      <c r="B43" s="9">
        <f>VLOOKUP(A43,Seguridad!$A$14:$F$67,6,FALSE)</f>
        <v>1816008.48</v>
      </c>
      <c r="C43" s="9">
        <f>VLOOKUP(A43,Desarrollo!$A$13:$D$69,4,FALSE)</f>
        <v>790557.01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6">
        <f t="shared" si="0"/>
        <v>4098698.5710552651</v>
      </c>
      <c r="I43" s="271" t="s">
        <v>30</v>
      </c>
      <c r="J43" s="262">
        <f t="shared" si="9"/>
        <v>357415.11</v>
      </c>
      <c r="K43" s="262">
        <f t="shared" si="10"/>
        <v>0</v>
      </c>
      <c r="L43" s="262">
        <f t="shared" si="11"/>
        <v>178350.28225100864</v>
      </c>
      <c r="M43" s="221">
        <f t="shared" si="12"/>
        <v>405853.1</v>
      </c>
      <c r="N43" s="218">
        <f t="shared" si="5"/>
        <v>941618.49225100863</v>
      </c>
      <c r="P43" s="271" t="s">
        <v>30</v>
      </c>
      <c r="Q43" s="262">
        <v>3449773.37</v>
      </c>
      <c r="R43" s="262">
        <v>0</v>
      </c>
      <c r="S43" s="262">
        <v>2135349.105516287</v>
      </c>
      <c r="T43" s="221">
        <v>5059782.1497001778</v>
      </c>
      <c r="U43" s="218">
        <f t="shared" si="13"/>
        <v>10644904.625216465</v>
      </c>
      <c r="W43" s="271" t="s">
        <v>30</v>
      </c>
      <c r="X43" s="279">
        <f t="shared" si="7"/>
        <v>3092358.2600000002</v>
      </c>
      <c r="Y43" s="279">
        <f t="shared" si="7"/>
        <v>0</v>
      </c>
      <c r="Z43" s="279">
        <f t="shared" si="7"/>
        <v>1956998.8232652785</v>
      </c>
      <c r="AA43" s="280">
        <f t="shared" si="7"/>
        <v>4653929.0497001782</v>
      </c>
      <c r="AB43" s="281">
        <f t="shared" si="14"/>
        <v>9703286.1329654567</v>
      </c>
    </row>
    <row r="44" spans="1:28">
      <c r="A44" s="68" t="s">
        <v>39</v>
      </c>
      <c r="B44" s="9">
        <f>VLOOKUP(A44,Seguridad!$A$14:$F$67,6,FALSE)</f>
        <v>7146118.5674952306</v>
      </c>
      <c r="C44" s="9">
        <f>VLOOKUP(A44,Desarrollo!$A$13:$D$69,4,FALSE)</f>
        <v>7078938.4800000004</v>
      </c>
      <c r="D44" s="9">
        <f>IFERROR(VLOOKUP(A44,Ultracrecimiento!$A$6:$E$17,5,FALSE),0)</f>
        <v>0</v>
      </c>
      <c r="E44" s="9">
        <f>VLOOKUP(A44,Descentralizados!$A$6:$E$56,5,TRUE)/12</f>
        <v>6108057.675518549</v>
      </c>
      <c r="F44" s="66">
        <f t="shared" si="0"/>
        <v>20333114.723013781</v>
      </c>
      <c r="I44" s="271" t="s">
        <v>32</v>
      </c>
      <c r="J44" s="262">
        <f t="shared" si="9"/>
        <v>434577.28</v>
      </c>
      <c r="K44" s="262">
        <f t="shared" si="10"/>
        <v>0</v>
      </c>
      <c r="L44" s="262">
        <f t="shared" si="11"/>
        <v>406614.37476631813</v>
      </c>
      <c r="M44" s="221">
        <f t="shared" si="12"/>
        <v>450996.54</v>
      </c>
      <c r="N44" s="218">
        <f t="shared" si="5"/>
        <v>1292188.1947663182</v>
      </c>
      <c r="P44" s="271" t="s">
        <v>32</v>
      </c>
      <c r="Q44" s="262">
        <v>4217740.58</v>
      </c>
      <c r="R44" s="262">
        <v>0</v>
      </c>
      <c r="S44" s="262">
        <v>4879372.4781305455</v>
      </c>
      <c r="T44" s="221">
        <v>5554505.4326881915</v>
      </c>
      <c r="U44" s="218">
        <f t="shared" si="13"/>
        <v>14651618.490818737</v>
      </c>
      <c r="W44" s="271" t="s">
        <v>32</v>
      </c>
      <c r="X44" s="279">
        <f t="shared" si="7"/>
        <v>3783163.3</v>
      </c>
      <c r="Y44" s="279">
        <f t="shared" si="7"/>
        <v>0</v>
      </c>
      <c r="Z44" s="279">
        <f t="shared" si="7"/>
        <v>4472758.1033642273</v>
      </c>
      <c r="AA44" s="280">
        <f t="shared" si="7"/>
        <v>5103508.8926881915</v>
      </c>
      <c r="AB44" s="281">
        <f t="shared" si="14"/>
        <v>13359430.296052419</v>
      </c>
    </row>
    <row r="45" spans="1:28">
      <c r="A45" s="68" t="s">
        <v>40</v>
      </c>
      <c r="B45" s="9">
        <f>VLOOKUP(A45,Seguridad!$A$14:$F$67,6,FALSE)</f>
        <v>353255.38</v>
      </c>
      <c r="C45" s="9">
        <f>VLOOKUP(A45,Desarrollo!$A$13:$D$69,4,FALSE)</f>
        <v>282095.15999999997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6">
        <f t="shared" si="0"/>
        <v>931649.78716636961</v>
      </c>
      <c r="I45" s="271" t="s">
        <v>33</v>
      </c>
      <c r="J45" s="262">
        <f t="shared" si="9"/>
        <v>993379.79</v>
      </c>
      <c r="K45" s="262">
        <f t="shared" si="10"/>
        <v>0</v>
      </c>
      <c r="L45" s="262">
        <f t="shared" si="11"/>
        <v>1180575.9284750337</v>
      </c>
      <c r="M45" s="221">
        <f t="shared" si="12"/>
        <v>2195055.08</v>
      </c>
      <c r="N45" s="218">
        <f t="shared" si="5"/>
        <v>4369010.7984750336</v>
      </c>
      <c r="P45" s="271" t="s">
        <v>33</v>
      </c>
      <c r="Q45" s="262">
        <v>9783762.1400000006</v>
      </c>
      <c r="R45" s="262">
        <v>0</v>
      </c>
      <c r="S45" s="262">
        <v>14166911.147800267</v>
      </c>
      <c r="T45" s="221">
        <v>27698343.32120087</v>
      </c>
      <c r="U45" s="218">
        <f t="shared" si="13"/>
        <v>51649016.609001137</v>
      </c>
      <c r="W45" s="271" t="s">
        <v>33</v>
      </c>
      <c r="X45" s="279">
        <f t="shared" si="7"/>
        <v>8790382.3500000015</v>
      </c>
      <c r="Y45" s="279">
        <f t="shared" si="7"/>
        <v>0</v>
      </c>
      <c r="Z45" s="279">
        <f t="shared" si="7"/>
        <v>12986335.219325233</v>
      </c>
      <c r="AA45" s="280">
        <f t="shared" si="7"/>
        <v>25503288.241200872</v>
      </c>
      <c r="AB45" s="281">
        <f t="shared" si="14"/>
        <v>47280005.810526103</v>
      </c>
    </row>
    <row r="46" spans="1:28">
      <c r="A46" s="68" t="s">
        <v>41</v>
      </c>
      <c r="B46" s="9">
        <f>VLOOKUP(A46,Seguridad!$A$14:$F$67,6,FALSE)</f>
        <v>3579439.35</v>
      </c>
      <c r="C46" s="9">
        <f>VLOOKUP(A46,Desarrollo!$A$13:$D$69,4,FALSE)</f>
        <v>621853.22</v>
      </c>
      <c r="D46" s="9">
        <f>IFERROR(VLOOKUP(A46,Ultracrecimiento!$A$6:$E$17,5,FALSE),0)</f>
        <v>960093.92169632064</v>
      </c>
      <c r="E46" s="9">
        <f>VLOOKUP(A46,Descentralizados!$A$6:$E$56,5,TRUE)/12</f>
        <v>511915.36028152792</v>
      </c>
      <c r="F46" s="66">
        <f t="shared" si="0"/>
        <v>5673301.8519778484</v>
      </c>
      <c r="I46" s="271" t="s">
        <v>34</v>
      </c>
      <c r="J46" s="262">
        <f t="shared" si="9"/>
        <v>414353.64</v>
      </c>
      <c r="K46" s="262">
        <f t="shared" si="10"/>
        <v>0</v>
      </c>
      <c r="L46" s="262">
        <f t="shared" si="11"/>
        <v>264613.6527674587</v>
      </c>
      <c r="M46" s="221">
        <f t="shared" si="12"/>
        <v>445895.09</v>
      </c>
      <c r="N46" s="218">
        <f t="shared" si="5"/>
        <v>1124862.3827674587</v>
      </c>
      <c r="P46" s="271" t="s">
        <v>34</v>
      </c>
      <c r="Q46" s="262">
        <v>4067941.47</v>
      </c>
      <c r="R46" s="262">
        <v>0</v>
      </c>
      <c r="S46" s="262">
        <v>3232742.8847484374</v>
      </c>
      <c r="T46" s="221">
        <v>5670841.0817171661</v>
      </c>
      <c r="U46" s="218">
        <f t="shared" si="13"/>
        <v>12971525.436465602</v>
      </c>
      <c r="W46" s="271" t="s">
        <v>34</v>
      </c>
      <c r="X46" s="279">
        <f t="shared" si="7"/>
        <v>3653587.83</v>
      </c>
      <c r="Y46" s="279">
        <f t="shared" si="7"/>
        <v>0</v>
      </c>
      <c r="Z46" s="279">
        <f t="shared" si="7"/>
        <v>2968129.2319809785</v>
      </c>
      <c r="AA46" s="280">
        <f t="shared" si="7"/>
        <v>5224945.9917171663</v>
      </c>
      <c r="AB46" s="281">
        <f t="shared" si="14"/>
        <v>11846663.053698145</v>
      </c>
    </row>
    <row r="47" spans="1:28">
      <c r="A47" s="68" t="s">
        <v>42</v>
      </c>
      <c r="B47" s="9">
        <f>VLOOKUP(A47,Seguridad!$A$14:$F$67,6,FALSE)</f>
        <v>451832.12</v>
      </c>
      <c r="C47" s="9">
        <f>VLOOKUP(A47,Desarrollo!$A$13:$D$69,4,FALSE)</f>
        <v>322788.27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6">
        <f t="shared" si="0"/>
        <v>945284.40485201485</v>
      </c>
      <c r="I47" s="271" t="s">
        <v>35</v>
      </c>
      <c r="J47" s="262">
        <f t="shared" si="9"/>
        <v>408162.01</v>
      </c>
      <c r="K47" s="262">
        <f t="shared" si="10"/>
        <v>0</v>
      </c>
      <c r="L47" s="262">
        <f t="shared" si="11"/>
        <v>258289.40990648934</v>
      </c>
      <c r="M47" s="221">
        <f t="shared" si="12"/>
        <v>365943.03999999998</v>
      </c>
      <c r="N47" s="218">
        <f t="shared" si="5"/>
        <v>1032394.4599064894</v>
      </c>
      <c r="P47" s="271" t="s">
        <v>35</v>
      </c>
      <c r="Q47" s="262">
        <v>3929934.02</v>
      </c>
      <c r="R47" s="262">
        <v>0</v>
      </c>
      <c r="S47" s="262">
        <v>3099472.9192519151</v>
      </c>
      <c r="T47" s="221">
        <v>4283419.7572006918</v>
      </c>
      <c r="U47" s="218">
        <f t="shared" si="13"/>
        <v>11312826.696452606</v>
      </c>
      <c r="W47" s="271" t="s">
        <v>35</v>
      </c>
      <c r="X47" s="279">
        <f t="shared" si="7"/>
        <v>3521772.01</v>
      </c>
      <c r="Y47" s="279">
        <f t="shared" si="7"/>
        <v>0</v>
      </c>
      <c r="Z47" s="279">
        <f t="shared" si="7"/>
        <v>2841183.5093454258</v>
      </c>
      <c r="AA47" s="280">
        <f t="shared" si="7"/>
        <v>3917476.7172006918</v>
      </c>
      <c r="AB47" s="281">
        <f t="shared" si="14"/>
        <v>10280432.236546118</v>
      </c>
    </row>
    <row r="48" spans="1:28">
      <c r="A48" s="68" t="s">
        <v>43</v>
      </c>
      <c r="B48" s="9">
        <f>VLOOKUP(A48,Seguridad!$A$14:$F$67,6,FALSE)</f>
        <v>385601.22</v>
      </c>
      <c r="C48" s="9">
        <f>VLOOKUP(A48,Desarrollo!$A$13:$D$69,4,FALSE)</f>
        <v>378702.34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6">
        <f t="shared" si="0"/>
        <v>979541.60648679291</v>
      </c>
      <c r="I48" s="271" t="s">
        <v>36</v>
      </c>
      <c r="J48" s="262">
        <f t="shared" si="9"/>
        <v>408433.47</v>
      </c>
      <c r="K48" s="262">
        <f t="shared" si="10"/>
        <v>0</v>
      </c>
      <c r="L48" s="262">
        <f t="shared" si="11"/>
        <v>251399.98200117677</v>
      </c>
      <c r="M48" s="221">
        <f t="shared" si="12"/>
        <v>501593.26</v>
      </c>
      <c r="N48" s="218">
        <f t="shared" si="5"/>
        <v>1161426.7120011768</v>
      </c>
      <c r="P48" s="271" t="s">
        <v>36</v>
      </c>
      <c r="Q48" s="262">
        <v>3942363.2</v>
      </c>
      <c r="R48" s="262">
        <v>0</v>
      </c>
      <c r="S48" s="262">
        <v>3009811.9212916601</v>
      </c>
      <c r="T48" s="221">
        <v>6076235.2056293599</v>
      </c>
      <c r="U48" s="218">
        <f t="shared" si="13"/>
        <v>13028410.32692102</v>
      </c>
      <c r="W48" s="271" t="s">
        <v>36</v>
      </c>
      <c r="X48" s="279">
        <f t="shared" si="7"/>
        <v>3533929.7300000004</v>
      </c>
      <c r="Y48" s="279">
        <f t="shared" si="7"/>
        <v>0</v>
      </c>
      <c r="Z48" s="279">
        <f t="shared" si="7"/>
        <v>2758411.9392904835</v>
      </c>
      <c r="AA48" s="280">
        <f t="shared" si="7"/>
        <v>5574641.9456293602</v>
      </c>
      <c r="AB48" s="281">
        <f t="shared" si="14"/>
        <v>11866983.614919845</v>
      </c>
    </row>
    <row r="49" spans="1:28">
      <c r="A49" s="68" t="s">
        <v>44</v>
      </c>
      <c r="B49" s="9">
        <f>VLOOKUP(A49,Seguridad!$A$14:$F$67,6,FALSE)</f>
        <v>1096549.98</v>
      </c>
      <c r="C49" s="9">
        <f>VLOOKUP(A49,Desarrollo!$A$13:$D$69,4,FALSE)</f>
        <v>495073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6">
        <f t="shared" si="0"/>
        <v>1979299.7105952052</v>
      </c>
      <c r="I49" s="271" t="s">
        <v>37</v>
      </c>
      <c r="J49" s="262">
        <f t="shared" si="9"/>
        <v>457261.88</v>
      </c>
      <c r="K49" s="262">
        <f t="shared" si="10"/>
        <v>0</v>
      </c>
      <c r="L49" s="262">
        <f t="shared" si="11"/>
        <v>318581.70918618486</v>
      </c>
      <c r="M49" s="221">
        <f t="shared" si="12"/>
        <v>466322.88</v>
      </c>
      <c r="N49" s="218">
        <f t="shared" si="5"/>
        <v>1242166.4691861849</v>
      </c>
      <c r="P49" s="271" t="s">
        <v>37</v>
      </c>
      <c r="Q49" s="262">
        <v>4401463.3600000003</v>
      </c>
      <c r="R49" s="262">
        <v>0</v>
      </c>
      <c r="S49" s="262">
        <v>3824822.6770570739</v>
      </c>
      <c r="T49" s="221">
        <v>5580621.5987967364</v>
      </c>
      <c r="U49" s="218">
        <f t="shared" si="13"/>
        <v>13806907.63585381</v>
      </c>
      <c r="W49" s="271" t="s">
        <v>37</v>
      </c>
      <c r="X49" s="279">
        <f t="shared" si="7"/>
        <v>3944201.4800000004</v>
      </c>
      <c r="Y49" s="279">
        <f t="shared" si="7"/>
        <v>0</v>
      </c>
      <c r="Z49" s="279">
        <f t="shared" si="7"/>
        <v>3506240.9678708892</v>
      </c>
      <c r="AA49" s="280">
        <f t="shared" si="7"/>
        <v>5114298.7187967366</v>
      </c>
      <c r="AB49" s="281">
        <f t="shared" si="14"/>
        <v>12564741.166667625</v>
      </c>
    </row>
    <row r="50" spans="1:28">
      <c r="A50" s="68" t="s">
        <v>45</v>
      </c>
      <c r="B50" s="9">
        <f>VLOOKUP(A50,Seguridad!$A$14:$F$67,6,FALSE)</f>
        <v>850499.76082752075</v>
      </c>
      <c r="C50" s="9">
        <f>VLOOKUP(A50,Desarrollo!$A$13:$D$69,4,FALSE)</f>
        <v>937972.56</v>
      </c>
      <c r="D50" s="9">
        <f>IFERROR(VLOOKUP(A50,Ultracrecimiento!$A$6:$E$17,5,FALSE),0)</f>
        <v>883779.56687150756</v>
      </c>
      <c r="E50" s="9">
        <f>VLOOKUP(A50,Descentralizados!$A$6:$E$56,5,TRUE)/12</f>
        <v>220882.96991702847</v>
      </c>
      <c r="F50" s="66">
        <f t="shared" si="0"/>
        <v>2893134.8576160572</v>
      </c>
      <c r="I50" s="271" t="s">
        <v>38</v>
      </c>
      <c r="J50" s="262">
        <f t="shared" si="9"/>
        <v>790557.01</v>
      </c>
      <c r="K50" s="262">
        <f t="shared" si="10"/>
        <v>0</v>
      </c>
      <c r="L50" s="262">
        <f t="shared" si="11"/>
        <v>1492133.0810552647</v>
      </c>
      <c r="M50" s="221">
        <f t="shared" si="12"/>
        <v>1816008.48</v>
      </c>
      <c r="N50" s="218">
        <f t="shared" si="5"/>
        <v>4098698.5710552647</v>
      </c>
      <c r="P50" s="271" t="s">
        <v>38</v>
      </c>
      <c r="Q50" s="262">
        <v>7532728.4699999997</v>
      </c>
      <c r="R50" s="262">
        <v>0</v>
      </c>
      <c r="S50" s="262">
        <v>17905596.968442116</v>
      </c>
      <c r="T50" s="221">
        <v>22052503.047917143</v>
      </c>
      <c r="U50" s="218">
        <f t="shared" si="13"/>
        <v>47490828.486359254</v>
      </c>
      <c r="W50" s="271" t="s">
        <v>38</v>
      </c>
      <c r="X50" s="279">
        <f t="shared" si="7"/>
        <v>6742171.46</v>
      </c>
      <c r="Y50" s="279">
        <f t="shared" si="7"/>
        <v>0</v>
      </c>
      <c r="Z50" s="279">
        <f t="shared" si="7"/>
        <v>16413463.887386851</v>
      </c>
      <c r="AA50" s="280">
        <f t="shared" si="7"/>
        <v>20236494.567917142</v>
      </c>
      <c r="AB50" s="281">
        <f t="shared" si="14"/>
        <v>43392129.91530399</v>
      </c>
    </row>
    <row r="51" spans="1:28">
      <c r="A51" s="68" t="s">
        <v>46</v>
      </c>
      <c r="B51" s="9">
        <f>VLOOKUP(A51,Seguridad!$A$14:$F$67,6,FALSE)</f>
        <v>2790234.4725661725</v>
      </c>
      <c r="C51" s="9">
        <f>VLOOKUP(A51,Desarrollo!$A$13:$D$69,4,FALSE)</f>
        <v>2390185.0099999998</v>
      </c>
      <c r="D51" s="9">
        <f>IFERROR(VLOOKUP(A51,Ultracrecimiento!$A$6:$E$17,5,FALSE),0)</f>
        <v>0</v>
      </c>
      <c r="E51" s="9">
        <f>VLOOKUP(A51,Descentralizados!$A$6:$E$56,5,TRUE)/12</f>
        <v>1613079.0057626683</v>
      </c>
      <c r="F51" s="66">
        <f t="shared" si="0"/>
        <v>6793498.4883288406</v>
      </c>
      <c r="I51" s="271" t="s">
        <v>40</v>
      </c>
      <c r="J51" s="262">
        <f t="shared" si="9"/>
        <v>282095.15999999997</v>
      </c>
      <c r="K51" s="262">
        <f t="shared" si="10"/>
        <v>0</v>
      </c>
      <c r="L51" s="262">
        <f t="shared" si="11"/>
        <v>296299.24716636958</v>
      </c>
      <c r="M51" s="221">
        <f t="shared" si="12"/>
        <v>353255.38</v>
      </c>
      <c r="N51" s="218">
        <f t="shared" si="5"/>
        <v>931649.7871663695</v>
      </c>
      <c r="P51" s="271" t="s">
        <v>40</v>
      </c>
      <c r="Q51" s="262">
        <v>2704054.81</v>
      </c>
      <c r="R51" s="262">
        <v>0</v>
      </c>
      <c r="S51" s="262">
        <v>3555590.9773309566</v>
      </c>
      <c r="T51" s="221">
        <v>4288168.1510386094</v>
      </c>
      <c r="U51" s="218">
        <f t="shared" si="13"/>
        <v>10547813.938369567</v>
      </c>
      <c r="W51" s="271" t="s">
        <v>40</v>
      </c>
      <c r="X51" s="279">
        <f t="shared" si="7"/>
        <v>2421959.65</v>
      </c>
      <c r="Y51" s="279">
        <f t="shared" si="7"/>
        <v>0</v>
      </c>
      <c r="Z51" s="279">
        <f t="shared" si="7"/>
        <v>3259291.730164587</v>
      </c>
      <c r="AA51" s="280">
        <f t="shared" si="7"/>
        <v>3934912.7710386096</v>
      </c>
      <c r="AB51" s="281">
        <f t="shared" si="14"/>
        <v>9616164.1512031965</v>
      </c>
    </row>
    <row r="52" spans="1:28">
      <c r="A52" s="68" t="s">
        <v>47</v>
      </c>
      <c r="B52" s="9">
        <f>VLOOKUP(A52,Seguridad!$A$14:$F$67,6,FALSE)</f>
        <v>1121123.1306673035</v>
      </c>
      <c r="C52" s="9">
        <f>VLOOKUP(A52,Desarrollo!$A$13:$D$69,4,FALSE)</f>
        <v>3956022.92</v>
      </c>
      <c r="D52" s="9">
        <f>IFERROR(VLOOKUP(A52,Ultracrecimiento!$A$6:$E$17,5,FALSE),0)</f>
        <v>0</v>
      </c>
      <c r="E52" s="9">
        <f>VLOOKUP(A52,Descentralizados!$A$6:$E$56,5,TRUE)/12</f>
        <v>3114204.6349519598</v>
      </c>
      <c r="F52" s="66">
        <f t="shared" si="0"/>
        <v>8191350.685619263</v>
      </c>
      <c r="I52" s="271" t="s">
        <v>41</v>
      </c>
      <c r="J52" s="262">
        <f t="shared" si="9"/>
        <v>621853.22</v>
      </c>
      <c r="K52" s="262">
        <f t="shared" si="10"/>
        <v>960093.92169632064</v>
      </c>
      <c r="L52" s="262">
        <f t="shared" si="11"/>
        <v>511915.36028152792</v>
      </c>
      <c r="M52" s="221">
        <f t="shared" si="12"/>
        <v>3579439.35</v>
      </c>
      <c r="N52" s="218">
        <f t="shared" si="5"/>
        <v>5673301.8519778484</v>
      </c>
      <c r="P52" s="271" t="s">
        <v>41</v>
      </c>
      <c r="Q52" s="262">
        <v>5162583.18</v>
      </c>
      <c r="R52" s="262">
        <v>8397289.0500000007</v>
      </c>
      <c r="S52" s="262">
        <v>5175989.3842794793</v>
      </c>
      <c r="T52" s="221">
        <v>29869249.628973708</v>
      </c>
      <c r="U52" s="218">
        <f t="shared" si="13"/>
        <v>48605111.243253186</v>
      </c>
      <c r="W52" s="271" t="s">
        <v>41</v>
      </c>
      <c r="X52" s="279">
        <f t="shared" si="7"/>
        <v>4540729.96</v>
      </c>
      <c r="Y52" s="279">
        <f t="shared" si="7"/>
        <v>7437195.1283036806</v>
      </c>
      <c r="Z52" s="279">
        <f t="shared" si="7"/>
        <v>4664074.0239979513</v>
      </c>
      <c r="AA52" s="280">
        <f t="shared" si="7"/>
        <v>26289810.278973706</v>
      </c>
      <c r="AB52" s="281">
        <f t="shared" si="14"/>
        <v>42931809.391275339</v>
      </c>
    </row>
    <row r="53" spans="1:28">
      <c r="A53" s="68" t="s">
        <v>48</v>
      </c>
      <c r="B53" s="9">
        <f>VLOOKUP(A53,Seguridad!$A$14:$F$67,6,FALSE)</f>
        <v>2159157.4395831828</v>
      </c>
      <c r="C53" s="9">
        <f>VLOOKUP(A53,Desarrollo!$A$13:$D$69,4,FALSE)</f>
        <v>1559753.86</v>
      </c>
      <c r="D53" s="9">
        <f>IFERROR(VLOOKUP(A53,Ultracrecimiento!$A$6:$E$17,5,FALSE),0)</f>
        <v>1632013.0955749524</v>
      </c>
      <c r="E53" s="9">
        <f>VLOOKUP(A53,Descentralizados!$A$6:$E$56,5,TRUE)/12</f>
        <v>816967.55624152906</v>
      </c>
      <c r="F53" s="66">
        <f t="shared" si="0"/>
        <v>6167891.9513996644</v>
      </c>
      <c r="I53" s="271" t="s">
        <v>42</v>
      </c>
      <c r="J53" s="262">
        <f t="shared" si="9"/>
        <v>322788.27</v>
      </c>
      <c r="K53" s="262">
        <f t="shared" si="10"/>
        <v>0</v>
      </c>
      <c r="L53" s="262">
        <f t="shared" si="11"/>
        <v>170664.01485201481</v>
      </c>
      <c r="M53" s="221">
        <f t="shared" si="12"/>
        <v>451832.12</v>
      </c>
      <c r="N53" s="218">
        <f t="shared" si="5"/>
        <v>945284.40485201485</v>
      </c>
      <c r="P53" s="271" t="s">
        <v>42</v>
      </c>
      <c r="Q53" s="262">
        <v>3098262.64</v>
      </c>
      <c r="R53" s="262">
        <v>0</v>
      </c>
      <c r="S53" s="262">
        <v>2047968.1588161183</v>
      </c>
      <c r="T53" s="221">
        <v>5326285.7538532885</v>
      </c>
      <c r="U53" s="218">
        <f t="shared" si="13"/>
        <v>10472516.552669406</v>
      </c>
      <c r="W53" s="271" t="s">
        <v>42</v>
      </c>
      <c r="X53" s="279">
        <f t="shared" si="7"/>
        <v>2775474.37</v>
      </c>
      <c r="Y53" s="279">
        <f t="shared" si="7"/>
        <v>0</v>
      </c>
      <c r="Z53" s="279">
        <f t="shared" si="7"/>
        <v>1877304.1439641034</v>
      </c>
      <c r="AA53" s="280">
        <f t="shared" si="7"/>
        <v>4874453.6338532884</v>
      </c>
      <c r="AB53" s="281">
        <f t="shared" si="14"/>
        <v>9527232.1478173919</v>
      </c>
    </row>
    <row r="54" spans="1:28">
      <c r="A54" s="68" t="s">
        <v>49</v>
      </c>
      <c r="B54" s="9">
        <f>VLOOKUP(A54,Seguridad!$A$14:$F$67,6,FALSE)</f>
        <v>612188.11681866238</v>
      </c>
      <c r="C54" s="9">
        <f>VLOOKUP(A54,Desarrollo!$A$13:$D$69,4,FALSE)</f>
        <v>1139609.55</v>
      </c>
      <c r="D54" s="9">
        <f>IFERROR(VLOOKUP(A54,Ultracrecimiento!$A$6:$E$17,5,FALSE),0)</f>
        <v>957720.8663788808</v>
      </c>
      <c r="E54" s="9">
        <f>VLOOKUP(A54,Descentralizados!$A$6:$E$56,5,TRUE)/12</f>
        <v>414186.7907462265</v>
      </c>
      <c r="F54" s="66">
        <f t="shared" si="0"/>
        <v>3123705.32394377</v>
      </c>
      <c r="I54" s="271" t="s">
        <v>43</v>
      </c>
      <c r="J54" s="262">
        <f t="shared" si="9"/>
        <v>378702.34</v>
      </c>
      <c r="K54" s="262">
        <f t="shared" si="10"/>
        <v>0</v>
      </c>
      <c r="L54" s="262">
        <f t="shared" si="11"/>
        <v>215238.04648679288</v>
      </c>
      <c r="M54" s="221">
        <f t="shared" si="12"/>
        <v>385601.22</v>
      </c>
      <c r="N54" s="218">
        <f t="shared" si="5"/>
        <v>979541.60648679291</v>
      </c>
      <c r="P54" s="271" t="s">
        <v>43</v>
      </c>
      <c r="Q54" s="262">
        <v>3697671.94</v>
      </c>
      <c r="R54" s="262">
        <v>0</v>
      </c>
      <c r="S54" s="262">
        <v>2575427.3718657605</v>
      </c>
      <c r="T54" s="221">
        <v>4783484.9832563614</v>
      </c>
      <c r="U54" s="218">
        <f t="shared" si="13"/>
        <v>11056584.295122121</v>
      </c>
      <c r="W54" s="271" t="s">
        <v>43</v>
      </c>
      <c r="X54" s="279">
        <f t="shared" si="7"/>
        <v>3318969.6</v>
      </c>
      <c r="Y54" s="279">
        <f t="shared" si="7"/>
        <v>0</v>
      </c>
      <c r="Z54" s="279">
        <f t="shared" si="7"/>
        <v>2360189.3253789674</v>
      </c>
      <c r="AA54" s="280">
        <f t="shared" si="7"/>
        <v>4397883.7632563617</v>
      </c>
      <c r="AB54" s="281">
        <f t="shared" si="14"/>
        <v>10077042.688635329</v>
      </c>
    </row>
    <row r="55" spans="1:28">
      <c r="A55" s="68" t="s">
        <v>50</v>
      </c>
      <c r="B55" s="9">
        <f>VLOOKUP(A55,Seguridad!$A$14:$F$67,6,FALSE)</f>
        <v>367460.28</v>
      </c>
      <c r="C55" s="9">
        <f>VLOOKUP(A55,Desarrollo!$A$13:$D$69,4,FALSE)</f>
        <v>316766.05</v>
      </c>
      <c r="D55" s="9">
        <f>IFERROR(VLOOKUP(A55,Ultracrecimiento!$A$6:$E$17,5,FALSE),0)</f>
        <v>0</v>
      </c>
      <c r="E55" s="9">
        <f>VLOOKUP(A55,Descentralizados!$A$6:$E$56,5,TRUE)/12</f>
        <v>128262.3735957062</v>
      </c>
      <c r="F55" s="66">
        <f t="shared" si="0"/>
        <v>812488.70359570626</v>
      </c>
      <c r="I55" s="271" t="s">
        <v>44</v>
      </c>
      <c r="J55" s="262">
        <f t="shared" si="9"/>
        <v>495073</v>
      </c>
      <c r="K55" s="262">
        <f t="shared" si="10"/>
        <v>0</v>
      </c>
      <c r="L55" s="262">
        <f t="shared" si="11"/>
        <v>387676.73059520521</v>
      </c>
      <c r="M55" s="221">
        <f t="shared" si="12"/>
        <v>1096549.98</v>
      </c>
      <c r="N55" s="218">
        <f t="shared" si="5"/>
        <v>1979299.7105952052</v>
      </c>
      <c r="P55" s="271" t="s">
        <v>44</v>
      </c>
      <c r="Q55" s="262">
        <v>5020702.67</v>
      </c>
      <c r="R55" s="262">
        <v>0</v>
      </c>
      <c r="S55" s="262">
        <v>4924118.101341052</v>
      </c>
      <c r="T55" s="221">
        <v>14522440.744824842</v>
      </c>
      <c r="U55" s="218">
        <f t="shared" si="13"/>
        <v>24467261.516165894</v>
      </c>
      <c r="W55" s="271" t="s">
        <v>44</v>
      </c>
      <c r="X55" s="279">
        <f t="shared" si="7"/>
        <v>4525629.67</v>
      </c>
      <c r="Y55" s="279">
        <f t="shared" si="7"/>
        <v>0</v>
      </c>
      <c r="Z55" s="279">
        <f t="shared" si="7"/>
        <v>4536441.370745847</v>
      </c>
      <c r="AA55" s="280">
        <f t="shared" si="7"/>
        <v>13425890.764824841</v>
      </c>
      <c r="AB55" s="281">
        <f t="shared" si="14"/>
        <v>22487961.805570688</v>
      </c>
    </row>
    <row r="56" spans="1:28">
      <c r="A56" s="68" t="s">
        <v>51</v>
      </c>
      <c r="B56" s="9">
        <f>VLOOKUP(A56,Seguridad!$A$14:$F$67,6,FALSE)</f>
        <v>411900.08</v>
      </c>
      <c r="C56" s="9">
        <f>VLOOKUP(A56,Desarrollo!$A$13:$D$69,4,FALSE)</f>
        <v>290714.71000000002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6">
        <f t="shared" si="0"/>
        <v>998253.48233756656</v>
      </c>
      <c r="I56" s="271" t="s">
        <v>50</v>
      </c>
      <c r="J56" s="262">
        <f t="shared" si="9"/>
        <v>316766.05</v>
      </c>
      <c r="K56" s="262">
        <f t="shared" si="10"/>
        <v>0</v>
      </c>
      <c r="L56" s="262">
        <f t="shared" si="11"/>
        <v>128262.3735957062</v>
      </c>
      <c r="M56" s="221">
        <f t="shared" si="12"/>
        <v>367460.28</v>
      </c>
      <c r="N56" s="218">
        <f t="shared" si="5"/>
        <v>812488.70359570626</v>
      </c>
      <c r="P56" s="271" t="s">
        <v>50</v>
      </c>
      <c r="Q56" s="262">
        <v>3030910.95</v>
      </c>
      <c r="R56" s="262">
        <v>0</v>
      </c>
      <c r="S56" s="262">
        <v>1539148.4687656499</v>
      </c>
      <c r="T56" s="221">
        <v>4484336.1714675697</v>
      </c>
      <c r="U56" s="218">
        <f t="shared" si="13"/>
        <v>9054395.5902332198</v>
      </c>
      <c r="W56" s="271" t="s">
        <v>50</v>
      </c>
      <c r="X56" s="279">
        <f t="shared" si="7"/>
        <v>2714144.9000000004</v>
      </c>
      <c r="Y56" s="279">
        <f t="shared" si="7"/>
        <v>0</v>
      </c>
      <c r="Z56" s="279">
        <f t="shared" si="7"/>
        <v>1410886.0951699438</v>
      </c>
      <c r="AA56" s="280">
        <f t="shared" si="7"/>
        <v>4116875.8914675694</v>
      </c>
      <c r="AB56" s="281">
        <f t="shared" si="14"/>
        <v>8241906.8866375135</v>
      </c>
    </row>
    <row r="57" spans="1:28" ht="13.8" thickBot="1">
      <c r="A57" s="69" t="s">
        <v>52</v>
      </c>
      <c r="B57" s="12">
        <f>SUM(B6:B56)</f>
        <v>65668446.7449039</v>
      </c>
      <c r="C57" s="12">
        <f>SUM(C6:C56)</f>
        <v>46065593.18</v>
      </c>
      <c r="D57" s="12">
        <f>SUM(D6:D56)</f>
        <v>16258444.644009052</v>
      </c>
      <c r="E57" s="12">
        <f>SUM(E6:E56)</f>
        <v>34246358.228878088</v>
      </c>
      <c r="F57" s="20">
        <f>SUM(F6:F56)</f>
        <v>162238842.797791</v>
      </c>
      <c r="I57" s="271" t="s">
        <v>51</v>
      </c>
      <c r="J57" s="262">
        <f t="shared" si="9"/>
        <v>290714.71000000002</v>
      </c>
      <c r="K57" s="262">
        <f t="shared" si="10"/>
        <v>0</v>
      </c>
      <c r="L57" s="262">
        <f t="shared" si="11"/>
        <v>295638.69233756658</v>
      </c>
      <c r="M57" s="221">
        <f t="shared" si="12"/>
        <v>411900.08</v>
      </c>
      <c r="N57" s="218">
        <f t="shared" si="5"/>
        <v>998253.48233756656</v>
      </c>
      <c r="P57" s="271" t="s">
        <v>51</v>
      </c>
      <c r="Q57" s="262">
        <v>2796166.36</v>
      </c>
      <c r="R57" s="262">
        <v>0</v>
      </c>
      <c r="S57" s="262">
        <v>3547664.2987005324</v>
      </c>
      <c r="T57" s="221">
        <v>5210840.4286689237</v>
      </c>
      <c r="U57" s="218">
        <f t="shared" si="13"/>
        <v>11554671.087369457</v>
      </c>
      <c r="W57" s="271" t="s">
        <v>51</v>
      </c>
      <c r="X57" s="279">
        <f t="shared" si="7"/>
        <v>2505451.65</v>
      </c>
      <c r="Y57" s="279">
        <f t="shared" si="7"/>
        <v>0</v>
      </c>
      <c r="Z57" s="279">
        <f t="shared" si="7"/>
        <v>3252025.6063629659</v>
      </c>
      <c r="AA57" s="280">
        <f t="shared" si="7"/>
        <v>4798940.3486689236</v>
      </c>
      <c r="AB57" s="281">
        <f t="shared" si="14"/>
        <v>10556417.605031889</v>
      </c>
    </row>
    <row r="58" spans="1:28" ht="14.4" thickTop="1" thickBot="1">
      <c r="I58" s="272" t="s">
        <v>144</v>
      </c>
      <c r="J58" s="273">
        <f>SUM(J19:J57)</f>
        <v>18426237.300000004</v>
      </c>
      <c r="K58" s="273">
        <f>SUM(K19:K57)</f>
        <v>3422041.2362366128</v>
      </c>
      <c r="L58" s="273">
        <f>SUM(L19:L57)</f>
        <v>15681554.877321282</v>
      </c>
      <c r="M58" s="274">
        <f>SUM(M19:M57)</f>
        <v>32467378.687152069</v>
      </c>
      <c r="N58" s="269">
        <f>SUM(N19:N57)</f>
        <v>69997212.10070996</v>
      </c>
      <c r="P58" s="272" t="s">
        <v>144</v>
      </c>
      <c r="Q58" s="273">
        <f>SUM(Q19:Q57)</f>
        <v>175540561.06999999</v>
      </c>
      <c r="R58" s="273">
        <f>SUM(R19:R57)</f>
        <v>30174112.359999999</v>
      </c>
      <c r="S58" s="273">
        <f>SUM(S19:S57)</f>
        <v>187348055.52167648</v>
      </c>
      <c r="T58" s="274">
        <f>SUM(T19:T57)</f>
        <v>358359035.66975993</v>
      </c>
      <c r="U58" s="269">
        <f>SUM(U19:U57)</f>
        <v>751421764.62143636</v>
      </c>
      <c r="W58" s="272" t="s">
        <v>144</v>
      </c>
      <c r="X58" s="282">
        <f>SUM(X19:X57)</f>
        <v>157114323.77000004</v>
      </c>
      <c r="Y58" s="282">
        <f>SUM(Y19:Y57)</f>
        <v>26752071.123763386</v>
      </c>
      <c r="Z58" s="282">
        <f>SUM(Z19:Z57)</f>
        <v>171666500.64435518</v>
      </c>
      <c r="AA58" s="283">
        <f>SUM(AA19:AA57)</f>
        <v>325891656.98260808</v>
      </c>
      <c r="AB58" s="284">
        <f>SUM(AB19:AB57)</f>
        <v>681424552.52072632</v>
      </c>
    </row>
    <row r="59" spans="1:28" ht="13.8" thickBot="1">
      <c r="I59" s="272" t="s">
        <v>52</v>
      </c>
      <c r="J59" s="273">
        <f>J58+J18</f>
        <v>46065593.180000007</v>
      </c>
      <c r="K59" s="273">
        <f>K58+K18</f>
        <v>16258444.644009054</v>
      </c>
      <c r="L59" s="273">
        <f>L58+L18</f>
        <v>34246358.228878081</v>
      </c>
      <c r="M59" s="274">
        <f>M58+M18</f>
        <v>65668446.7449039</v>
      </c>
      <c r="N59" s="269">
        <f>N58+N18</f>
        <v>162238842.79779106</v>
      </c>
      <c r="P59" s="272" t="s">
        <v>52</v>
      </c>
      <c r="Q59" s="273">
        <f>Q58+Q18</f>
        <v>438851402.67999995</v>
      </c>
      <c r="R59" s="273">
        <f>R58+R18</f>
        <v>154888730.36000001</v>
      </c>
      <c r="S59" s="273">
        <f>S58+S18</f>
        <v>410729830.90047014</v>
      </c>
      <c r="T59" s="274">
        <f>T58+T18</f>
        <v>709897589.17439985</v>
      </c>
      <c r="U59" s="269">
        <f>U58+U18</f>
        <v>1714367553.1148696</v>
      </c>
      <c r="W59" s="272" t="s">
        <v>52</v>
      </c>
      <c r="X59" s="282">
        <f>X58+X18</f>
        <v>392785809.50000006</v>
      </c>
      <c r="Y59" s="282">
        <f>Y58+Y18</f>
        <v>138630285.71599093</v>
      </c>
      <c r="Z59" s="282">
        <f>Z58+Z18</f>
        <v>376483472.671592</v>
      </c>
      <c r="AA59" s="283">
        <f>AA58+AA18</f>
        <v>644229142.42949617</v>
      </c>
      <c r="AB59" s="284">
        <f>AB58+AB18</f>
        <v>1552128710.3170788</v>
      </c>
    </row>
  </sheetData>
  <mergeCells count="16">
    <mergeCell ref="A3:F3"/>
    <mergeCell ref="I3:N3"/>
    <mergeCell ref="P3:U3"/>
    <mergeCell ref="W3:AB3"/>
    <mergeCell ref="A4:F4"/>
    <mergeCell ref="I4:N4"/>
    <mergeCell ref="P4:U4"/>
    <mergeCell ref="W4:AB4"/>
    <mergeCell ref="A1:F1"/>
    <mergeCell ref="I1:N1"/>
    <mergeCell ref="P1:U1"/>
    <mergeCell ref="W1:AB1"/>
    <mergeCell ref="A2:F2"/>
    <mergeCell ref="I2:N2"/>
    <mergeCell ref="P2:U2"/>
    <mergeCell ref="W2:AB2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1" sqref="O1:T58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6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37" t="s">
        <v>98</v>
      </c>
      <c r="B1" s="337"/>
      <c r="C1" s="337"/>
      <c r="D1" s="337"/>
      <c r="E1" s="337"/>
      <c r="F1" s="337"/>
      <c r="G1" s="42"/>
      <c r="H1" s="337" t="s">
        <v>117</v>
      </c>
      <c r="I1" s="337"/>
      <c r="J1" s="337"/>
      <c r="K1" s="337"/>
      <c r="L1" s="337"/>
      <c r="M1" s="337"/>
      <c r="O1" s="337" t="s">
        <v>98</v>
      </c>
      <c r="P1" s="337"/>
      <c r="Q1" s="337"/>
      <c r="R1" s="337"/>
      <c r="S1" s="337"/>
      <c r="T1" s="337"/>
      <c r="U1" s="92"/>
    </row>
    <row r="2" spans="1:21" ht="18.75" customHeight="1" thickBot="1">
      <c r="A2" s="338" t="s">
        <v>113</v>
      </c>
      <c r="B2" s="338"/>
      <c r="C2" s="338"/>
      <c r="D2" s="338"/>
      <c r="E2" s="338"/>
      <c r="F2" s="338"/>
      <c r="G2" s="45"/>
      <c r="H2" s="338" t="s">
        <v>114</v>
      </c>
      <c r="I2" s="338"/>
      <c r="J2" s="338"/>
      <c r="K2" s="338"/>
      <c r="L2" s="338"/>
      <c r="M2" s="338"/>
      <c r="O2" s="338" t="s">
        <v>115</v>
      </c>
      <c r="P2" s="338"/>
      <c r="Q2" s="338"/>
      <c r="R2" s="338"/>
      <c r="S2" s="338"/>
      <c r="T2" s="338"/>
      <c r="U2" s="45"/>
    </row>
    <row r="3" spans="1:21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</row>
    <row r="4" spans="1:21" ht="13.8" thickTop="1">
      <c r="A4" s="35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5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5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</row>
    <row r="5" spans="1:21">
      <c r="A5" s="1"/>
      <c r="B5" s="25">
        <f>$E$5*0.5</f>
        <v>18373480679</v>
      </c>
      <c r="C5" s="25">
        <f>$E$5*0.25</f>
        <v>9186740339.5</v>
      </c>
      <c r="D5" s="25">
        <f>$E$5*0.25</f>
        <v>9186740339.5</v>
      </c>
      <c r="E5" s="25">
        <f>'Participación 2021'!B12-'Participación 2021'!B11-'Participación 2021'!B5</f>
        <v>36746961358</v>
      </c>
      <c r="F5" s="26"/>
      <c r="G5" s="98">
        <v>7.8576423041586241E-2</v>
      </c>
      <c r="H5" s="1"/>
      <c r="I5" s="25">
        <f>$L$5*0.5</f>
        <v>18373480679</v>
      </c>
      <c r="J5" s="25">
        <f>$L$5*0.25</f>
        <v>9186740339.5</v>
      </c>
      <c r="K5" s="25">
        <f>$L$5*0.25</f>
        <v>9186740339.5</v>
      </c>
      <c r="L5" s="25">
        <f>'Participación 2021'!B12-'Participación 2021'!B11-'Participación 2021'!B5</f>
        <v>36746961358</v>
      </c>
      <c r="M5" s="26"/>
      <c r="O5" s="1"/>
      <c r="P5" s="25">
        <f>$S$5*0.5</f>
        <v>18373480679</v>
      </c>
      <c r="Q5" s="25">
        <f>$S$5*0.25</f>
        <v>9186740339.5</v>
      </c>
      <c r="R5" s="25">
        <f>$S$5*0.25</f>
        <v>9186740339.5</v>
      </c>
      <c r="S5" s="25">
        <f>'Participación 2021'!B12-'Participación 2021'!B11-'Participación 2021'!B5</f>
        <v>36746961358</v>
      </c>
      <c r="T5" s="26"/>
      <c r="U5" s="98">
        <v>7.8576423041586241E-2</v>
      </c>
    </row>
    <row r="6" spans="1:21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</row>
    <row r="7" spans="1:21" ht="13.8" thickTop="1">
      <c r="A7" s="47" t="s">
        <v>1</v>
      </c>
      <c r="B7" s="57">
        <f>IF('Datos Mun'!B5="AMM",$B$5*'Datos Mun'!AC5,0)</f>
        <v>0</v>
      </c>
      <c r="C7" s="51">
        <f>IF('Datos Mun'!B5="AMM",$C$5*'Datos Mun'!AF5,0)</f>
        <v>0</v>
      </c>
      <c r="D7" s="51">
        <f>IF('Datos Mun'!B5="AMM",$D$5*'Datos Mun'!AI5,0)</f>
        <v>0</v>
      </c>
      <c r="E7" s="52">
        <f>SUM(B7:D7)</f>
        <v>0</v>
      </c>
      <c r="F7" s="59">
        <f>E7/$E$58</f>
        <v>0</v>
      </c>
      <c r="G7" s="43"/>
      <c r="H7" s="47" t="s">
        <v>1</v>
      </c>
      <c r="I7" s="50">
        <f>IF('Datos Mun'!B5="AMM",0,$B$5*'Datos Mun'!AC5)</f>
        <v>438135.3811246953</v>
      </c>
      <c r="J7" s="51">
        <f>IF('Datos Mun'!B5="AMM",0,$J$5*'Datos Mun'!AF5)</f>
        <v>5032926.3539818535</v>
      </c>
      <c r="K7" s="51">
        <f>IF('Datos Mun'!B5="AMM",0,$K$5*'Datos Mun'!AI5)</f>
        <v>11046701.756775649</v>
      </c>
      <c r="L7" s="52">
        <f>SUM(I7:K7)</f>
        <v>16517763.491882198</v>
      </c>
      <c r="M7" s="59">
        <f>L7/$L$58</f>
        <v>2.193923538863691E-3</v>
      </c>
      <c r="O7" s="47" t="s">
        <v>1</v>
      </c>
      <c r="P7" s="57">
        <f>IF('Datos Mun'!D5="Zona de Crec",'Datos Mun'!AC5*'Art 14 F I'!$P$5,0)</f>
        <v>0</v>
      </c>
      <c r="Q7" s="51">
        <f>IF('Datos Mun'!D5="Zona de Crec",$Q$5*'Datos Mun'!AF5,0)</f>
        <v>0</v>
      </c>
      <c r="R7" s="51">
        <f>IF('Datos Mun'!D5="Zona de Crec",$R$5*'Datos Mun'!AI5,0)</f>
        <v>0</v>
      </c>
      <c r="S7" s="52">
        <f>SUM(P7:R7)</f>
        <v>0</v>
      </c>
      <c r="T7" s="59">
        <f>S7/$S$58</f>
        <v>0</v>
      </c>
      <c r="U7" s="43"/>
    </row>
    <row r="8" spans="1:21">
      <c r="A8" s="48" t="s">
        <v>2</v>
      </c>
      <c r="B8" s="53">
        <f>IF('Datos Mun'!B6="AMM",$B$5*'Datos Mun'!AC6,0)</f>
        <v>0</v>
      </c>
      <c r="C8" s="53">
        <f>IF('Datos Mun'!B6="AMM",$C$5*'Datos Mun'!AF6,0)</f>
        <v>0</v>
      </c>
      <c r="D8" s="53">
        <f>IF('Datos Mun'!B6="AMM",$D$5*'Datos Mun'!AI6,0)</f>
        <v>0</v>
      </c>
      <c r="E8" s="54">
        <f t="shared" ref="E8:E57" si="0">SUM(B8:D8)</f>
        <v>0</v>
      </c>
      <c r="F8" s="60">
        <f t="shared" ref="F8:F57" si="1">E8/$E$58</f>
        <v>0</v>
      </c>
      <c r="G8" s="43"/>
      <c r="H8" s="48" t="s">
        <v>2</v>
      </c>
      <c r="I8" s="53">
        <f>IF('Datos Mun'!B6="AMM",0,$B$5*'Datos Mun'!AC6)</f>
        <v>2629476.835309132</v>
      </c>
      <c r="J8" s="53">
        <f>IF('Datos Mun'!B6="AMM",0,$J$5*'Datos Mun'!AF6)</f>
        <v>25572334.337143313</v>
      </c>
      <c r="K8" s="53">
        <f>IF('Datos Mun'!B6="AMM",0,$K$5*'Datos Mun'!AI6)</f>
        <v>61554688.924516216</v>
      </c>
      <c r="L8" s="54">
        <f t="shared" ref="L8:L57" si="2">SUM(I8:K8)</f>
        <v>89756500.096968666</v>
      </c>
      <c r="M8" s="60">
        <f t="shared" ref="M8:M57" si="3">L8/$L$58</f>
        <v>1.1921644139385958E-2</v>
      </c>
      <c r="O8" s="48" t="s">
        <v>2</v>
      </c>
      <c r="P8" s="53">
        <f>IF('Datos Mun'!D6="Zona de Crec",'Datos Mun'!AC6*'Art 14 F I'!$P$5,0)</f>
        <v>0</v>
      </c>
      <c r="Q8" s="53">
        <f>IF('Datos Mun'!D6="Zona de Crec",$Q$5*'Datos Mun'!AF6,0)</f>
        <v>0</v>
      </c>
      <c r="R8" s="53">
        <f>IF('Datos Mun'!D6="Zona de Crec",$R$5*'Datos Mun'!AI6,0)</f>
        <v>0</v>
      </c>
      <c r="S8" s="54">
        <f t="shared" ref="S8:S57" si="4">SUM(P8:R8)</f>
        <v>0</v>
      </c>
      <c r="T8" s="60">
        <f t="shared" ref="T8:T57" si="5">S8/$S$58</f>
        <v>0</v>
      </c>
      <c r="U8" s="43"/>
    </row>
    <row r="9" spans="1:21">
      <c r="A9" s="48" t="s">
        <v>3</v>
      </c>
      <c r="B9" s="53">
        <f>IF('Datos Mun'!B7="AMM",$B$5*'Datos Mun'!AC7,0)</f>
        <v>0</v>
      </c>
      <c r="C9" s="53">
        <f>IF('Datos Mun'!B7="AMM",$C$5*'Datos Mun'!AF7,0)</f>
        <v>0</v>
      </c>
      <c r="D9" s="53">
        <f>IF('Datos Mun'!B7="AMM",$D$5*'Datos Mun'!AI7,0)</f>
        <v>0</v>
      </c>
      <c r="E9" s="54">
        <f t="shared" si="0"/>
        <v>0</v>
      </c>
      <c r="F9" s="60">
        <f t="shared" si="1"/>
        <v>0</v>
      </c>
      <c r="G9" s="43"/>
      <c r="H9" s="48" t="s">
        <v>3</v>
      </c>
      <c r="I9" s="53">
        <f>IF('Datos Mun'!B7="AMM",0,$B$5*'Datos Mun'!AC7)</f>
        <v>769848.29292686004</v>
      </c>
      <c r="J9" s="53">
        <f>IF('Datos Mun'!B7="AMM",0,$J$5*'Datos Mun'!AF7)</f>
        <v>16849978.331856787</v>
      </c>
      <c r="K9" s="53">
        <f>IF('Datos Mun'!B7="AMM",0,$K$5*'Datos Mun'!AI7)</f>
        <v>79976725.204088837</v>
      </c>
      <c r="L9" s="54">
        <f t="shared" si="2"/>
        <v>97596551.828872487</v>
      </c>
      <c r="M9" s="60">
        <f t="shared" si="3"/>
        <v>1.2962976039372671E-2</v>
      </c>
      <c r="O9" s="48" t="s">
        <v>3</v>
      </c>
      <c r="P9" s="53">
        <f>IF('Datos Mun'!D7="Zona de Crec",'Datos Mun'!AC7*'Art 14 F I'!$P$5,0)</f>
        <v>0</v>
      </c>
      <c r="Q9" s="53">
        <f>IF('Datos Mun'!D7="Zona de Crec",$Q$5*'Datos Mun'!AF7,0)</f>
        <v>0</v>
      </c>
      <c r="R9" s="53">
        <f>IF('Datos Mun'!D7="Zona de Crec",$R$5*'Datos Mun'!AI7,0)</f>
        <v>0</v>
      </c>
      <c r="S9" s="54">
        <f t="shared" si="4"/>
        <v>0</v>
      </c>
      <c r="T9" s="60">
        <f t="shared" si="5"/>
        <v>0</v>
      </c>
      <c r="U9" s="43"/>
    </row>
    <row r="10" spans="1:21">
      <c r="A10" s="48" t="s">
        <v>4</v>
      </c>
      <c r="B10" s="53">
        <f>IF('Datos Mun'!B8="AMM",$B$5*'Datos Mun'!AC8,0)</f>
        <v>0</v>
      </c>
      <c r="C10" s="53">
        <f>IF('Datos Mun'!B8="AMM",$C$5*'Datos Mun'!AF8,0)</f>
        <v>0</v>
      </c>
      <c r="D10" s="53">
        <f>IF('Datos Mun'!B8="AMM",$D$5*'Datos Mun'!AI8,0)</f>
        <v>0</v>
      </c>
      <c r="E10" s="54">
        <f t="shared" si="0"/>
        <v>0</v>
      </c>
      <c r="F10" s="60">
        <f t="shared" si="1"/>
        <v>0</v>
      </c>
      <c r="G10" s="43"/>
      <c r="H10" s="48" t="s">
        <v>4</v>
      </c>
      <c r="I10" s="53">
        <f>IF('Datos Mun'!B8="AMM",0,$B$5*'Datos Mun'!AC8)</f>
        <v>166357224.34662363</v>
      </c>
      <c r="J10" s="53">
        <f>IF('Datos Mun'!B8="AMM",0,$J$5*'Datos Mun'!AF8)</f>
        <v>51726623.453928515</v>
      </c>
      <c r="K10" s="53">
        <f>IF('Datos Mun'!B8="AMM",0,$K$5*'Datos Mun'!AI8)</f>
        <v>139542902.4635683</v>
      </c>
      <c r="L10" s="54">
        <f t="shared" si="2"/>
        <v>357626750.26412046</v>
      </c>
      <c r="M10" s="60">
        <f t="shared" si="3"/>
        <v>4.7500725259650448E-2</v>
      </c>
      <c r="O10" s="48" t="s">
        <v>4</v>
      </c>
      <c r="P10" s="53">
        <f>IF('Datos Mun'!D8="Zona de Crec",'Datos Mun'!AC8*'Art 14 F I'!$P$5,0)</f>
        <v>0</v>
      </c>
      <c r="Q10" s="53">
        <f>IF('Datos Mun'!D8="Zona de Crec",$Q$5*'Datos Mun'!AF8,0)</f>
        <v>0</v>
      </c>
      <c r="R10" s="53">
        <f>IF('Datos Mun'!D8="Zona de Crec",$R$5*'Datos Mun'!AI8,0)</f>
        <v>0</v>
      </c>
      <c r="S10" s="54">
        <f t="shared" si="4"/>
        <v>0</v>
      </c>
      <c r="T10" s="60">
        <f t="shared" si="5"/>
        <v>0</v>
      </c>
      <c r="U10" s="43"/>
    </row>
    <row r="11" spans="1:21">
      <c r="A11" s="48" t="s">
        <v>5</v>
      </c>
      <c r="B11" s="53">
        <f>IF('Datos Mun'!B9="AMM",$B$5*'Datos Mun'!AC9,0)</f>
        <v>0</v>
      </c>
      <c r="C11" s="53">
        <f>IF('Datos Mun'!B9="AMM",$C$5*'Datos Mun'!AF9,0)</f>
        <v>0</v>
      </c>
      <c r="D11" s="53">
        <f>IF('Datos Mun'!B9="AMM",$D$5*'Datos Mun'!AI9,0)</f>
        <v>0</v>
      </c>
      <c r="E11" s="54">
        <f t="shared" si="0"/>
        <v>0</v>
      </c>
      <c r="F11" s="60">
        <f t="shared" si="1"/>
        <v>0</v>
      </c>
      <c r="G11" s="43"/>
      <c r="H11" s="48" t="s">
        <v>5</v>
      </c>
      <c r="I11" s="53">
        <f>IF('Datos Mun'!B9="AMM",0,$B$5*'Datos Mun'!AC9)</f>
        <v>7218773.8829738991</v>
      </c>
      <c r="J11" s="53">
        <f>IF('Datos Mun'!B9="AMM",0,$J$5*'Datos Mun'!AF9)</f>
        <v>122462551.21159029</v>
      </c>
      <c r="K11" s="53">
        <f>IF('Datos Mun'!B9="AMM",0,$K$5*'Datos Mun'!AI9)</f>
        <v>136862647.1218228</v>
      </c>
      <c r="L11" s="54">
        <f t="shared" si="2"/>
        <v>266543972.21638697</v>
      </c>
      <c r="M11" s="60">
        <f t="shared" si="3"/>
        <v>3.5402922137440403E-2</v>
      </c>
      <c r="O11" s="48" t="s">
        <v>5</v>
      </c>
      <c r="P11" s="53">
        <f>IF('Datos Mun'!D9="Zona de Crec",'Datos Mun'!AC9*'Art 14 F I'!$P$5,0)</f>
        <v>0</v>
      </c>
      <c r="Q11" s="53">
        <f>IF('Datos Mun'!D9="Zona de Crec",$Q$5*'Datos Mun'!AF9,0)</f>
        <v>0</v>
      </c>
      <c r="R11" s="53">
        <f>IF('Datos Mun'!D9="Zona de Crec",$R$5*'Datos Mun'!AI9,0)</f>
        <v>0</v>
      </c>
      <c r="S11" s="54">
        <f t="shared" si="4"/>
        <v>0</v>
      </c>
      <c r="T11" s="60">
        <f t="shared" si="5"/>
        <v>0</v>
      </c>
      <c r="U11" s="43"/>
    </row>
    <row r="12" spans="1:21">
      <c r="A12" s="48" t="s">
        <v>6</v>
      </c>
      <c r="B12" s="53">
        <f>IF('Datos Mun'!B10="AMM",$B$5*'Datos Mun'!AC10,0)</f>
        <v>1523125689.5651045</v>
      </c>
      <c r="C12" s="53">
        <f>IF('Datos Mun'!B10="AMM",$C$5*'Datos Mun'!AF10,0)</f>
        <v>891303608.18833518</v>
      </c>
      <c r="D12" s="53">
        <f>IF('Datos Mun'!B10="AMM",$D$5*'Datos Mun'!AI10,0)</f>
        <v>367205825.08691543</v>
      </c>
      <c r="E12" s="54">
        <f t="shared" si="0"/>
        <v>2781635122.8403554</v>
      </c>
      <c r="F12" s="60">
        <f t="shared" si="1"/>
        <v>9.5202490072544749E-2</v>
      </c>
      <c r="G12" s="43"/>
      <c r="H12" s="48" t="s">
        <v>6</v>
      </c>
      <c r="I12" s="53">
        <f>IF('Datos Mun'!B10="AMM",0,$B$5*'Datos Mun'!AC10)</f>
        <v>0</v>
      </c>
      <c r="J12" s="53">
        <f>IF('Datos Mun'!B10="AMM",0,$J$5*'Datos Mun'!AF10)</f>
        <v>0</v>
      </c>
      <c r="K12" s="53">
        <f>IF('Datos Mun'!B10="AMM",0,$K$5*'Datos Mun'!AI10)</f>
        <v>0</v>
      </c>
      <c r="L12" s="54">
        <f t="shared" si="2"/>
        <v>0</v>
      </c>
      <c r="M12" s="60">
        <f t="shared" si="3"/>
        <v>0</v>
      </c>
      <c r="O12" s="48" t="s">
        <v>6</v>
      </c>
      <c r="P12" s="53">
        <f>IF('Datos Mun'!D10="Zona de Crec",'Datos Mun'!AC10*'Art 14 F I'!$P$5,0)</f>
        <v>1523125689.5651045</v>
      </c>
      <c r="Q12" s="53">
        <f>IF('Datos Mun'!D10="Zona de Crec",$Q$5*'Datos Mun'!AF10,0)</f>
        <v>891303608.18833518</v>
      </c>
      <c r="R12" s="53">
        <f>IF('Datos Mun'!D10="Zona de Crec",$R$5*'Datos Mun'!AI10,0)</f>
        <v>367205825.08691543</v>
      </c>
      <c r="S12" s="54">
        <f t="shared" si="4"/>
        <v>2781635122.8403554</v>
      </c>
      <c r="T12" s="60">
        <f t="shared" si="5"/>
        <v>0.2680969319079935</v>
      </c>
      <c r="U12" s="43"/>
    </row>
    <row r="13" spans="1:21">
      <c r="A13" s="48" t="s">
        <v>7</v>
      </c>
      <c r="B13" s="53">
        <f>IF('Datos Mun'!B11="AMM",$B$5*'Datos Mun'!AC11,0)</f>
        <v>0</v>
      </c>
      <c r="C13" s="53">
        <f>IF('Datos Mun'!B11="AMM",$C$5*'Datos Mun'!AF11,0)</f>
        <v>0</v>
      </c>
      <c r="D13" s="53">
        <f>IF('Datos Mun'!B11="AMM",$D$5*'Datos Mun'!AI11,0)</f>
        <v>0</v>
      </c>
      <c r="E13" s="54">
        <f t="shared" si="0"/>
        <v>0</v>
      </c>
      <c r="F13" s="60">
        <f t="shared" si="1"/>
        <v>0</v>
      </c>
      <c r="G13" s="43"/>
      <c r="H13" s="48" t="s">
        <v>7</v>
      </c>
      <c r="I13" s="53">
        <f>IF('Datos Mun'!B11="AMM",0,$B$5*'Datos Mun'!AC11)</f>
        <v>3911164.4337430606</v>
      </c>
      <c r="J13" s="53">
        <f>IF('Datos Mun'!B11="AMM",0,$J$5*'Datos Mun'!AF11)</f>
        <v>77418759.860101044</v>
      </c>
      <c r="K13" s="53">
        <f>IF('Datos Mun'!B11="AMM",0,$K$5*'Datos Mun'!AI11)</f>
        <v>300512534.41299039</v>
      </c>
      <c r="L13" s="54">
        <f t="shared" si="2"/>
        <v>381842458.7068345</v>
      </c>
      <c r="M13" s="60">
        <f t="shared" si="3"/>
        <v>5.0717105781676958E-2</v>
      </c>
      <c r="O13" s="48" t="s">
        <v>7</v>
      </c>
      <c r="P13" s="53">
        <f>IF('Datos Mun'!D11="Zona de Crec",'Datos Mun'!AC11*'Art 14 F I'!$P$5,0)</f>
        <v>0</v>
      </c>
      <c r="Q13" s="53">
        <f>IF('Datos Mun'!D11="Zona de Crec",$Q$5*'Datos Mun'!AF11,0)</f>
        <v>0</v>
      </c>
      <c r="R13" s="53">
        <f>IF('Datos Mun'!D11="Zona de Crec",$R$5*'Datos Mun'!AI11,0)</f>
        <v>0</v>
      </c>
      <c r="S13" s="54">
        <f t="shared" si="4"/>
        <v>0</v>
      </c>
      <c r="T13" s="60">
        <f t="shared" si="5"/>
        <v>0</v>
      </c>
      <c r="U13" s="43"/>
    </row>
    <row r="14" spans="1:21">
      <c r="A14" s="48" t="s">
        <v>8</v>
      </c>
      <c r="B14" s="53">
        <f>IF('Datos Mun'!B12="AMM",$B$5*'Datos Mun'!AC12,0)</f>
        <v>0</v>
      </c>
      <c r="C14" s="53">
        <f>IF('Datos Mun'!B12="AMM",$C$5*'Datos Mun'!AF12,0)</f>
        <v>0</v>
      </c>
      <c r="D14" s="53">
        <f>IF('Datos Mun'!B12="AMM",$D$5*'Datos Mun'!AI12,0)</f>
        <v>0</v>
      </c>
      <c r="E14" s="54">
        <f t="shared" si="0"/>
        <v>0</v>
      </c>
      <c r="F14" s="60">
        <f t="shared" si="1"/>
        <v>0</v>
      </c>
      <c r="G14" s="43"/>
      <c r="H14" s="48" t="s">
        <v>8</v>
      </c>
      <c r="I14" s="53">
        <f>IF('Datos Mun'!B12="AMM",0,$B$5*'Datos Mun'!AC12)</f>
        <v>3017543.891386379</v>
      </c>
      <c r="J14" s="53">
        <f>IF('Datos Mun'!B12="AMM",0,$J$5*'Datos Mun'!AF12)</f>
        <v>14933275.534183063</v>
      </c>
      <c r="K14" s="53">
        <f>IF('Datos Mun'!B12="AMM",0,$K$5*'Datos Mun'!AI12)</f>
        <v>31640741.003507193</v>
      </c>
      <c r="L14" s="54">
        <f t="shared" si="2"/>
        <v>49591560.429076634</v>
      </c>
      <c r="M14" s="60">
        <f t="shared" si="3"/>
        <v>6.5868537110246907E-3</v>
      </c>
      <c r="O14" s="48" t="s">
        <v>8</v>
      </c>
      <c r="P14" s="53">
        <f>IF('Datos Mun'!D12="Zona de Crec",'Datos Mun'!AC12*'Art 14 F I'!$P$5,0)</f>
        <v>0</v>
      </c>
      <c r="Q14" s="53">
        <f>IF('Datos Mun'!D12="Zona de Crec",$Q$5*'Datos Mun'!AF12,0)</f>
        <v>0</v>
      </c>
      <c r="R14" s="53">
        <f>IF('Datos Mun'!D12="Zona de Crec",$R$5*'Datos Mun'!AI12,0)</f>
        <v>0</v>
      </c>
      <c r="S14" s="54">
        <f t="shared" si="4"/>
        <v>0</v>
      </c>
      <c r="T14" s="60">
        <f t="shared" si="5"/>
        <v>0</v>
      </c>
      <c r="U14" s="43"/>
    </row>
    <row r="15" spans="1:21">
      <c r="A15" s="48" t="s">
        <v>9</v>
      </c>
      <c r="B15" s="53">
        <f>IF('Datos Mun'!B13="AMM",$B$5*'Datos Mun'!AC13,0)</f>
        <v>91001708.498704717</v>
      </c>
      <c r="C15" s="53">
        <f>IF('Datos Mun'!B13="AMM",$C$5*'Datos Mun'!AF13,0)</f>
        <v>189631789.62280059</v>
      </c>
      <c r="D15" s="53">
        <f>IF('Datos Mun'!B13="AMM",$D$5*'Datos Mun'!AI13,0)</f>
        <v>195443823.00938523</v>
      </c>
      <c r="E15" s="54">
        <f t="shared" si="0"/>
        <v>476077321.13089055</v>
      </c>
      <c r="F15" s="60">
        <f t="shared" si="1"/>
        <v>1.6293922256937415E-2</v>
      </c>
      <c r="G15" s="43"/>
      <c r="H15" s="48" t="s">
        <v>9</v>
      </c>
      <c r="I15" s="53">
        <f>IF('Datos Mun'!B13="AMM",0,$B$5*'Datos Mun'!AC13)</f>
        <v>0</v>
      </c>
      <c r="J15" s="53">
        <f>IF('Datos Mun'!B13="AMM",0,$J$5*'Datos Mun'!AF13)</f>
        <v>0</v>
      </c>
      <c r="K15" s="53">
        <f>IF('Datos Mun'!B13="AMM",0,$K$5*'Datos Mun'!AI13)</f>
        <v>0</v>
      </c>
      <c r="L15" s="54">
        <f t="shared" si="2"/>
        <v>0</v>
      </c>
      <c r="M15" s="60">
        <f t="shared" si="3"/>
        <v>0</v>
      </c>
      <c r="O15" s="48" t="s">
        <v>9</v>
      </c>
      <c r="P15" s="53">
        <f>IF('Datos Mun'!D13="Zona de Crec",'Datos Mun'!AC13*'Art 14 F I'!$P$5,0)</f>
        <v>91001708.498704717</v>
      </c>
      <c r="Q15" s="53">
        <f>IF('Datos Mun'!D13="Zona de Crec",$Q$5*'Datos Mun'!AF13,0)</f>
        <v>189631789.62280059</v>
      </c>
      <c r="R15" s="53">
        <f>IF('Datos Mun'!D13="Zona de Crec",$R$5*'Datos Mun'!AI13,0)</f>
        <v>195443823.00938523</v>
      </c>
      <c r="S15" s="54">
        <f t="shared" si="4"/>
        <v>476077321.13089055</v>
      </c>
      <c r="T15" s="60">
        <f t="shared" si="5"/>
        <v>4.5884835181344369E-2</v>
      </c>
      <c r="U15" s="43"/>
    </row>
    <row r="16" spans="1:21">
      <c r="A16" s="48" t="s">
        <v>10</v>
      </c>
      <c r="B16" s="53">
        <f>IF('Datos Mun'!B14="AMM",$B$5*'Datos Mun'!AC14,0)</f>
        <v>0</v>
      </c>
      <c r="C16" s="53">
        <f>IF('Datos Mun'!B14="AMM",$C$5*'Datos Mun'!AF14,0)</f>
        <v>0</v>
      </c>
      <c r="D16" s="53">
        <f>IF('Datos Mun'!B14="AMM",$D$5*'Datos Mun'!AI14,0)</f>
        <v>0</v>
      </c>
      <c r="E16" s="54">
        <f t="shared" si="0"/>
        <v>0</v>
      </c>
      <c r="F16" s="60">
        <f t="shared" si="1"/>
        <v>0</v>
      </c>
      <c r="G16" s="43"/>
      <c r="H16" s="48" t="s">
        <v>10</v>
      </c>
      <c r="I16" s="53">
        <f>IF('Datos Mun'!B14="AMM",0,$B$5*'Datos Mun'!AC14)</f>
        <v>10893478.059629684</v>
      </c>
      <c r="J16" s="53">
        <f>IF('Datos Mun'!B14="AMM",0,$J$5*'Datos Mun'!AF14)</f>
        <v>143237300.68430915</v>
      </c>
      <c r="K16" s="53">
        <f>IF('Datos Mun'!B14="AMM",0,$K$5*'Datos Mun'!AI14)</f>
        <v>37235992.594457395</v>
      </c>
      <c r="L16" s="54">
        <f t="shared" si="2"/>
        <v>191366771.33839622</v>
      </c>
      <c r="M16" s="60">
        <f t="shared" si="3"/>
        <v>2.5417730699558033E-2</v>
      </c>
      <c r="O16" s="48" t="s">
        <v>10</v>
      </c>
      <c r="P16" s="53">
        <f>IF('Datos Mun'!D14="Zona de Crec",'Datos Mun'!AC14*'Art 14 F I'!$P$5,0)</f>
        <v>10893478.059629684</v>
      </c>
      <c r="Q16" s="53">
        <f>IF('Datos Mun'!D14="Zona de Crec",$Q$5*'Datos Mun'!AF14,0)</f>
        <v>143237300.68430915</v>
      </c>
      <c r="R16" s="53">
        <f>IF('Datos Mun'!D14="Zona de Crec",$R$5*'Datos Mun'!AI14,0)</f>
        <v>37235992.594457395</v>
      </c>
      <c r="S16" s="54">
        <f t="shared" si="4"/>
        <v>191366771.33839622</v>
      </c>
      <c r="T16" s="60">
        <f t="shared" si="5"/>
        <v>1.844413159860258E-2</v>
      </c>
      <c r="U16" s="43"/>
    </row>
    <row r="17" spans="1:21">
      <c r="A17" s="48" t="s">
        <v>11</v>
      </c>
      <c r="B17" s="53">
        <f>IF('Datos Mun'!B15="AMM",$B$5*'Datos Mun'!AC15,0)</f>
        <v>0</v>
      </c>
      <c r="C17" s="53">
        <f>IF('Datos Mun'!B15="AMM",$C$5*'Datos Mun'!AF15,0)</f>
        <v>0</v>
      </c>
      <c r="D17" s="53">
        <f>IF('Datos Mun'!B15="AMM",$D$5*'Datos Mun'!AI15,0)</f>
        <v>0</v>
      </c>
      <c r="E17" s="54">
        <f t="shared" si="0"/>
        <v>0</v>
      </c>
      <c r="F17" s="60">
        <f t="shared" si="1"/>
        <v>0</v>
      </c>
      <c r="G17" s="43"/>
      <c r="H17" s="48" t="s">
        <v>11</v>
      </c>
      <c r="I17" s="53">
        <f>IF('Datos Mun'!B15="AMM",0,$B$5*'Datos Mun'!AC15)</f>
        <v>8338803.8986649746</v>
      </c>
      <c r="J17" s="53">
        <f>IF('Datos Mun'!B15="AMM",0,$J$5*'Datos Mun'!AF15)</f>
        <v>31514118.824602634</v>
      </c>
      <c r="K17" s="53">
        <f>IF('Datos Mun'!B15="AMM",0,$K$5*'Datos Mun'!AI15)</f>
        <v>77779160.517673656</v>
      </c>
      <c r="L17" s="54">
        <f t="shared" si="2"/>
        <v>117632083.24094126</v>
      </c>
      <c r="M17" s="60">
        <f t="shared" si="3"/>
        <v>1.5624136795196747E-2</v>
      </c>
      <c r="O17" s="48" t="s">
        <v>11</v>
      </c>
      <c r="P17" s="53">
        <f>IF('Datos Mun'!D15="Zona de Crec",'Datos Mun'!AC15*'Art 14 F I'!$P$5,0)</f>
        <v>0</v>
      </c>
      <c r="Q17" s="53">
        <f>IF('Datos Mun'!D15="Zona de Crec",$Q$5*'Datos Mun'!AF15,0)</f>
        <v>0</v>
      </c>
      <c r="R17" s="53">
        <f>IF('Datos Mun'!D15="Zona de Crec",$R$5*'Datos Mun'!AI15,0)</f>
        <v>0</v>
      </c>
      <c r="S17" s="54">
        <f t="shared" si="4"/>
        <v>0</v>
      </c>
      <c r="T17" s="60">
        <f t="shared" si="5"/>
        <v>0</v>
      </c>
      <c r="U17" s="43"/>
    </row>
    <row r="18" spans="1:21">
      <c r="A18" s="48" t="s">
        <v>12</v>
      </c>
      <c r="B18" s="53">
        <f>IF('Datos Mun'!B16="AMM",$B$5*'Datos Mun'!AC16,0)</f>
        <v>0</v>
      </c>
      <c r="C18" s="53">
        <f>IF('Datos Mun'!B16="AMM",$C$5*'Datos Mun'!AF16,0)</f>
        <v>0</v>
      </c>
      <c r="D18" s="53">
        <f>IF('Datos Mun'!B16="AMM",$D$5*'Datos Mun'!AI16,0)</f>
        <v>0</v>
      </c>
      <c r="E18" s="54">
        <f t="shared" si="0"/>
        <v>0</v>
      </c>
      <c r="F18" s="60">
        <f t="shared" si="1"/>
        <v>0</v>
      </c>
      <c r="G18" s="43"/>
      <c r="H18" s="48" t="s">
        <v>12</v>
      </c>
      <c r="I18" s="53">
        <f>IF('Datos Mun'!B16="AMM",0,$B$5*'Datos Mun'!AC16)</f>
        <v>5059176.1494015027</v>
      </c>
      <c r="J18" s="53">
        <f>IF('Datos Mun'!B16="AMM",0,$J$5*'Datos Mun'!AF16)</f>
        <v>105502198.17508473</v>
      </c>
      <c r="K18" s="53">
        <f>IF('Datos Mun'!B16="AMM",0,$K$5*'Datos Mun'!AI16)</f>
        <v>145753713.45866686</v>
      </c>
      <c r="L18" s="54">
        <f t="shared" si="2"/>
        <v>256315087.78315309</v>
      </c>
      <c r="M18" s="60">
        <f t="shared" si="3"/>
        <v>3.4044300533164665E-2</v>
      </c>
      <c r="O18" s="48" t="s">
        <v>12</v>
      </c>
      <c r="P18" s="53">
        <f>IF('Datos Mun'!D16="Zona de Crec",'Datos Mun'!AC16*'Art 14 F I'!$P$5,0)</f>
        <v>0</v>
      </c>
      <c r="Q18" s="53">
        <f>IF('Datos Mun'!D16="Zona de Crec",$Q$5*'Datos Mun'!AF16,0)</f>
        <v>0</v>
      </c>
      <c r="R18" s="53">
        <f>IF('Datos Mun'!D16="Zona de Crec",$R$5*'Datos Mun'!AI16,0)</f>
        <v>0</v>
      </c>
      <c r="S18" s="54">
        <f t="shared" si="4"/>
        <v>0</v>
      </c>
      <c r="T18" s="60">
        <f t="shared" si="5"/>
        <v>0</v>
      </c>
      <c r="U18" s="43"/>
    </row>
    <row r="19" spans="1:21">
      <c r="A19" s="48" t="s">
        <v>13</v>
      </c>
      <c r="B19" s="53">
        <f>IF('Datos Mun'!B17="AMM",$B$5*'Datos Mun'!AC17,0)</f>
        <v>0</v>
      </c>
      <c r="C19" s="53">
        <f>IF('Datos Mun'!B17="AMM",$C$5*'Datos Mun'!AF17,0)</f>
        <v>0</v>
      </c>
      <c r="D19" s="53">
        <f>IF('Datos Mun'!B17="AMM",$D$5*'Datos Mun'!AI17,0)</f>
        <v>0</v>
      </c>
      <c r="E19" s="54">
        <f t="shared" si="0"/>
        <v>0</v>
      </c>
      <c r="F19" s="60">
        <f t="shared" si="1"/>
        <v>0</v>
      </c>
      <c r="G19" s="43"/>
      <c r="H19" s="48" t="s">
        <v>13</v>
      </c>
      <c r="I19" s="53">
        <f>IF('Datos Mun'!B17="AMM",0,$B$5*'Datos Mun'!AC17)</f>
        <v>42736661.941226959</v>
      </c>
      <c r="J19" s="53">
        <f>IF('Datos Mun'!B17="AMM",0,$J$5*'Datos Mun'!AF17)</f>
        <v>95950099.946529627</v>
      </c>
      <c r="K19" s="53">
        <f>IF('Datos Mun'!B17="AMM",0,$K$5*'Datos Mun'!AI17)</f>
        <v>28513508.526420005</v>
      </c>
      <c r="L19" s="54">
        <f t="shared" si="2"/>
        <v>167200270.41417658</v>
      </c>
      <c r="M19" s="60">
        <f t="shared" si="3"/>
        <v>2.2207886021997813E-2</v>
      </c>
      <c r="O19" s="48" t="s">
        <v>13</v>
      </c>
      <c r="P19" s="53">
        <f>IF('Datos Mun'!D17="Zona de Crec",'Datos Mun'!AC17*'Art 14 F I'!$P$5,0)</f>
        <v>42736661.941226959</v>
      </c>
      <c r="Q19" s="53">
        <f>IF('Datos Mun'!D17="Zona de Crec",$Q$5*'Datos Mun'!AF17,0)</f>
        <v>95950099.946529627</v>
      </c>
      <c r="R19" s="53">
        <f>IF('Datos Mun'!D17="Zona de Crec",$R$5*'Datos Mun'!AI17,0)</f>
        <v>28513508.526420005</v>
      </c>
      <c r="S19" s="54">
        <f t="shared" si="4"/>
        <v>167200270.41417658</v>
      </c>
      <c r="T19" s="60">
        <f t="shared" si="5"/>
        <v>1.611493870786886E-2</v>
      </c>
      <c r="U19" s="43"/>
    </row>
    <row r="20" spans="1:21">
      <c r="A20" s="48" t="s">
        <v>14</v>
      </c>
      <c r="B20" s="53">
        <f>IF('Datos Mun'!B18="AMM",$B$5*'Datos Mun'!AC18,0)</f>
        <v>0</v>
      </c>
      <c r="C20" s="53">
        <f>IF('Datos Mun'!B18="AMM",$C$5*'Datos Mun'!AF18,0)</f>
        <v>0</v>
      </c>
      <c r="D20" s="53">
        <f>IF('Datos Mun'!B18="AMM",$D$5*'Datos Mun'!AI18,0)</f>
        <v>0</v>
      </c>
      <c r="E20" s="54">
        <f t="shared" si="0"/>
        <v>0</v>
      </c>
      <c r="F20" s="60">
        <f t="shared" si="1"/>
        <v>0</v>
      </c>
      <c r="G20" s="43"/>
      <c r="H20" s="48" t="s">
        <v>14</v>
      </c>
      <c r="I20" s="53">
        <f>IF('Datos Mun'!B18="AMM",0,$B$5*'Datos Mun'!AC18)</f>
        <v>850476.4582333765</v>
      </c>
      <c r="J20" s="53">
        <f>IF('Datos Mun'!B18="AMM",0,$J$5*'Datos Mun'!AF18)</f>
        <v>157961712.92458177</v>
      </c>
      <c r="K20" s="53">
        <f>IF('Datos Mun'!B18="AMM",0,$K$5*'Datos Mun'!AI18)</f>
        <v>704192038.29627955</v>
      </c>
      <c r="L20" s="54">
        <f t="shared" si="2"/>
        <v>863004227.67909467</v>
      </c>
      <c r="M20" s="60">
        <f t="shared" si="3"/>
        <v>0.11462600794439014</v>
      </c>
      <c r="O20" s="48" t="s">
        <v>14</v>
      </c>
      <c r="P20" s="53">
        <f>IF('Datos Mun'!D18="Zona de Crec",'Datos Mun'!AC18*'Art 14 F I'!$P$5,0)</f>
        <v>0</v>
      </c>
      <c r="Q20" s="53">
        <f>IF('Datos Mun'!D18="Zona de Crec",$Q$5*'Datos Mun'!AF18,0)</f>
        <v>0</v>
      </c>
      <c r="R20" s="53">
        <f>IF('Datos Mun'!D18="Zona de Crec",$R$5*'Datos Mun'!AI18,0)</f>
        <v>0</v>
      </c>
      <c r="S20" s="54">
        <f t="shared" si="4"/>
        <v>0</v>
      </c>
      <c r="T20" s="60">
        <f t="shared" si="5"/>
        <v>0</v>
      </c>
      <c r="U20" s="43"/>
    </row>
    <row r="21" spans="1:21">
      <c r="A21" s="48" t="s">
        <v>15</v>
      </c>
      <c r="B21" s="53">
        <f>IF('Datos Mun'!B19="AMM",$B$5*'Datos Mun'!AC19,0)</f>
        <v>0</v>
      </c>
      <c r="C21" s="53">
        <f>IF('Datos Mun'!B19="AMM",$C$5*'Datos Mun'!AF19,0)</f>
        <v>0</v>
      </c>
      <c r="D21" s="53">
        <f>IF('Datos Mun'!B19="AMM",$D$5*'Datos Mun'!AI19,0)</f>
        <v>0</v>
      </c>
      <c r="E21" s="54">
        <f t="shared" si="0"/>
        <v>0</v>
      </c>
      <c r="F21" s="60">
        <f t="shared" si="1"/>
        <v>0</v>
      </c>
      <c r="G21" s="43"/>
      <c r="H21" s="48" t="s">
        <v>15</v>
      </c>
      <c r="I21" s="53">
        <f>IF('Datos Mun'!B19="AMM",0,$B$5*'Datos Mun'!AC19)</f>
        <v>836858.22758070729</v>
      </c>
      <c r="J21" s="53">
        <f>IF('Datos Mun'!B19="AMM",0,$J$5*'Datos Mun'!AF19)</f>
        <v>17301298.692807667</v>
      </c>
      <c r="K21" s="53">
        <f>IF('Datos Mun'!B19="AMM",0,$K$5*'Datos Mun'!AI19)</f>
        <v>92172920.347085565</v>
      </c>
      <c r="L21" s="54">
        <f t="shared" si="2"/>
        <v>110311077.26747394</v>
      </c>
      <c r="M21" s="60">
        <f t="shared" si="3"/>
        <v>1.4651745627273479E-2</v>
      </c>
      <c r="O21" s="48" t="s">
        <v>15</v>
      </c>
      <c r="P21" s="53">
        <f>IF('Datos Mun'!D19="Zona de Crec",'Datos Mun'!AC19*'Art 14 F I'!$P$5,0)</f>
        <v>0</v>
      </c>
      <c r="Q21" s="53">
        <f>IF('Datos Mun'!D19="Zona de Crec",$Q$5*'Datos Mun'!AF19,0)</f>
        <v>0</v>
      </c>
      <c r="R21" s="53">
        <f>IF('Datos Mun'!D19="Zona de Crec",$R$5*'Datos Mun'!AI19,0)</f>
        <v>0</v>
      </c>
      <c r="S21" s="54">
        <f t="shared" si="4"/>
        <v>0</v>
      </c>
      <c r="T21" s="60">
        <f t="shared" si="5"/>
        <v>0</v>
      </c>
      <c r="U21" s="43"/>
    </row>
    <row r="22" spans="1:21">
      <c r="A22" s="48" t="s">
        <v>16</v>
      </c>
      <c r="B22" s="53">
        <f>IF('Datos Mun'!B20="AMM",$B$5*'Datos Mun'!AC20,0)</f>
        <v>0</v>
      </c>
      <c r="C22" s="53">
        <f>IF('Datos Mun'!B20="AMM",$C$5*'Datos Mun'!AF20,0)</f>
        <v>0</v>
      </c>
      <c r="D22" s="53">
        <f>IF('Datos Mun'!B20="AMM",$D$5*'Datos Mun'!AI20,0)</f>
        <v>0</v>
      </c>
      <c r="E22" s="54">
        <f t="shared" si="0"/>
        <v>0</v>
      </c>
      <c r="F22" s="60">
        <f t="shared" si="1"/>
        <v>0</v>
      </c>
      <c r="G22" s="43"/>
      <c r="H22" s="48" t="s">
        <v>16</v>
      </c>
      <c r="I22" s="53">
        <f>IF('Datos Mun'!B20="AMM",0,$B$5*'Datos Mun'!AC20)</f>
        <v>1958960.954852358</v>
      </c>
      <c r="J22" s="53">
        <f>IF('Datos Mun'!B20="AMM",0,$J$5*'Datos Mun'!AF20)</f>
        <v>17608619.752527107</v>
      </c>
      <c r="K22" s="53">
        <f>IF('Datos Mun'!B20="AMM",0,$K$5*'Datos Mun'!AI20)</f>
        <v>22299469.780065015</v>
      </c>
      <c r="L22" s="54">
        <f t="shared" si="2"/>
        <v>41867050.487444475</v>
      </c>
      <c r="M22" s="60">
        <f t="shared" si="3"/>
        <v>5.5608683107940763E-3</v>
      </c>
      <c r="O22" s="48" t="s">
        <v>16</v>
      </c>
      <c r="P22" s="53">
        <f>IF('Datos Mun'!D20="Zona de Crec",'Datos Mun'!AC20*'Art 14 F I'!$P$5,0)</f>
        <v>0</v>
      </c>
      <c r="Q22" s="53">
        <f>IF('Datos Mun'!D20="Zona de Crec",$Q$5*'Datos Mun'!AF20,0)</f>
        <v>0</v>
      </c>
      <c r="R22" s="53">
        <f>IF('Datos Mun'!D20="Zona de Crec",$R$5*'Datos Mun'!AI20,0)</f>
        <v>0</v>
      </c>
      <c r="S22" s="54">
        <f t="shared" si="4"/>
        <v>0</v>
      </c>
      <c r="T22" s="60">
        <f t="shared" si="5"/>
        <v>0</v>
      </c>
      <c r="U22" s="43"/>
    </row>
    <row r="23" spans="1:21">
      <c r="A23" s="48" t="s">
        <v>17</v>
      </c>
      <c r="B23" s="53">
        <f>IF('Datos Mun'!B21="AMM",$B$5*'Datos Mun'!AC21,0)</f>
        <v>0</v>
      </c>
      <c r="C23" s="53">
        <f>IF('Datos Mun'!B21="AMM",$C$5*'Datos Mun'!AF21,0)</f>
        <v>0</v>
      </c>
      <c r="D23" s="53">
        <f>IF('Datos Mun'!B21="AMM",$D$5*'Datos Mun'!AI21,0)</f>
        <v>0</v>
      </c>
      <c r="E23" s="54">
        <f t="shared" si="0"/>
        <v>0</v>
      </c>
      <c r="F23" s="60">
        <f t="shared" si="1"/>
        <v>0</v>
      </c>
      <c r="G23" s="43"/>
      <c r="H23" s="48" t="s">
        <v>17</v>
      </c>
      <c r="I23" s="53">
        <f>IF('Datos Mun'!B21="AMM",0,$B$5*'Datos Mun'!AC21)</f>
        <v>1660283.8660647597</v>
      </c>
      <c r="J23" s="53">
        <f>IF('Datos Mun'!B21="AMM",0,$J$5*'Datos Mun'!AF21)</f>
        <v>205651993.00556061</v>
      </c>
      <c r="K23" s="53">
        <f>IF('Datos Mun'!B21="AMM",0,$K$5*'Datos Mun'!AI21)</f>
        <v>429757578.70262009</v>
      </c>
      <c r="L23" s="54">
        <f t="shared" si="2"/>
        <v>637069855.57424545</v>
      </c>
      <c r="M23" s="60">
        <f t="shared" si="3"/>
        <v>8.4616936955885874E-2</v>
      </c>
      <c r="O23" s="48" t="s">
        <v>17</v>
      </c>
      <c r="P23" s="53">
        <f>IF('Datos Mun'!D21="Zona de Crec",'Datos Mun'!AC21*'Art 14 F I'!$P$5,0)</f>
        <v>0</v>
      </c>
      <c r="Q23" s="53">
        <f>IF('Datos Mun'!D21="Zona de Crec",$Q$5*'Datos Mun'!AF21,0)</f>
        <v>0</v>
      </c>
      <c r="R23" s="53">
        <f>IF('Datos Mun'!D21="Zona de Crec",$R$5*'Datos Mun'!AI21,0)</f>
        <v>0</v>
      </c>
      <c r="S23" s="54">
        <f t="shared" si="4"/>
        <v>0</v>
      </c>
      <c r="T23" s="60">
        <f t="shared" si="5"/>
        <v>0</v>
      </c>
      <c r="U23" s="43"/>
    </row>
    <row r="24" spans="1:21">
      <c r="A24" s="48" t="s">
        <v>18</v>
      </c>
      <c r="B24" s="53">
        <f>IF('Datos Mun'!B22="AMM",$B$5*'Datos Mun'!AC22,0)</f>
        <v>247951091.11827227</v>
      </c>
      <c r="C24" s="53">
        <f>IF('Datos Mun'!B22="AMM",$C$5*'Datos Mun'!AF22,0)</f>
        <v>558524521.80476177</v>
      </c>
      <c r="D24" s="53">
        <f>IF('Datos Mun'!B22="AMM",$D$5*'Datos Mun'!AI22,0)</f>
        <v>250504756.0883114</v>
      </c>
      <c r="E24" s="54">
        <f t="shared" si="0"/>
        <v>1056980369.0113455</v>
      </c>
      <c r="F24" s="60">
        <f t="shared" si="1"/>
        <v>3.6175543751736171E-2</v>
      </c>
      <c r="G24" s="43"/>
      <c r="H24" s="48" t="s">
        <v>18</v>
      </c>
      <c r="I24" s="53">
        <f>IF('Datos Mun'!B22="AMM",0,$B$5*'Datos Mun'!AC22)</f>
        <v>0</v>
      </c>
      <c r="J24" s="53">
        <f>IF('Datos Mun'!B22="AMM",0,$J$5*'Datos Mun'!AF22)</f>
        <v>0</v>
      </c>
      <c r="K24" s="53">
        <f>IF('Datos Mun'!B22="AMM",0,$K$5*'Datos Mun'!AI22)</f>
        <v>0</v>
      </c>
      <c r="L24" s="54">
        <f t="shared" si="2"/>
        <v>0</v>
      </c>
      <c r="M24" s="60">
        <f t="shared" si="3"/>
        <v>0</v>
      </c>
      <c r="O24" s="48" t="s">
        <v>18</v>
      </c>
      <c r="P24" s="53">
        <f>IF('Datos Mun'!D22="Zona de Crec",'Datos Mun'!AC22*'Art 14 F I'!$P$5,0)</f>
        <v>247951091.11827227</v>
      </c>
      <c r="Q24" s="53">
        <f>IF('Datos Mun'!D22="Zona de Crec",$Q$5*'Datos Mun'!AF22,0)</f>
        <v>558524521.80476177</v>
      </c>
      <c r="R24" s="53">
        <f>IF('Datos Mun'!D22="Zona de Crec",$R$5*'Datos Mun'!AI22,0)</f>
        <v>250504756.0883114</v>
      </c>
      <c r="S24" s="54">
        <f t="shared" si="4"/>
        <v>1056980369.0113455</v>
      </c>
      <c r="T24" s="60">
        <f t="shared" si="5"/>
        <v>0.10187288465410421</v>
      </c>
      <c r="U24" s="43"/>
    </row>
    <row r="25" spans="1:21">
      <c r="A25" s="48" t="s">
        <v>19</v>
      </c>
      <c r="B25" s="53">
        <f>IF('Datos Mun'!B23="AMM",$B$5*'Datos Mun'!AC23,0)</f>
        <v>0</v>
      </c>
      <c r="C25" s="53">
        <f>IF('Datos Mun'!B23="AMM",$C$5*'Datos Mun'!AF23,0)</f>
        <v>0</v>
      </c>
      <c r="D25" s="53">
        <f>IF('Datos Mun'!B23="AMM",$D$5*'Datos Mun'!AI23,0)</f>
        <v>0</v>
      </c>
      <c r="E25" s="54">
        <f t="shared" si="0"/>
        <v>0</v>
      </c>
      <c r="F25" s="60">
        <f t="shared" si="1"/>
        <v>0</v>
      </c>
      <c r="G25" s="43"/>
      <c r="H25" s="48" t="s">
        <v>19</v>
      </c>
      <c r="I25" s="53">
        <f>IF('Datos Mun'!B23="AMM",0,$B$5*'Datos Mun'!AC23)</f>
        <v>1796659.0913482851</v>
      </c>
      <c r="J25" s="53">
        <f>IF('Datos Mun'!B23="AMM",0,$J$5*'Datos Mun'!AF23)</f>
        <v>48090734.703831017</v>
      </c>
      <c r="K25" s="53">
        <f>IF('Datos Mun'!B23="AMM",0,$K$5*'Datos Mun'!AI23)</f>
        <v>46664928.30958584</v>
      </c>
      <c r="L25" s="54">
        <f t="shared" si="2"/>
        <v>96552322.104765147</v>
      </c>
      <c r="M25" s="60">
        <f t="shared" si="3"/>
        <v>1.282427928585479E-2</v>
      </c>
      <c r="O25" s="48" t="s">
        <v>19</v>
      </c>
      <c r="P25" s="53">
        <f>IF('Datos Mun'!D23="Zona de Crec",'Datos Mun'!AC23*'Art 14 F I'!$P$5,0)</f>
        <v>0</v>
      </c>
      <c r="Q25" s="53">
        <f>IF('Datos Mun'!D23="Zona de Crec",$Q$5*'Datos Mun'!AF23,0)</f>
        <v>0</v>
      </c>
      <c r="R25" s="53">
        <f>IF('Datos Mun'!D23="Zona de Crec",$R$5*'Datos Mun'!AI23,0)</f>
        <v>0</v>
      </c>
      <c r="S25" s="54">
        <f t="shared" si="4"/>
        <v>0</v>
      </c>
      <c r="T25" s="60">
        <f t="shared" si="5"/>
        <v>0</v>
      </c>
      <c r="U25" s="43"/>
    </row>
    <row r="26" spans="1:21">
      <c r="A26" s="48" t="s">
        <v>20</v>
      </c>
      <c r="B26" s="53">
        <f>IF('Datos Mun'!B24="AMM",$B$5*'Datos Mun'!AC24,0)</f>
        <v>450055633.08756155</v>
      </c>
      <c r="C26" s="53">
        <f>IF('Datos Mun'!B24="AMM",$C$5*'Datos Mun'!AF24,0)</f>
        <v>652861197.24820113</v>
      </c>
      <c r="D26" s="53">
        <f>IF('Datos Mun'!B24="AMM",$D$5*'Datos Mun'!AI24,0)</f>
        <v>549496236.11535311</v>
      </c>
      <c r="E26" s="54">
        <f t="shared" si="0"/>
        <v>1652413066.4511158</v>
      </c>
      <c r="F26" s="60">
        <f t="shared" si="1"/>
        <v>5.6554447872343816E-2</v>
      </c>
      <c r="G26" s="43"/>
      <c r="H26" s="48" t="s">
        <v>20</v>
      </c>
      <c r="I26" s="53">
        <f>IF('Datos Mun'!B24="AMM",0,$B$5*'Datos Mun'!AC24)</f>
        <v>0</v>
      </c>
      <c r="J26" s="53">
        <f>IF('Datos Mun'!B24="AMM",0,$J$5*'Datos Mun'!AF24)</f>
        <v>0</v>
      </c>
      <c r="K26" s="53">
        <f>IF('Datos Mun'!B24="AMM",0,$K$5*'Datos Mun'!AI24)</f>
        <v>0</v>
      </c>
      <c r="L26" s="54">
        <f t="shared" si="2"/>
        <v>0</v>
      </c>
      <c r="M26" s="60">
        <f t="shared" si="3"/>
        <v>0</v>
      </c>
      <c r="O26" s="48" t="s">
        <v>20</v>
      </c>
      <c r="P26" s="53">
        <f>IF('Datos Mun'!D24="Zona de Crec",'Datos Mun'!AC24*'Art 14 F I'!$P$5,0)</f>
        <v>450055633.08756155</v>
      </c>
      <c r="Q26" s="53">
        <f>IF('Datos Mun'!D24="Zona de Crec",$Q$5*'Datos Mun'!AF24,0)</f>
        <v>652861197.24820113</v>
      </c>
      <c r="R26" s="53">
        <f>IF('Datos Mun'!D24="Zona de Crec",$R$5*'Datos Mun'!AI24,0)</f>
        <v>549496236.11535311</v>
      </c>
      <c r="S26" s="54">
        <f t="shared" si="4"/>
        <v>1652413066.4511158</v>
      </c>
      <c r="T26" s="60">
        <f t="shared" si="5"/>
        <v>0.15926131710181485</v>
      </c>
      <c r="U26" s="43"/>
    </row>
    <row r="27" spans="1:21">
      <c r="A27" s="48" t="s">
        <v>21</v>
      </c>
      <c r="B27" s="53">
        <f>IF('Datos Mun'!B25="AMM",$B$5*'Datos Mun'!AC25,0)</f>
        <v>0</v>
      </c>
      <c r="C27" s="53">
        <f>IF('Datos Mun'!B25="AMM",$C$5*'Datos Mun'!AF25,0)</f>
        <v>0</v>
      </c>
      <c r="D27" s="53">
        <f>IF('Datos Mun'!B25="AMM",$D$5*'Datos Mun'!AI25,0)</f>
        <v>0</v>
      </c>
      <c r="E27" s="54">
        <f t="shared" si="0"/>
        <v>0</v>
      </c>
      <c r="F27" s="60">
        <f t="shared" si="1"/>
        <v>0</v>
      </c>
      <c r="G27" s="43"/>
      <c r="H27" s="48" t="s">
        <v>21</v>
      </c>
      <c r="I27" s="53">
        <f>IF('Datos Mun'!B25="AMM",0,$B$5*'Datos Mun'!AC25)</f>
        <v>13710404.944845852</v>
      </c>
      <c r="J27" s="53">
        <f>IF('Datos Mun'!B25="AMM",0,$J$5*'Datos Mun'!AF25)</f>
        <v>72243358.998669803</v>
      </c>
      <c r="K27" s="53">
        <f>IF('Datos Mun'!B25="AMM",0,$K$5*'Datos Mun'!AI25)</f>
        <v>146049726.10130838</v>
      </c>
      <c r="L27" s="54">
        <f t="shared" si="2"/>
        <v>232003490.04482403</v>
      </c>
      <c r="M27" s="60">
        <f t="shared" si="3"/>
        <v>3.081518379640313E-2</v>
      </c>
      <c r="O27" s="48" t="s">
        <v>21</v>
      </c>
      <c r="P27" s="53">
        <f>IF('Datos Mun'!D25="Zona de Crec",'Datos Mun'!AC25*'Art 14 F I'!$P$5,0)</f>
        <v>0</v>
      </c>
      <c r="Q27" s="53">
        <f>IF('Datos Mun'!D25="Zona de Crec",$Q$5*'Datos Mun'!AF25,0)</f>
        <v>0</v>
      </c>
      <c r="R27" s="53">
        <f>IF('Datos Mun'!D25="Zona de Crec",$R$5*'Datos Mun'!AI25,0)</f>
        <v>0</v>
      </c>
      <c r="S27" s="54">
        <f t="shared" si="4"/>
        <v>0</v>
      </c>
      <c r="T27" s="60">
        <f t="shared" si="5"/>
        <v>0</v>
      </c>
      <c r="U27" s="43"/>
    </row>
    <row r="28" spans="1:21">
      <c r="A28" s="48" t="s">
        <v>22</v>
      </c>
      <c r="B28" s="53">
        <f>IF('Datos Mun'!B26="AMM",$B$5*'Datos Mun'!AC26,0)</f>
        <v>0</v>
      </c>
      <c r="C28" s="53">
        <f>IF('Datos Mun'!B26="AMM",$C$5*'Datos Mun'!AF26,0)</f>
        <v>0</v>
      </c>
      <c r="D28" s="53">
        <f>IF('Datos Mun'!B26="AMM",$D$5*'Datos Mun'!AI26,0)</f>
        <v>0</v>
      </c>
      <c r="E28" s="54">
        <f t="shared" si="0"/>
        <v>0</v>
      </c>
      <c r="F28" s="60">
        <f t="shared" si="1"/>
        <v>0</v>
      </c>
      <c r="G28" s="43"/>
      <c r="H28" s="48" t="s">
        <v>22</v>
      </c>
      <c r="I28" s="53">
        <f>IF('Datos Mun'!B26="AMM",0,$B$5*'Datos Mun'!AC26)</f>
        <v>672287.74481060251</v>
      </c>
      <c r="J28" s="53">
        <f>IF('Datos Mun'!B26="AMM",0,$J$5*'Datos Mun'!AF26)</f>
        <v>10767343.987795029</v>
      </c>
      <c r="K28" s="53">
        <f>IF('Datos Mun'!B26="AMM",0,$K$5*'Datos Mun'!AI26)</f>
        <v>8929990.5471815001</v>
      </c>
      <c r="L28" s="54">
        <f t="shared" si="2"/>
        <v>20369622.279787131</v>
      </c>
      <c r="M28" s="60">
        <f t="shared" si="3"/>
        <v>2.7055353964445775E-3</v>
      </c>
      <c r="O28" s="48" t="s">
        <v>22</v>
      </c>
      <c r="P28" s="53">
        <f>IF('Datos Mun'!D26="Zona de Crec",'Datos Mun'!AC26*'Art 14 F I'!$P$5,0)</f>
        <v>0</v>
      </c>
      <c r="Q28" s="53">
        <f>IF('Datos Mun'!D26="Zona de Crec",$Q$5*'Datos Mun'!AF26,0)</f>
        <v>0</v>
      </c>
      <c r="R28" s="53">
        <f>IF('Datos Mun'!D26="Zona de Crec",$R$5*'Datos Mun'!AI26,0)</f>
        <v>0</v>
      </c>
      <c r="S28" s="54">
        <f t="shared" si="4"/>
        <v>0</v>
      </c>
      <c r="T28" s="60">
        <f t="shared" si="5"/>
        <v>0</v>
      </c>
      <c r="U28" s="43"/>
    </row>
    <row r="29" spans="1:21">
      <c r="A29" s="48" t="s">
        <v>23</v>
      </c>
      <c r="B29" s="53">
        <f>IF('Datos Mun'!B27="AMM",$B$5*'Datos Mun'!AC27,0)</f>
        <v>0</v>
      </c>
      <c r="C29" s="53">
        <f>IF('Datos Mun'!B27="AMM",$C$5*'Datos Mun'!AF27,0)</f>
        <v>0</v>
      </c>
      <c r="D29" s="53">
        <f>IF('Datos Mun'!B27="AMM",$D$5*'Datos Mun'!AI27,0)</f>
        <v>0</v>
      </c>
      <c r="E29" s="54">
        <f t="shared" si="0"/>
        <v>0</v>
      </c>
      <c r="F29" s="60">
        <f t="shared" si="1"/>
        <v>0</v>
      </c>
      <c r="G29" s="43"/>
      <c r="H29" s="48" t="s">
        <v>23</v>
      </c>
      <c r="I29" s="53">
        <f>IF('Datos Mun'!B27="AMM",0,$B$5*'Datos Mun'!AC27)</f>
        <v>153401.61382128391</v>
      </c>
      <c r="J29" s="53">
        <f>IF('Datos Mun'!B27="AMM",0,$J$5*'Datos Mun'!AF27)</f>
        <v>36686873.893153727</v>
      </c>
      <c r="K29" s="53">
        <f>IF('Datos Mun'!B27="AMM",0,$K$5*'Datos Mun'!AI27)</f>
        <v>153445217.8001115</v>
      </c>
      <c r="L29" s="54">
        <f t="shared" si="2"/>
        <v>190285493.30708653</v>
      </c>
      <c r="M29" s="60">
        <f t="shared" si="3"/>
        <v>2.5274113113187315E-2</v>
      </c>
      <c r="O29" s="48" t="s">
        <v>23</v>
      </c>
      <c r="P29" s="53">
        <f>IF('Datos Mun'!D27="Zona de Crec",'Datos Mun'!AC27*'Art 14 F I'!$P$5,0)</f>
        <v>0</v>
      </c>
      <c r="Q29" s="53">
        <f>IF('Datos Mun'!D27="Zona de Crec",$Q$5*'Datos Mun'!AF27,0)</f>
        <v>0</v>
      </c>
      <c r="R29" s="53">
        <f>IF('Datos Mun'!D27="Zona de Crec",$R$5*'Datos Mun'!AI27,0)</f>
        <v>0</v>
      </c>
      <c r="S29" s="54">
        <f t="shared" si="4"/>
        <v>0</v>
      </c>
      <c r="T29" s="60">
        <f t="shared" si="5"/>
        <v>0</v>
      </c>
      <c r="U29" s="43"/>
    </row>
    <row r="30" spans="1:21">
      <c r="A30" s="48" t="s">
        <v>24</v>
      </c>
      <c r="B30" s="53">
        <f>IF('Datos Mun'!B28="AMM",$B$5*'Datos Mun'!AC28,0)</f>
        <v>0</v>
      </c>
      <c r="C30" s="53">
        <f>IF('Datos Mun'!B28="AMM",$C$5*'Datos Mun'!AF28,0)</f>
        <v>0</v>
      </c>
      <c r="D30" s="53">
        <f>IF('Datos Mun'!B28="AMM",$D$5*'Datos Mun'!AI28,0)</f>
        <v>0</v>
      </c>
      <c r="E30" s="54">
        <f t="shared" si="0"/>
        <v>0</v>
      </c>
      <c r="F30" s="60">
        <f t="shared" si="1"/>
        <v>0</v>
      </c>
      <c r="G30" s="43"/>
      <c r="H30" s="48" t="s">
        <v>24</v>
      </c>
      <c r="I30" s="53">
        <f>IF('Datos Mun'!B28="AMM",0,$B$5*'Datos Mun'!AC28)</f>
        <v>16229014.502090737</v>
      </c>
      <c r="J30" s="53">
        <f>IF('Datos Mun'!B28="AMM",0,$J$5*'Datos Mun'!AF28)</f>
        <v>141863297.02883619</v>
      </c>
      <c r="K30" s="53">
        <f>IF('Datos Mun'!B28="AMM",0,$K$5*'Datos Mun'!AI28)</f>
        <v>52868485.22387623</v>
      </c>
      <c r="L30" s="54">
        <f t="shared" si="2"/>
        <v>210960796.75480318</v>
      </c>
      <c r="M30" s="60">
        <f t="shared" si="3"/>
        <v>2.8020249715118184E-2</v>
      </c>
      <c r="O30" s="48" t="s">
        <v>24</v>
      </c>
      <c r="P30" s="53">
        <f>IF('Datos Mun'!D28="Zona de Crec",'Datos Mun'!AC28*'Art 14 F I'!$P$5,0)</f>
        <v>16229014.502090737</v>
      </c>
      <c r="Q30" s="53">
        <f>IF('Datos Mun'!D28="Zona de Crec",$Q$5*'Datos Mun'!AF28,0)</f>
        <v>141863297.02883619</v>
      </c>
      <c r="R30" s="53">
        <f>IF('Datos Mun'!D28="Zona de Crec",$R$5*'Datos Mun'!AI28,0)</f>
        <v>52868485.22387623</v>
      </c>
      <c r="S30" s="54">
        <f t="shared" si="4"/>
        <v>210960796.75480318</v>
      </c>
      <c r="T30" s="60">
        <f t="shared" si="5"/>
        <v>2.0332624469120392E-2</v>
      </c>
      <c r="U30" s="43"/>
    </row>
    <row r="31" spans="1:21">
      <c r="A31" s="48" t="s">
        <v>25</v>
      </c>
      <c r="B31" s="53">
        <f>IF('Datos Mun'!B29="AMM",$B$5*'Datos Mun'!AC29,0)</f>
        <v>986488261.86202741</v>
      </c>
      <c r="C31" s="53">
        <f>IF('Datos Mun'!B29="AMM",$C$5*'Datos Mun'!AF29,0)</f>
        <v>870740810.36125767</v>
      </c>
      <c r="D31" s="53">
        <f>IF('Datos Mun'!B29="AMM",$D$5*'Datos Mun'!AI29,0)</f>
        <v>623835988.80549455</v>
      </c>
      <c r="E31" s="54">
        <f t="shared" si="0"/>
        <v>2481065061.02878</v>
      </c>
      <c r="F31" s="60">
        <f t="shared" si="1"/>
        <v>8.491536862704703E-2</v>
      </c>
      <c r="G31" s="43"/>
      <c r="H31" s="48" t="s">
        <v>25</v>
      </c>
      <c r="I31" s="53">
        <f>IF('Datos Mun'!B29="AMM",0,$B$5*'Datos Mun'!AC29)</f>
        <v>0</v>
      </c>
      <c r="J31" s="53">
        <f>IF('Datos Mun'!B29="AMM",0,$J$5*'Datos Mun'!AF29)</f>
        <v>0</v>
      </c>
      <c r="K31" s="53">
        <f>IF('Datos Mun'!B29="AMM",0,$K$5*'Datos Mun'!AI29)</f>
        <v>0</v>
      </c>
      <c r="L31" s="54">
        <f t="shared" si="2"/>
        <v>0</v>
      </c>
      <c r="M31" s="60">
        <f t="shared" si="3"/>
        <v>0</v>
      </c>
      <c r="O31" s="48" t="s">
        <v>25</v>
      </c>
      <c r="P31" s="53">
        <f>IF('Datos Mun'!D29="Zona de Crec",'Datos Mun'!AC29*'Art 14 F I'!$P$5,0)</f>
        <v>0</v>
      </c>
      <c r="Q31" s="53">
        <f>IF('Datos Mun'!D29="Zona de Crec",$Q$5*'Datos Mun'!AF29,0)</f>
        <v>0</v>
      </c>
      <c r="R31" s="53">
        <f>IF('Datos Mun'!D29="Zona de Crec",$R$5*'Datos Mun'!AI29,0)</f>
        <v>0</v>
      </c>
      <c r="S31" s="54">
        <f t="shared" si="4"/>
        <v>0</v>
      </c>
      <c r="T31" s="60">
        <f t="shared" si="5"/>
        <v>0</v>
      </c>
      <c r="U31" s="43"/>
    </row>
    <row r="32" spans="1:21">
      <c r="A32" s="48" t="s">
        <v>26</v>
      </c>
      <c r="B32" s="53">
        <f>IF('Datos Mun'!B30="AMM",$B$5*'Datos Mun'!AC30,0)</f>
        <v>0</v>
      </c>
      <c r="C32" s="53">
        <f>IF('Datos Mun'!B30="AMM",$C$5*'Datos Mun'!AF30,0)</f>
        <v>0</v>
      </c>
      <c r="D32" s="53">
        <f>IF('Datos Mun'!B30="AMM",$D$5*'Datos Mun'!AI30,0)</f>
        <v>0</v>
      </c>
      <c r="E32" s="54">
        <f t="shared" si="0"/>
        <v>0</v>
      </c>
      <c r="F32" s="60">
        <f t="shared" si="1"/>
        <v>0</v>
      </c>
      <c r="G32" s="43"/>
      <c r="H32" s="48" t="s">
        <v>26</v>
      </c>
      <c r="I32" s="53">
        <f>IF('Datos Mun'!B30="AMM",0,$B$5*'Datos Mun'!AC30)</f>
        <v>940238.46136420581</v>
      </c>
      <c r="J32" s="53">
        <f>IF('Datos Mun'!B30="AMM",0,$J$5*'Datos Mun'!AF30)</f>
        <v>13314787.737110285</v>
      </c>
      <c r="K32" s="53">
        <f>IF('Datos Mun'!B30="AMM",0,$K$5*'Datos Mun'!AI30)</f>
        <v>36549615.814510413</v>
      </c>
      <c r="L32" s="54">
        <f t="shared" si="2"/>
        <v>50804642.012984902</v>
      </c>
      <c r="M32" s="60">
        <f t="shared" si="3"/>
        <v>6.7479777180857172E-3</v>
      </c>
      <c r="O32" s="48" t="s">
        <v>26</v>
      </c>
      <c r="P32" s="53">
        <f>IF('Datos Mun'!D30="Zona de Crec",'Datos Mun'!AC30*'Art 14 F I'!$P$5,0)</f>
        <v>0</v>
      </c>
      <c r="Q32" s="53">
        <f>IF('Datos Mun'!D30="Zona de Crec",$Q$5*'Datos Mun'!AF30,0)</f>
        <v>0</v>
      </c>
      <c r="R32" s="53">
        <f>IF('Datos Mun'!D30="Zona de Crec",$R$5*'Datos Mun'!AI30,0)</f>
        <v>0</v>
      </c>
      <c r="S32" s="54">
        <f t="shared" si="4"/>
        <v>0</v>
      </c>
      <c r="T32" s="60">
        <f t="shared" si="5"/>
        <v>0</v>
      </c>
      <c r="U32" s="43"/>
    </row>
    <row r="33" spans="1:21">
      <c r="A33" s="48" t="s">
        <v>27</v>
      </c>
      <c r="B33" s="53">
        <f>IF('Datos Mun'!B31="AMM",$B$5*'Datos Mun'!AC31,0)</f>
        <v>0</v>
      </c>
      <c r="C33" s="53">
        <f>IF('Datos Mun'!B31="AMM",$C$5*'Datos Mun'!AF31,0)</f>
        <v>0</v>
      </c>
      <c r="D33" s="53">
        <f>IF('Datos Mun'!B31="AMM",$D$5*'Datos Mun'!AI31,0)</f>
        <v>0</v>
      </c>
      <c r="E33" s="54">
        <f t="shared" si="0"/>
        <v>0</v>
      </c>
      <c r="F33" s="60">
        <f t="shared" si="1"/>
        <v>0</v>
      </c>
      <c r="G33" s="43"/>
      <c r="H33" s="48" t="s">
        <v>27</v>
      </c>
      <c r="I33" s="53">
        <f>IF('Datos Mun'!B31="AMM",0,$B$5*'Datos Mun'!AC31)</f>
        <v>1278001.9153790413</v>
      </c>
      <c r="J33" s="53">
        <f>IF('Datos Mun'!B31="AMM",0,$J$5*'Datos Mun'!AF31)</f>
        <v>25365725.847896375</v>
      </c>
      <c r="K33" s="53">
        <f>IF('Datos Mun'!B31="AMM",0,$K$5*'Datos Mun'!AI31)</f>
        <v>91952169.906874508</v>
      </c>
      <c r="L33" s="54">
        <f t="shared" si="2"/>
        <v>118595897.67014992</v>
      </c>
      <c r="M33" s="60">
        <f t="shared" si="3"/>
        <v>1.5752152622786033E-2</v>
      </c>
      <c r="O33" s="48" t="s">
        <v>27</v>
      </c>
      <c r="P33" s="53">
        <f>IF('Datos Mun'!D31="Zona de Crec",'Datos Mun'!AC31*'Art 14 F I'!$P$5,0)</f>
        <v>0</v>
      </c>
      <c r="Q33" s="53">
        <f>IF('Datos Mun'!D31="Zona de Crec",$Q$5*'Datos Mun'!AF31,0)</f>
        <v>0</v>
      </c>
      <c r="R33" s="53">
        <f>IF('Datos Mun'!D31="Zona de Crec",$R$5*'Datos Mun'!AI31,0)</f>
        <v>0</v>
      </c>
      <c r="S33" s="54">
        <f t="shared" si="4"/>
        <v>0</v>
      </c>
      <c r="T33" s="60">
        <f t="shared" si="5"/>
        <v>0</v>
      </c>
      <c r="U33" s="43"/>
    </row>
    <row r="34" spans="1:21">
      <c r="A34" s="48" t="s">
        <v>28</v>
      </c>
      <c r="B34" s="53">
        <f>IF('Datos Mun'!B32="AMM",$B$5*'Datos Mun'!AC32,0)</f>
        <v>0</v>
      </c>
      <c r="C34" s="53">
        <f>IF('Datos Mun'!B32="AMM",$C$5*'Datos Mun'!AF32,0)</f>
        <v>0</v>
      </c>
      <c r="D34" s="53">
        <f>IF('Datos Mun'!B32="AMM",$D$5*'Datos Mun'!AI32,0)</f>
        <v>0</v>
      </c>
      <c r="E34" s="54">
        <f t="shared" si="0"/>
        <v>0</v>
      </c>
      <c r="F34" s="60">
        <f t="shared" si="1"/>
        <v>0</v>
      </c>
      <c r="G34" s="43"/>
      <c r="H34" s="48" t="s">
        <v>28</v>
      </c>
      <c r="I34" s="53">
        <f>IF('Datos Mun'!B32="AMM",0,$B$5*'Datos Mun'!AC32)</f>
        <v>1816417.5464696039</v>
      </c>
      <c r="J34" s="53">
        <f>IF('Datos Mun'!B32="AMM",0,$J$5*'Datos Mun'!AF32)</f>
        <v>11400577.403602356</v>
      </c>
      <c r="K34" s="53">
        <f>IF('Datos Mun'!B32="AMM",0,$K$5*'Datos Mun'!AI32)</f>
        <v>64316919.039417043</v>
      </c>
      <c r="L34" s="54">
        <f t="shared" si="2"/>
        <v>77533913.989489004</v>
      </c>
      <c r="M34" s="60">
        <f t="shared" si="3"/>
        <v>1.0298214951762183E-2</v>
      </c>
      <c r="O34" s="48" t="s">
        <v>28</v>
      </c>
      <c r="P34" s="53">
        <f>IF('Datos Mun'!D32="Zona de Crec",'Datos Mun'!AC32*'Art 14 F I'!$P$5,0)</f>
        <v>0</v>
      </c>
      <c r="Q34" s="53">
        <f>IF('Datos Mun'!D32="Zona de Crec",$Q$5*'Datos Mun'!AF32,0)</f>
        <v>0</v>
      </c>
      <c r="R34" s="53">
        <f>IF('Datos Mun'!D32="Zona de Crec",$R$5*'Datos Mun'!AI32,0)</f>
        <v>0</v>
      </c>
      <c r="S34" s="54">
        <f t="shared" si="4"/>
        <v>0</v>
      </c>
      <c r="T34" s="60">
        <f t="shared" si="5"/>
        <v>0</v>
      </c>
      <c r="U34" s="43"/>
    </row>
    <row r="35" spans="1:21">
      <c r="A35" s="48" t="s">
        <v>29</v>
      </c>
      <c r="B35" s="53">
        <f>IF('Datos Mun'!B33="AMM",$B$5*'Datos Mun'!AC33,0)</f>
        <v>0</v>
      </c>
      <c r="C35" s="53">
        <f>IF('Datos Mun'!B33="AMM",$C$5*'Datos Mun'!AF33,0)</f>
        <v>0</v>
      </c>
      <c r="D35" s="53">
        <f>IF('Datos Mun'!B33="AMM",$D$5*'Datos Mun'!AI33,0)</f>
        <v>0</v>
      </c>
      <c r="E35" s="54">
        <f t="shared" si="0"/>
        <v>0</v>
      </c>
      <c r="F35" s="60">
        <f t="shared" si="1"/>
        <v>0</v>
      </c>
      <c r="G35" s="43"/>
      <c r="H35" s="48" t="s">
        <v>29</v>
      </c>
      <c r="I35" s="53">
        <f>IF('Datos Mun'!B33="AMM",0,$B$5*'Datos Mun'!AC33)</f>
        <v>2416006.0730337705</v>
      </c>
      <c r="J35" s="53">
        <f>IF('Datos Mun'!B33="AMM",0,$J$5*'Datos Mun'!AF33)</f>
        <v>12227058.41206567</v>
      </c>
      <c r="K35" s="53">
        <f>IF('Datos Mun'!B33="AMM",0,$K$5*'Datos Mun'!AI33)</f>
        <v>70889074.044069573</v>
      </c>
      <c r="L35" s="54">
        <f t="shared" si="2"/>
        <v>85532138.529169008</v>
      </c>
      <c r="M35" s="60">
        <f t="shared" si="3"/>
        <v>1.1360555691496412E-2</v>
      </c>
      <c r="O35" s="48" t="s">
        <v>29</v>
      </c>
      <c r="P35" s="53">
        <f>IF('Datos Mun'!D33="Zona de Crec",'Datos Mun'!AC33*'Art 14 F I'!$P$5,0)</f>
        <v>0</v>
      </c>
      <c r="Q35" s="53">
        <f>IF('Datos Mun'!D33="Zona de Crec",$Q$5*'Datos Mun'!AF33,0)</f>
        <v>0</v>
      </c>
      <c r="R35" s="53">
        <f>IF('Datos Mun'!D33="Zona de Crec",$R$5*'Datos Mun'!AI33,0)</f>
        <v>0</v>
      </c>
      <c r="S35" s="54">
        <f t="shared" si="4"/>
        <v>0</v>
      </c>
      <c r="T35" s="60">
        <f t="shared" si="5"/>
        <v>0</v>
      </c>
      <c r="U35" s="43"/>
    </row>
    <row r="36" spans="1:21">
      <c r="A36" s="48" t="s">
        <v>30</v>
      </c>
      <c r="B36" s="53">
        <f>IF('Datos Mun'!B34="AMM",$B$5*'Datos Mun'!AC34,0)</f>
        <v>0</v>
      </c>
      <c r="C36" s="53">
        <f>IF('Datos Mun'!B34="AMM",$C$5*'Datos Mun'!AF34,0)</f>
        <v>0</v>
      </c>
      <c r="D36" s="53">
        <f>IF('Datos Mun'!B34="AMM",$D$5*'Datos Mun'!AI34,0)</f>
        <v>0</v>
      </c>
      <c r="E36" s="54">
        <f t="shared" si="0"/>
        <v>0</v>
      </c>
      <c r="F36" s="60">
        <f t="shared" si="1"/>
        <v>0</v>
      </c>
      <c r="G36" s="43"/>
      <c r="H36" s="48" t="s">
        <v>30</v>
      </c>
      <c r="I36" s="53">
        <f>IF('Datos Mun'!B34="AMM",0,$B$5*'Datos Mun'!AC34)</f>
        <v>256077.76568307844</v>
      </c>
      <c r="J36" s="53">
        <f>IF('Datos Mun'!B34="AMM",0,$J$5*'Datos Mun'!AF34)</f>
        <v>16508752.352689885</v>
      </c>
      <c r="K36" s="53">
        <f>IF('Datos Mun'!B34="AMM",0,$K$5*'Datos Mun'!AI34)</f>
        <v>82413516.449362457</v>
      </c>
      <c r="L36" s="54">
        <f t="shared" si="2"/>
        <v>99178346.567735419</v>
      </c>
      <c r="M36" s="60">
        <f t="shared" si="3"/>
        <v>1.3173073290913271E-2</v>
      </c>
      <c r="O36" s="48" t="s">
        <v>30</v>
      </c>
      <c r="P36" s="53">
        <f>IF('Datos Mun'!D34="Zona de Crec",'Datos Mun'!AC34*'Art 14 F I'!$P$5,0)</f>
        <v>0</v>
      </c>
      <c r="Q36" s="53">
        <f>IF('Datos Mun'!D34="Zona de Crec",$Q$5*'Datos Mun'!AF34,0)</f>
        <v>0</v>
      </c>
      <c r="R36" s="53">
        <f>IF('Datos Mun'!D34="Zona de Crec",$R$5*'Datos Mun'!AI34,0)</f>
        <v>0</v>
      </c>
      <c r="S36" s="54">
        <f t="shared" si="4"/>
        <v>0</v>
      </c>
      <c r="T36" s="60">
        <f t="shared" si="5"/>
        <v>0</v>
      </c>
      <c r="U36" s="43"/>
    </row>
    <row r="37" spans="1:21">
      <c r="A37" s="48" t="s">
        <v>31</v>
      </c>
      <c r="B37" s="53">
        <f>IF('Datos Mun'!B35="AMM",$B$5*'Datos Mun'!AC35,0)</f>
        <v>306795756.83776164</v>
      </c>
      <c r="C37" s="53">
        <f>IF('Datos Mun'!B35="AMM",$C$5*'Datos Mun'!AF35,0)</f>
        <v>641834282.71250534</v>
      </c>
      <c r="D37" s="53">
        <f>IF('Datos Mun'!B35="AMM",$D$5*'Datos Mun'!AI35,0)</f>
        <v>264163889.73542845</v>
      </c>
      <c r="E37" s="54">
        <f t="shared" si="0"/>
        <v>1212793929.2856956</v>
      </c>
      <c r="F37" s="60">
        <f t="shared" si="1"/>
        <v>4.1508320435271751E-2</v>
      </c>
      <c r="G37" s="43"/>
      <c r="H37" s="48" t="s">
        <v>31</v>
      </c>
      <c r="I37" s="53">
        <f>IF('Datos Mun'!B35="AMM",0,$B$5*'Datos Mun'!AC35)</f>
        <v>0</v>
      </c>
      <c r="J37" s="53">
        <f>IF('Datos Mun'!B35="AMM",0,$J$5*'Datos Mun'!AF35)</f>
        <v>0</v>
      </c>
      <c r="K37" s="53">
        <f>IF('Datos Mun'!B35="AMM",0,$K$5*'Datos Mun'!AI35)</f>
        <v>0</v>
      </c>
      <c r="L37" s="54">
        <f t="shared" si="2"/>
        <v>0</v>
      </c>
      <c r="M37" s="60">
        <f t="shared" si="3"/>
        <v>0</v>
      </c>
      <c r="O37" s="48" t="s">
        <v>31</v>
      </c>
      <c r="P37" s="53">
        <f>IF('Datos Mun'!D35="Zona de Crec",'Datos Mun'!AC35*'Art 14 F I'!$P$5,0)</f>
        <v>306795756.83776164</v>
      </c>
      <c r="Q37" s="53">
        <f>IF('Datos Mun'!D35="Zona de Crec",$Q$5*'Datos Mun'!AF35,0)</f>
        <v>641834282.71250534</v>
      </c>
      <c r="R37" s="53">
        <f>IF('Datos Mun'!D35="Zona de Crec",$R$5*'Datos Mun'!AI35,0)</f>
        <v>264163889.73542845</v>
      </c>
      <c r="S37" s="54">
        <f t="shared" si="4"/>
        <v>1212793929.2856956</v>
      </c>
      <c r="T37" s="60">
        <f t="shared" si="5"/>
        <v>0.1168903602087555</v>
      </c>
      <c r="U37" s="43"/>
    </row>
    <row r="38" spans="1:21">
      <c r="A38" s="48" t="s">
        <v>32</v>
      </c>
      <c r="B38" s="53">
        <f>IF('Datos Mun'!B36="AMM",$B$5*'Datos Mun'!AC36,0)</f>
        <v>0</v>
      </c>
      <c r="C38" s="53">
        <f>IF('Datos Mun'!B36="AMM",$C$5*'Datos Mun'!AF36,0)</f>
        <v>0</v>
      </c>
      <c r="D38" s="53">
        <f>IF('Datos Mun'!B36="AMM",$D$5*'Datos Mun'!AI36,0)</f>
        <v>0</v>
      </c>
      <c r="E38" s="54">
        <f t="shared" si="0"/>
        <v>0</v>
      </c>
      <c r="F38" s="60">
        <f t="shared" si="1"/>
        <v>0</v>
      </c>
      <c r="G38" s="43"/>
      <c r="H38" s="48" t="s">
        <v>32</v>
      </c>
      <c r="I38" s="53">
        <f>IF('Datos Mun'!B36="AMM",0,$B$5*'Datos Mun'!AC36)</f>
        <v>4319345.7659460865</v>
      </c>
      <c r="J38" s="53">
        <f>IF('Datos Mun'!B36="AMM",0,$J$5*'Datos Mun'!AF36)</f>
        <v>80794898.641672879</v>
      </c>
      <c r="K38" s="53">
        <f>IF('Datos Mun'!B36="AMM",0,$K$5*'Datos Mun'!AI36)</f>
        <v>77019531.839791521</v>
      </c>
      <c r="L38" s="54">
        <f t="shared" si="2"/>
        <v>162133776.24741048</v>
      </c>
      <c r="M38" s="60">
        <f t="shared" si="3"/>
        <v>2.1534943779093887E-2</v>
      </c>
      <c r="O38" s="48" t="s">
        <v>32</v>
      </c>
      <c r="P38" s="53">
        <f>IF('Datos Mun'!D36="Zona de Crec",'Datos Mun'!AC36*'Art 14 F I'!$P$5,0)</f>
        <v>0</v>
      </c>
      <c r="Q38" s="53">
        <f>IF('Datos Mun'!D36="Zona de Crec",$Q$5*'Datos Mun'!AF36,0)</f>
        <v>0</v>
      </c>
      <c r="R38" s="53">
        <f>IF('Datos Mun'!D36="Zona de Crec",$R$5*'Datos Mun'!AI36,0)</f>
        <v>0</v>
      </c>
      <c r="S38" s="54">
        <f t="shared" si="4"/>
        <v>0</v>
      </c>
      <c r="T38" s="60">
        <f t="shared" si="5"/>
        <v>0</v>
      </c>
      <c r="U38" s="43"/>
    </row>
    <row r="39" spans="1:21">
      <c r="A39" s="48" t="s">
        <v>33</v>
      </c>
      <c r="B39" s="53">
        <f>IF('Datos Mun'!B37="AMM",$B$5*'Datos Mun'!AC37,0)</f>
        <v>0</v>
      </c>
      <c r="C39" s="53">
        <f>IF('Datos Mun'!B37="AMM",$C$5*'Datos Mun'!AF37,0)</f>
        <v>0</v>
      </c>
      <c r="D39" s="53">
        <f>IF('Datos Mun'!B37="AMM",$D$5*'Datos Mun'!AI37,0)</f>
        <v>0</v>
      </c>
      <c r="E39" s="54">
        <f t="shared" si="0"/>
        <v>0</v>
      </c>
      <c r="F39" s="60">
        <f t="shared" si="1"/>
        <v>0</v>
      </c>
      <c r="G39" s="43"/>
      <c r="H39" s="48" t="s">
        <v>33</v>
      </c>
      <c r="I39" s="53">
        <f>IF('Datos Mun'!B37="AMM",0,$B$5*'Datos Mun'!AC37)</f>
        <v>30916992.252464037</v>
      </c>
      <c r="J39" s="53">
        <f>IF('Datos Mun'!B37="AMM",0,$J$5*'Datos Mun'!AF37)</f>
        <v>168790447.48370299</v>
      </c>
      <c r="K39" s="53">
        <f>IF('Datos Mun'!B37="AMM",0,$K$5*'Datos Mun'!AI37)</f>
        <v>418344746.22281241</v>
      </c>
      <c r="L39" s="54">
        <f t="shared" si="2"/>
        <v>618052185.95897937</v>
      </c>
      <c r="M39" s="60">
        <f t="shared" si="3"/>
        <v>8.2090970710893302E-2</v>
      </c>
      <c r="O39" s="48" t="s">
        <v>33</v>
      </c>
      <c r="P39" s="53">
        <f>IF('Datos Mun'!D37="Zona de Crec",'Datos Mun'!AC37*'Art 14 F I'!$P$5,0)</f>
        <v>0</v>
      </c>
      <c r="Q39" s="53">
        <f>IF('Datos Mun'!D37="Zona de Crec",$Q$5*'Datos Mun'!AF37,0)</f>
        <v>0</v>
      </c>
      <c r="R39" s="53">
        <f>IF('Datos Mun'!D37="Zona de Crec",$R$5*'Datos Mun'!AI37,0)</f>
        <v>0</v>
      </c>
      <c r="S39" s="54">
        <f t="shared" si="4"/>
        <v>0</v>
      </c>
      <c r="T39" s="60">
        <f t="shared" si="5"/>
        <v>0</v>
      </c>
      <c r="U39" s="43"/>
    </row>
    <row r="40" spans="1:21">
      <c r="A40" s="48" t="s">
        <v>34</v>
      </c>
      <c r="B40" s="53">
        <f>IF('Datos Mun'!B38="AMM",$B$5*'Datos Mun'!AC38,0)</f>
        <v>0</v>
      </c>
      <c r="C40" s="53">
        <f>IF('Datos Mun'!B38="AMM",$C$5*'Datos Mun'!AF38,0)</f>
        <v>0</v>
      </c>
      <c r="D40" s="53">
        <f>IF('Datos Mun'!B38="AMM",$D$5*'Datos Mun'!AI38,0)</f>
        <v>0</v>
      </c>
      <c r="E40" s="54">
        <f t="shared" si="0"/>
        <v>0</v>
      </c>
      <c r="F40" s="60">
        <f t="shared" si="1"/>
        <v>0</v>
      </c>
      <c r="G40" s="43"/>
      <c r="H40" s="48" t="s">
        <v>34</v>
      </c>
      <c r="I40" s="53">
        <f>IF('Datos Mun'!B38="AMM",0,$B$5*'Datos Mun'!AC38)</f>
        <v>4768316.3579104058</v>
      </c>
      <c r="J40" s="53">
        <f>IF('Datos Mun'!B38="AMM",0,$J$5*'Datos Mun'!AF38)</f>
        <v>12580159.010584146</v>
      </c>
      <c r="K40" s="53">
        <f>IF('Datos Mun'!B38="AMM",0,$K$5*'Datos Mun'!AI38)</f>
        <v>128285145.21398598</v>
      </c>
      <c r="L40" s="54">
        <f t="shared" si="2"/>
        <v>145633620.58248052</v>
      </c>
      <c r="M40" s="60">
        <f t="shared" si="3"/>
        <v>1.9343358948254303E-2</v>
      </c>
      <c r="O40" s="48" t="s">
        <v>34</v>
      </c>
      <c r="P40" s="53">
        <f>IF('Datos Mun'!D38="Zona de Crec",'Datos Mun'!AC38*'Art 14 F I'!$P$5,0)</f>
        <v>0</v>
      </c>
      <c r="Q40" s="53">
        <f>IF('Datos Mun'!D38="Zona de Crec",$Q$5*'Datos Mun'!AF38,0)</f>
        <v>0</v>
      </c>
      <c r="R40" s="53">
        <f>IF('Datos Mun'!D38="Zona de Crec",$R$5*'Datos Mun'!AI38,0)</f>
        <v>0</v>
      </c>
      <c r="S40" s="54">
        <f t="shared" si="4"/>
        <v>0</v>
      </c>
      <c r="T40" s="60">
        <f t="shared" si="5"/>
        <v>0</v>
      </c>
      <c r="U40" s="43"/>
    </row>
    <row r="41" spans="1:21">
      <c r="A41" s="48" t="s">
        <v>35</v>
      </c>
      <c r="B41" s="53">
        <f>IF('Datos Mun'!B39="AMM",$B$5*'Datos Mun'!AC39,0)</f>
        <v>0</v>
      </c>
      <c r="C41" s="53">
        <f>IF('Datos Mun'!B39="AMM",$C$5*'Datos Mun'!AF39,0)</f>
        <v>0</v>
      </c>
      <c r="D41" s="53">
        <f>IF('Datos Mun'!B39="AMM",$D$5*'Datos Mun'!AI39,0)</f>
        <v>0</v>
      </c>
      <c r="E41" s="54">
        <f t="shared" si="0"/>
        <v>0</v>
      </c>
      <c r="F41" s="60">
        <f t="shared" si="1"/>
        <v>0</v>
      </c>
      <c r="G41" s="43"/>
      <c r="H41" s="48" t="s">
        <v>35</v>
      </c>
      <c r="I41" s="53">
        <f>IF('Datos Mun'!B39="AMM",0,$B$5*'Datos Mun'!AC39)</f>
        <v>1383633.4850593708</v>
      </c>
      <c r="J41" s="53">
        <f>IF('Datos Mun'!B39="AMM",0,$J$5*'Datos Mun'!AF39)</f>
        <v>6463448.789986643</v>
      </c>
      <c r="K41" s="53">
        <f>IF('Datos Mun'!B39="AMM",0,$K$5*'Datos Mun'!AI39)</f>
        <v>132734881.52482511</v>
      </c>
      <c r="L41" s="54">
        <f t="shared" si="2"/>
        <v>140581963.79987112</v>
      </c>
      <c r="M41" s="60">
        <f t="shared" si="3"/>
        <v>1.8672387437427551E-2</v>
      </c>
      <c r="O41" s="48" t="s">
        <v>35</v>
      </c>
      <c r="P41" s="53">
        <f>IF('Datos Mun'!D39="Zona de Crec",'Datos Mun'!AC39*'Art 14 F I'!$P$5,0)</f>
        <v>0</v>
      </c>
      <c r="Q41" s="53">
        <f>IF('Datos Mun'!D39="Zona de Crec",$Q$5*'Datos Mun'!AF39,0)</f>
        <v>0</v>
      </c>
      <c r="R41" s="53">
        <f>IF('Datos Mun'!D39="Zona de Crec",$R$5*'Datos Mun'!AI39,0)</f>
        <v>0</v>
      </c>
      <c r="S41" s="54">
        <f t="shared" si="4"/>
        <v>0</v>
      </c>
      <c r="T41" s="60">
        <f t="shared" si="5"/>
        <v>0</v>
      </c>
      <c r="U41" s="43"/>
    </row>
    <row r="42" spans="1:21">
      <c r="A42" s="48" t="s">
        <v>36</v>
      </c>
      <c r="B42" s="53">
        <f>IF('Datos Mun'!B40="AMM",$B$5*'Datos Mun'!AC40,0)</f>
        <v>0</v>
      </c>
      <c r="C42" s="53">
        <f>IF('Datos Mun'!B40="AMM",$C$5*'Datos Mun'!AF40,0)</f>
        <v>0</v>
      </c>
      <c r="D42" s="53">
        <f>IF('Datos Mun'!B40="AMM",$D$5*'Datos Mun'!AI40,0)</f>
        <v>0</v>
      </c>
      <c r="E42" s="54">
        <f t="shared" si="0"/>
        <v>0</v>
      </c>
      <c r="F42" s="60">
        <f t="shared" si="1"/>
        <v>0</v>
      </c>
      <c r="G42" s="43"/>
      <c r="H42" s="48" t="s">
        <v>36</v>
      </c>
      <c r="I42" s="53">
        <f>IF('Datos Mun'!B40="AMM",0,$B$5*'Datos Mun'!AC40)</f>
        <v>64867.002718018201</v>
      </c>
      <c r="J42" s="53">
        <f>IF('Datos Mun'!B40="AMM",0,$J$5*'Datos Mun'!AF40)</f>
        <v>31932944.063352372</v>
      </c>
      <c r="K42" s="53">
        <f>IF('Datos Mun'!B40="AMM",0,$K$5*'Datos Mun'!AI40)</f>
        <v>108805637.29631482</v>
      </c>
      <c r="L42" s="54">
        <f t="shared" si="2"/>
        <v>140803448.36238521</v>
      </c>
      <c r="M42" s="60">
        <f t="shared" si="3"/>
        <v>1.8701805475495079E-2</v>
      </c>
      <c r="O42" s="48" t="s">
        <v>36</v>
      </c>
      <c r="P42" s="53">
        <f>IF('Datos Mun'!D40="Zona de Crec",'Datos Mun'!AC40*'Art 14 F I'!$P$5,0)</f>
        <v>0</v>
      </c>
      <c r="Q42" s="53">
        <f>IF('Datos Mun'!D40="Zona de Crec",$Q$5*'Datos Mun'!AF40,0)</f>
        <v>0</v>
      </c>
      <c r="R42" s="53">
        <f>IF('Datos Mun'!D40="Zona de Crec",$R$5*'Datos Mun'!AI40,0)</f>
        <v>0</v>
      </c>
      <c r="S42" s="54">
        <f t="shared" si="4"/>
        <v>0</v>
      </c>
      <c r="T42" s="60">
        <f t="shared" si="5"/>
        <v>0</v>
      </c>
      <c r="U42" s="43"/>
    </row>
    <row r="43" spans="1:21">
      <c r="A43" s="48" t="s">
        <v>37</v>
      </c>
      <c r="B43" s="53">
        <f>IF('Datos Mun'!B41="AMM",$B$5*'Datos Mun'!AC41,0)</f>
        <v>0</v>
      </c>
      <c r="C43" s="53">
        <f>IF('Datos Mun'!B41="AMM",$C$5*'Datos Mun'!AF41,0)</f>
        <v>0</v>
      </c>
      <c r="D43" s="53">
        <f>IF('Datos Mun'!B41="AMM",$D$5*'Datos Mun'!AI41,0)</f>
        <v>0</v>
      </c>
      <c r="E43" s="54">
        <f t="shared" si="0"/>
        <v>0</v>
      </c>
      <c r="F43" s="60">
        <f t="shared" si="1"/>
        <v>0</v>
      </c>
      <c r="G43" s="43"/>
      <c r="H43" s="48" t="s">
        <v>37</v>
      </c>
      <c r="I43" s="53">
        <f>IF('Datos Mun'!B41="AMM",0,$B$5*'Datos Mun'!AC41)</f>
        <v>3086868.7149694581</v>
      </c>
      <c r="J43" s="53">
        <f>IF('Datos Mun'!B41="AMM",0,$J$5*'Datos Mun'!AF41)</f>
        <v>91253985.361303389</v>
      </c>
      <c r="K43" s="53">
        <f>IF('Datos Mun'!B41="AMM",0,$K$5*'Datos Mun'!AI41)</f>
        <v>86300941.703824982</v>
      </c>
      <c r="L43" s="54">
        <f t="shared" si="2"/>
        <v>180641795.78009784</v>
      </c>
      <c r="M43" s="60">
        <f t="shared" si="3"/>
        <v>2.3993217245139552E-2</v>
      </c>
      <c r="O43" s="48" t="s">
        <v>37</v>
      </c>
      <c r="P43" s="53">
        <f>IF('Datos Mun'!D41="Zona de Crec",'Datos Mun'!AC41*'Art 14 F I'!$P$5,0)</f>
        <v>0</v>
      </c>
      <c r="Q43" s="53">
        <f>IF('Datos Mun'!D41="Zona de Crec",$Q$5*'Datos Mun'!AF41,0)</f>
        <v>0</v>
      </c>
      <c r="R43" s="53">
        <f>IF('Datos Mun'!D41="Zona de Crec",$R$5*'Datos Mun'!AI41,0)</f>
        <v>0</v>
      </c>
      <c r="S43" s="54">
        <f t="shared" si="4"/>
        <v>0</v>
      </c>
      <c r="T43" s="60">
        <f t="shared" si="5"/>
        <v>0</v>
      </c>
      <c r="U43" s="43"/>
    </row>
    <row r="44" spans="1:21">
      <c r="A44" s="48" t="s">
        <v>38</v>
      </c>
      <c r="B44" s="53">
        <f>IF('Datos Mun'!B42="AMM",$B$5*'Datos Mun'!AC42,0)</f>
        <v>0</v>
      </c>
      <c r="C44" s="53">
        <f>IF('Datos Mun'!B42="AMM",$C$5*'Datos Mun'!AF42,0)</f>
        <v>0</v>
      </c>
      <c r="D44" s="53">
        <f>IF('Datos Mun'!B42="AMM",$D$5*'Datos Mun'!AI42,0)</f>
        <v>0</v>
      </c>
      <c r="E44" s="54">
        <f t="shared" si="0"/>
        <v>0</v>
      </c>
      <c r="F44" s="60">
        <f t="shared" si="1"/>
        <v>0</v>
      </c>
      <c r="G44" s="43"/>
      <c r="H44" s="48" t="s">
        <v>38</v>
      </c>
      <c r="I44" s="53">
        <f>IF('Datos Mun'!B42="AMM",0,$B$5*'Datos Mun'!AC42)</f>
        <v>58281189.424186982</v>
      </c>
      <c r="J44" s="53">
        <f>IF('Datos Mun'!B42="AMM",0,$J$5*'Datos Mun'!AF42)</f>
        <v>131135402.89831433</v>
      </c>
      <c r="K44" s="53">
        <f>IF('Datos Mun'!B42="AMM",0,$K$5*'Datos Mun'!AI42)</f>
        <v>263155595.06350005</v>
      </c>
      <c r="L44" s="54">
        <f t="shared" si="2"/>
        <v>452572187.38600135</v>
      </c>
      <c r="M44" s="60">
        <f t="shared" si="3"/>
        <v>6.0111574755816764E-2</v>
      </c>
      <c r="O44" s="48" t="s">
        <v>38</v>
      </c>
      <c r="P44" s="53">
        <f>IF('Datos Mun'!D42="Zona de Crec",'Datos Mun'!AC42*'Art 14 F I'!$P$5,0)</f>
        <v>0</v>
      </c>
      <c r="Q44" s="53">
        <f>IF('Datos Mun'!D42="Zona de Crec",$Q$5*'Datos Mun'!AF42,0)</f>
        <v>0</v>
      </c>
      <c r="R44" s="53">
        <f>IF('Datos Mun'!D42="Zona de Crec",$R$5*'Datos Mun'!AI42,0)</f>
        <v>0</v>
      </c>
      <c r="S44" s="54">
        <f t="shared" si="4"/>
        <v>0</v>
      </c>
      <c r="T44" s="60">
        <f t="shared" si="5"/>
        <v>0</v>
      </c>
      <c r="U44" s="43"/>
    </row>
    <row r="45" spans="1:21">
      <c r="A45" s="48" t="s">
        <v>39</v>
      </c>
      <c r="B45" s="53">
        <f>IF('Datos Mun'!B43="AMM",$B$5*'Datos Mun'!AC43,0)</f>
        <v>6903333281.6819687</v>
      </c>
      <c r="C45" s="53">
        <f>IF('Datos Mun'!B43="AMM",$C$5*'Datos Mun'!AF43,0)</f>
        <v>1549932744.3173609</v>
      </c>
      <c r="D45" s="53">
        <f>IF('Datos Mun'!B43="AMM",$D$5*'Datos Mun'!AI43,0)</f>
        <v>1268584715.3557661</v>
      </c>
      <c r="E45" s="54">
        <f t="shared" si="0"/>
        <v>9721850741.3550949</v>
      </c>
      <c r="F45" s="60">
        <f t="shared" si="1"/>
        <v>0.33273393447287852</v>
      </c>
      <c r="G45" s="43"/>
      <c r="H45" s="48" t="s">
        <v>39</v>
      </c>
      <c r="I45" s="53">
        <f>IF('Datos Mun'!B43="AMM",0,$B$5*'Datos Mun'!AC43)</f>
        <v>0</v>
      </c>
      <c r="J45" s="53">
        <f>IF('Datos Mun'!B43="AMM",0,$J$5*'Datos Mun'!AF43)</f>
        <v>0</v>
      </c>
      <c r="K45" s="53">
        <f>IF('Datos Mun'!B43="AMM",0,$K$5*'Datos Mun'!AI43)</f>
        <v>0</v>
      </c>
      <c r="L45" s="54">
        <f t="shared" si="2"/>
        <v>0</v>
      </c>
      <c r="M45" s="60">
        <f t="shared" si="3"/>
        <v>0</v>
      </c>
      <c r="O45" s="48" t="s">
        <v>39</v>
      </c>
      <c r="P45" s="53">
        <f>IF('Datos Mun'!D43="Zona de Crec",'Datos Mun'!AC43*'Art 14 F I'!$P$5,0)</f>
        <v>0</v>
      </c>
      <c r="Q45" s="53">
        <f>IF('Datos Mun'!D43="Zona de Crec",$Q$5*'Datos Mun'!AF43,0)</f>
        <v>0</v>
      </c>
      <c r="R45" s="53">
        <f>IF('Datos Mun'!D43="Zona de Crec",$R$5*'Datos Mun'!AI43,0)</f>
        <v>0</v>
      </c>
      <c r="S45" s="54">
        <f t="shared" si="4"/>
        <v>0</v>
      </c>
      <c r="T45" s="60">
        <f t="shared" si="5"/>
        <v>0</v>
      </c>
      <c r="U45" s="43"/>
    </row>
    <row r="46" spans="1:21">
      <c r="A46" s="48" t="s">
        <v>40</v>
      </c>
      <c r="B46" s="53">
        <f>IF('Datos Mun'!B44="AMM",$B$5*'Datos Mun'!AC44,0)</f>
        <v>0</v>
      </c>
      <c r="C46" s="53">
        <f>IF('Datos Mun'!B44="AMM",$C$5*'Datos Mun'!AF44,0)</f>
        <v>0</v>
      </c>
      <c r="D46" s="53">
        <f>IF('Datos Mun'!B44="AMM",$D$5*'Datos Mun'!AI44,0)</f>
        <v>0</v>
      </c>
      <c r="E46" s="54">
        <f t="shared" si="0"/>
        <v>0</v>
      </c>
      <c r="F46" s="60">
        <f t="shared" si="1"/>
        <v>0</v>
      </c>
      <c r="G46" s="43"/>
      <c r="H46" s="48" t="s">
        <v>40</v>
      </c>
      <c r="I46" s="53">
        <f>IF('Datos Mun'!B44="AMM",0,$B$5*'Datos Mun'!AC44)</f>
        <v>1736344.5092318268</v>
      </c>
      <c r="J46" s="53">
        <f>IF('Datos Mun'!B44="AMM",0,$J$5*'Datos Mun'!AF44)</f>
        <v>26385545.133106906</v>
      </c>
      <c r="K46" s="53">
        <f>IF('Datos Mun'!B44="AMM",0,$K$5*'Datos Mun'!AI44)</f>
        <v>9604065.2481577918</v>
      </c>
      <c r="L46" s="54">
        <f t="shared" si="2"/>
        <v>37725954.890496522</v>
      </c>
      <c r="M46" s="60">
        <f t="shared" si="3"/>
        <v>5.0108394215141244E-3</v>
      </c>
      <c r="O46" s="48" t="s">
        <v>40</v>
      </c>
      <c r="P46" s="53">
        <f>IF('Datos Mun'!D44="Zona de Crec",'Datos Mun'!AC44*'Art 14 F I'!$P$5,0)</f>
        <v>0</v>
      </c>
      <c r="Q46" s="53">
        <f>IF('Datos Mun'!D44="Zona de Crec",$Q$5*'Datos Mun'!AF44,0)</f>
        <v>0</v>
      </c>
      <c r="R46" s="53">
        <f>IF('Datos Mun'!D44="Zona de Crec",$R$5*'Datos Mun'!AI44,0)</f>
        <v>0</v>
      </c>
      <c r="S46" s="54">
        <f t="shared" si="4"/>
        <v>0</v>
      </c>
      <c r="T46" s="60">
        <f t="shared" si="5"/>
        <v>0</v>
      </c>
      <c r="U46" s="43"/>
    </row>
    <row r="47" spans="1:21">
      <c r="A47" s="48" t="s">
        <v>41</v>
      </c>
      <c r="B47" s="53">
        <f>IF('Datos Mun'!B45="AMM",$B$5*'Datos Mun'!AC45,0)</f>
        <v>0</v>
      </c>
      <c r="C47" s="53">
        <f>IF('Datos Mun'!B45="AMM",$C$5*'Datos Mun'!AF45,0)</f>
        <v>0</v>
      </c>
      <c r="D47" s="53">
        <f>IF('Datos Mun'!B45="AMM",$D$5*'Datos Mun'!AI45,0)</f>
        <v>0</v>
      </c>
      <c r="E47" s="54">
        <f t="shared" si="0"/>
        <v>0</v>
      </c>
      <c r="F47" s="60">
        <f t="shared" si="1"/>
        <v>0</v>
      </c>
      <c r="G47" s="43"/>
      <c r="H47" s="48" t="s">
        <v>41</v>
      </c>
      <c r="I47" s="53">
        <f>IF('Datos Mun'!B45="AMM",0,$B$5*'Datos Mun'!AC45)</f>
        <v>42069915.947241865</v>
      </c>
      <c r="J47" s="53">
        <f>IF('Datos Mun'!B45="AMM",0,$J$5*'Datos Mun'!AF45)</f>
        <v>205913618.18037701</v>
      </c>
      <c r="K47" s="53">
        <f>IF('Datos Mun'!B45="AMM",0,$K$5*'Datos Mun'!AI45)</f>
        <v>66945819.538837545</v>
      </c>
      <c r="L47" s="54">
        <f t="shared" si="2"/>
        <v>314929353.6664564</v>
      </c>
      <c r="M47" s="60">
        <f t="shared" si="3"/>
        <v>4.1829568659675458E-2</v>
      </c>
      <c r="O47" s="48" t="s">
        <v>41</v>
      </c>
      <c r="P47" s="53">
        <f>IF('Datos Mun'!D45="Zona de Crec",'Datos Mun'!AC45*'Art 14 F I'!$P$5,0)</f>
        <v>42069915.947241865</v>
      </c>
      <c r="Q47" s="53">
        <f>IF('Datos Mun'!D45="Zona de Crec",$Q$5*'Datos Mun'!AF45,0)</f>
        <v>205913618.18037701</v>
      </c>
      <c r="R47" s="53">
        <f>IF('Datos Mun'!D45="Zona de Crec",$R$5*'Datos Mun'!AI45,0)</f>
        <v>66945819.538837545</v>
      </c>
      <c r="S47" s="54">
        <f t="shared" si="4"/>
        <v>314929353.6664564</v>
      </c>
      <c r="T47" s="60">
        <f t="shared" si="5"/>
        <v>3.0353223825966943E-2</v>
      </c>
      <c r="U47" s="43"/>
    </row>
    <row r="48" spans="1:21">
      <c r="A48" s="48" t="s">
        <v>42</v>
      </c>
      <c r="B48" s="53">
        <f>IF('Datos Mun'!B46="AMM",$B$5*'Datos Mun'!AC46,0)</f>
        <v>0</v>
      </c>
      <c r="C48" s="53">
        <f>IF('Datos Mun'!B46="AMM",$C$5*'Datos Mun'!AF46,0)</f>
        <v>0</v>
      </c>
      <c r="D48" s="53">
        <f>IF('Datos Mun'!B46="AMM",$D$5*'Datos Mun'!AI46,0)</f>
        <v>0</v>
      </c>
      <c r="E48" s="54">
        <f t="shared" si="0"/>
        <v>0</v>
      </c>
      <c r="F48" s="60">
        <f t="shared" si="1"/>
        <v>0</v>
      </c>
      <c r="G48" s="43"/>
      <c r="H48" s="48" t="s">
        <v>42</v>
      </c>
      <c r="I48" s="53">
        <f>IF('Datos Mun'!B46="AMM",0,$B$5*'Datos Mun'!AC46)</f>
        <v>1880385.8480132287</v>
      </c>
      <c r="J48" s="53">
        <f>IF('Datos Mun'!B46="AMM",0,$J$5*'Datos Mun'!AF46)</f>
        <v>36062008.24280034</v>
      </c>
      <c r="K48" s="53">
        <f>IF('Datos Mun'!B46="AMM",0,$K$5*'Datos Mun'!AI46)</f>
        <v>32984444.032532446</v>
      </c>
      <c r="L48" s="54">
        <f t="shared" si="2"/>
        <v>70926838.123346016</v>
      </c>
      <c r="M48" s="60">
        <f t="shared" si="3"/>
        <v>9.4206494585334401E-3</v>
      </c>
      <c r="O48" s="48" t="s">
        <v>42</v>
      </c>
      <c r="P48" s="53">
        <f>IF('Datos Mun'!D46="Zona de Crec",'Datos Mun'!AC46*'Art 14 F I'!$P$5,0)</f>
        <v>0</v>
      </c>
      <c r="Q48" s="53">
        <f>IF('Datos Mun'!D46="Zona de Crec",$Q$5*'Datos Mun'!AF46,0)</f>
        <v>0</v>
      </c>
      <c r="R48" s="53">
        <f>IF('Datos Mun'!D46="Zona de Crec",$R$5*'Datos Mun'!AI46,0)</f>
        <v>0</v>
      </c>
      <c r="S48" s="54">
        <f t="shared" si="4"/>
        <v>0</v>
      </c>
      <c r="T48" s="60">
        <f t="shared" si="5"/>
        <v>0</v>
      </c>
      <c r="U48" s="43"/>
    </row>
    <row r="49" spans="1:21">
      <c r="A49" s="48" t="s">
        <v>43</v>
      </c>
      <c r="B49" s="53">
        <f>IF('Datos Mun'!B47="AMM",$B$5*'Datos Mun'!AC47,0)</f>
        <v>0</v>
      </c>
      <c r="C49" s="53">
        <f>IF('Datos Mun'!B47="AMM",$C$5*'Datos Mun'!AF47,0)</f>
        <v>0</v>
      </c>
      <c r="D49" s="53">
        <f>IF('Datos Mun'!B47="AMM",$D$5*'Datos Mun'!AI47,0)</f>
        <v>0</v>
      </c>
      <c r="E49" s="54">
        <f t="shared" si="0"/>
        <v>0</v>
      </c>
      <c r="F49" s="60">
        <f t="shared" si="1"/>
        <v>0</v>
      </c>
      <c r="G49" s="43"/>
      <c r="H49" s="48" t="s">
        <v>43</v>
      </c>
      <c r="I49" s="53">
        <f>IF('Datos Mun'!B47="AMM",0,$B$5*'Datos Mun'!AC47)</f>
        <v>607405.903699268</v>
      </c>
      <c r="J49" s="53">
        <f>IF('Datos Mun'!B47="AMM",0,$J$5*'Datos Mun'!AF47)</f>
        <v>17666122.916327029</v>
      </c>
      <c r="K49" s="53">
        <f>IF('Datos Mun'!B47="AMM",0,$K$5*'Datos Mun'!AI47)</f>
        <v>98272742.581438139</v>
      </c>
      <c r="L49" s="54">
        <f t="shared" si="2"/>
        <v>116546271.40146443</v>
      </c>
      <c r="M49" s="60">
        <f t="shared" si="3"/>
        <v>1.5479917019040257E-2</v>
      </c>
      <c r="O49" s="48" t="s">
        <v>43</v>
      </c>
      <c r="P49" s="53">
        <f>IF('Datos Mun'!D47="Zona de Crec",'Datos Mun'!AC47*'Art 14 F I'!$P$5,0)</f>
        <v>0</v>
      </c>
      <c r="Q49" s="53">
        <f>IF('Datos Mun'!D47="Zona de Crec",$Q$5*'Datos Mun'!AF47,0)</f>
        <v>0</v>
      </c>
      <c r="R49" s="53">
        <f>IF('Datos Mun'!D47="Zona de Crec",$R$5*'Datos Mun'!AI47,0)</f>
        <v>0</v>
      </c>
      <c r="S49" s="54">
        <f t="shared" si="4"/>
        <v>0</v>
      </c>
      <c r="T49" s="60">
        <f t="shared" si="5"/>
        <v>0</v>
      </c>
      <c r="U49" s="43"/>
    </row>
    <row r="50" spans="1:21">
      <c r="A50" s="48" t="s">
        <v>44</v>
      </c>
      <c r="B50" s="53">
        <f>IF('Datos Mun'!B48="AMM",$B$5*'Datos Mun'!AC48,0)</f>
        <v>0</v>
      </c>
      <c r="C50" s="53">
        <f>IF('Datos Mun'!B48="AMM",$C$5*'Datos Mun'!AF48,0)</f>
        <v>0</v>
      </c>
      <c r="D50" s="53">
        <f>IF('Datos Mun'!B48="AMM",$D$5*'Datos Mun'!AI48,0)</f>
        <v>0</v>
      </c>
      <c r="E50" s="54">
        <f t="shared" si="0"/>
        <v>0</v>
      </c>
      <c r="F50" s="60">
        <f t="shared" si="1"/>
        <v>0</v>
      </c>
      <c r="G50" s="43"/>
      <c r="H50" s="48" t="s">
        <v>44</v>
      </c>
      <c r="I50" s="53">
        <f>IF('Datos Mun'!B48="AMM",0,$B$5*'Datos Mun'!AC48)</f>
        <v>37548531.609936908</v>
      </c>
      <c r="J50" s="53">
        <f>IF('Datos Mun'!B48="AMM",0,$J$5*'Datos Mun'!AF48)</f>
        <v>79946406.672722876</v>
      </c>
      <c r="K50" s="53">
        <f>IF('Datos Mun'!B48="AMM",0,$K$5*'Datos Mun'!AI48)</f>
        <v>93996369.426216468</v>
      </c>
      <c r="L50" s="54">
        <f t="shared" si="2"/>
        <v>211491307.70887625</v>
      </c>
      <c r="M50" s="60">
        <f t="shared" si="3"/>
        <v>2.8090713278199106E-2</v>
      </c>
      <c r="O50" s="48" t="s">
        <v>44</v>
      </c>
      <c r="P50" s="53">
        <f>IF('Datos Mun'!D48="Zona de Crec",'Datos Mun'!AC48*'Art 14 F I'!$P$5,0)</f>
        <v>0</v>
      </c>
      <c r="Q50" s="53">
        <f>IF('Datos Mun'!D48="Zona de Crec",$Q$5*'Datos Mun'!AF48,0)</f>
        <v>0</v>
      </c>
      <c r="R50" s="53">
        <f>IF('Datos Mun'!D48="Zona de Crec",$R$5*'Datos Mun'!AI48,0)</f>
        <v>0</v>
      </c>
      <c r="S50" s="54">
        <f t="shared" si="4"/>
        <v>0</v>
      </c>
      <c r="T50" s="60">
        <f t="shared" si="5"/>
        <v>0</v>
      </c>
      <c r="U50" s="43"/>
    </row>
    <row r="51" spans="1:21">
      <c r="A51" s="48" t="s">
        <v>45</v>
      </c>
      <c r="B51" s="53">
        <f>IF('Datos Mun'!B49="AMM",$B$5*'Datos Mun'!AC49,0)</f>
        <v>35080673.568464808</v>
      </c>
      <c r="C51" s="53">
        <f>IF('Datos Mun'!B49="AMM",$C$5*'Datos Mun'!AF49,0)</f>
        <v>152708531.43538517</v>
      </c>
      <c r="D51" s="53">
        <f>IF('Datos Mun'!B49="AMM",$D$5*'Datos Mun'!AI49,0)</f>
        <v>163777754.39920995</v>
      </c>
      <c r="E51" s="54">
        <f t="shared" si="0"/>
        <v>351566959.40305996</v>
      </c>
      <c r="F51" s="60">
        <f t="shared" si="1"/>
        <v>1.2032509112204463E-2</v>
      </c>
      <c r="G51" s="43"/>
      <c r="H51" s="48" t="s">
        <v>45</v>
      </c>
      <c r="I51" s="53">
        <f>IF('Datos Mun'!B49="AMM",0,$B$5*'Datos Mun'!AC49)</f>
        <v>0</v>
      </c>
      <c r="J51" s="53">
        <f>IF('Datos Mun'!B49="AMM",0,$J$5*'Datos Mun'!AF49)</f>
        <v>0</v>
      </c>
      <c r="K51" s="53">
        <f>IF('Datos Mun'!B49="AMM",0,$K$5*'Datos Mun'!AI49)</f>
        <v>0</v>
      </c>
      <c r="L51" s="54">
        <f t="shared" si="2"/>
        <v>0</v>
      </c>
      <c r="M51" s="60">
        <f t="shared" si="3"/>
        <v>0</v>
      </c>
      <c r="O51" s="48" t="s">
        <v>45</v>
      </c>
      <c r="P51" s="53">
        <f>IF('Datos Mun'!D49="Zona de Crec",'Datos Mun'!AC49*'Art 14 F I'!$P$5,0)</f>
        <v>35080673.568464808</v>
      </c>
      <c r="Q51" s="53">
        <f>IF('Datos Mun'!D49="Zona de Crec",$Q$5*'Datos Mun'!AF49,0)</f>
        <v>152708531.43538517</v>
      </c>
      <c r="R51" s="53">
        <f>IF('Datos Mun'!D49="Zona de Crec",$R$5*'Datos Mun'!AI49,0)</f>
        <v>163777754.39920995</v>
      </c>
      <c r="S51" s="54">
        <f t="shared" si="4"/>
        <v>351566959.40305996</v>
      </c>
      <c r="T51" s="60">
        <f t="shared" si="5"/>
        <v>3.388439497411104E-2</v>
      </c>
      <c r="U51" s="43"/>
    </row>
    <row r="52" spans="1:21">
      <c r="A52" s="48" t="s">
        <v>46</v>
      </c>
      <c r="B52" s="53">
        <f>IF('Datos Mun'!B50="AMM",$B$5*'Datos Mun'!AC50,0)</f>
        <v>1689672394.2399371</v>
      </c>
      <c r="C52" s="53">
        <f>IF('Datos Mun'!B50="AMM",$C$5*'Datos Mun'!AF50,0)</f>
        <v>557739196.94974732</v>
      </c>
      <c r="D52" s="53">
        <f>IF('Datos Mun'!B50="AMM",$D$5*'Datos Mun'!AI50,0)</f>
        <v>320035240.70467687</v>
      </c>
      <c r="E52" s="54">
        <f t="shared" si="0"/>
        <v>2567446831.8943615</v>
      </c>
      <c r="F52" s="60">
        <f t="shared" si="1"/>
        <v>8.7871816658549456E-2</v>
      </c>
      <c r="G52" s="43"/>
      <c r="H52" s="48" t="s">
        <v>46</v>
      </c>
      <c r="I52" s="53">
        <f>IF('Datos Mun'!B50="AMM",0,$B$5*'Datos Mun'!AC50)</f>
        <v>0</v>
      </c>
      <c r="J52" s="53">
        <f>IF('Datos Mun'!B50="AMM",0,$J$5*'Datos Mun'!AF50)</f>
        <v>0</v>
      </c>
      <c r="K52" s="53">
        <f>IF('Datos Mun'!B50="AMM",0,$K$5*'Datos Mun'!AI50)</f>
        <v>0</v>
      </c>
      <c r="L52" s="54">
        <f t="shared" si="2"/>
        <v>0</v>
      </c>
      <c r="M52" s="60">
        <f t="shared" si="3"/>
        <v>0</v>
      </c>
      <c r="O52" s="48" t="s">
        <v>46</v>
      </c>
      <c r="P52" s="53">
        <f>IF('Datos Mun'!D50="Zona de Crec",'Datos Mun'!AC50*'Art 14 F I'!$P$5,0)</f>
        <v>0</v>
      </c>
      <c r="Q52" s="53">
        <f>IF('Datos Mun'!D50="Zona de Crec",$Q$5*'Datos Mun'!AF50,0)</f>
        <v>0</v>
      </c>
      <c r="R52" s="53">
        <f>IF('Datos Mun'!D50="Zona de Crec",$R$5*'Datos Mun'!AI50,0)</f>
        <v>0</v>
      </c>
      <c r="S52" s="54">
        <f t="shared" si="4"/>
        <v>0</v>
      </c>
      <c r="T52" s="60">
        <f t="shared" si="5"/>
        <v>0</v>
      </c>
      <c r="U52" s="43"/>
    </row>
    <row r="53" spans="1:21">
      <c r="A53" s="48" t="s">
        <v>47</v>
      </c>
      <c r="B53" s="53">
        <f>IF('Datos Mun'!B51="AMM",$B$5*'Datos Mun'!AC51,0)</f>
        <v>4643204787.1344404</v>
      </c>
      <c r="C53" s="53">
        <f>IF('Datos Mun'!B51="AMM",$C$5*'Datos Mun'!AF51,0)</f>
        <v>179967202.77229768</v>
      </c>
      <c r="D53" s="53">
        <f>IF('Datos Mun'!B51="AMM",$D$5*'Datos Mun'!AI51,0)</f>
        <v>133531801.60893147</v>
      </c>
      <c r="E53" s="54">
        <f t="shared" si="0"/>
        <v>4956703791.5156698</v>
      </c>
      <c r="F53" s="60">
        <f t="shared" si="1"/>
        <v>0.16964501908591925</v>
      </c>
      <c r="G53" s="43"/>
      <c r="H53" s="48" t="s">
        <v>47</v>
      </c>
      <c r="I53" s="53">
        <f>IF('Datos Mun'!B51="AMM",0,$B$5*'Datos Mun'!AC51)</f>
        <v>0</v>
      </c>
      <c r="J53" s="53">
        <f>IF('Datos Mun'!B51="AMM",0,$J$5*'Datos Mun'!AF51)</f>
        <v>0</v>
      </c>
      <c r="K53" s="53">
        <f>IF('Datos Mun'!B51="AMM",0,$K$5*'Datos Mun'!AI51)</f>
        <v>0</v>
      </c>
      <c r="L53" s="54">
        <f t="shared" si="2"/>
        <v>0</v>
      </c>
      <c r="M53" s="60">
        <f t="shared" si="3"/>
        <v>0</v>
      </c>
      <c r="O53" s="48" t="s">
        <v>47</v>
      </c>
      <c r="P53" s="53">
        <f>IF('Datos Mun'!D51="Zona de Crec",'Datos Mun'!AC51*'Art 14 F I'!$P$5,0)</f>
        <v>0</v>
      </c>
      <c r="Q53" s="53">
        <f>IF('Datos Mun'!D51="Zona de Crec",$Q$5*'Datos Mun'!AF51,0)</f>
        <v>0</v>
      </c>
      <c r="R53" s="53">
        <f>IF('Datos Mun'!D51="Zona de Crec",$R$5*'Datos Mun'!AI51,0)</f>
        <v>0</v>
      </c>
      <c r="S53" s="54">
        <f t="shared" si="4"/>
        <v>0</v>
      </c>
      <c r="T53" s="60">
        <f t="shared" si="5"/>
        <v>0</v>
      </c>
      <c r="U53" s="43"/>
    </row>
    <row r="54" spans="1:21">
      <c r="A54" s="48" t="s">
        <v>48</v>
      </c>
      <c r="B54" s="53">
        <f>IF('Datos Mun'!B52="AMM",$B$5*'Datos Mun'!AC52,0)</f>
        <v>528097449.3374396</v>
      </c>
      <c r="C54" s="53">
        <f>IF('Datos Mun'!B52="AMM",$C$5*'Datos Mun'!AF52,0)</f>
        <v>432510742.92065495</v>
      </c>
      <c r="D54" s="53">
        <f>IF('Datos Mun'!B52="AMM",$D$5*'Datos Mun'!AI52,0)</f>
        <v>339712967.79635602</v>
      </c>
      <c r="E54" s="54">
        <f t="shared" si="0"/>
        <v>1300321160.0544505</v>
      </c>
      <c r="F54" s="60">
        <f t="shared" si="1"/>
        <v>4.4503972255281486E-2</v>
      </c>
      <c r="G54" s="43"/>
      <c r="H54" s="48" t="s">
        <v>48</v>
      </c>
      <c r="I54" s="53">
        <f>IF('Datos Mun'!B52="AMM",0,$B$5*'Datos Mun'!AC52)</f>
        <v>0</v>
      </c>
      <c r="J54" s="53">
        <f>IF('Datos Mun'!B52="AMM",0,$J$5*'Datos Mun'!AF52)</f>
        <v>0</v>
      </c>
      <c r="K54" s="53">
        <f>IF('Datos Mun'!B52="AMM",0,$K$5*'Datos Mun'!AI52)</f>
        <v>0</v>
      </c>
      <c r="L54" s="54">
        <f t="shared" si="2"/>
        <v>0</v>
      </c>
      <c r="M54" s="60">
        <f t="shared" si="3"/>
        <v>0</v>
      </c>
      <c r="O54" s="48" t="s">
        <v>48</v>
      </c>
      <c r="P54" s="53">
        <f>IF('Datos Mun'!D52="Zona de Crec",'Datos Mun'!AC52*'Art 14 F I'!$P$5,0)</f>
        <v>528097449.3374396</v>
      </c>
      <c r="Q54" s="53">
        <f>IF('Datos Mun'!D52="Zona de Crec",$Q$5*'Datos Mun'!AF52,0)</f>
        <v>432510742.92065495</v>
      </c>
      <c r="R54" s="53">
        <f>IF('Datos Mun'!D52="Zona de Crec",$R$5*'Datos Mun'!AI52,0)</f>
        <v>339712967.79635602</v>
      </c>
      <c r="S54" s="54">
        <f t="shared" si="4"/>
        <v>1300321160.0544505</v>
      </c>
      <c r="T54" s="60">
        <f t="shared" si="5"/>
        <v>0.12532632718185907</v>
      </c>
      <c r="U54" s="43"/>
    </row>
    <row r="55" spans="1:21">
      <c r="A55" s="48" t="s">
        <v>49</v>
      </c>
      <c r="B55" s="53">
        <f>IF('Datos Mun'!B53="AMM",$B$5*'Datos Mun'!AC53,0)</f>
        <v>478873959.52387834</v>
      </c>
      <c r="C55" s="53">
        <f>IF('Datos Mun'!B53="AMM",$C$5*'Datos Mun'!AF53,0)</f>
        <v>79173917.782159835</v>
      </c>
      <c r="D55" s="53">
        <f>IF('Datos Mun'!B53="AMM",$D$5*'Datos Mun'!AI53,0)</f>
        <v>101189866.11193697</v>
      </c>
      <c r="E55" s="54">
        <f t="shared" si="0"/>
        <v>659237743.41797507</v>
      </c>
      <c r="F55" s="60">
        <f t="shared" si="1"/>
        <v>2.2562655399285658E-2</v>
      </c>
      <c r="G55" s="43"/>
      <c r="H55" s="48" t="s">
        <v>49</v>
      </c>
      <c r="I55" s="53">
        <f>IF('Datos Mun'!B53="AMM",0,$B$5*'Datos Mun'!AC53)</f>
        <v>0</v>
      </c>
      <c r="J55" s="53">
        <f>IF('Datos Mun'!B53="AMM",0,$J$5*'Datos Mun'!AF53)</f>
        <v>0</v>
      </c>
      <c r="K55" s="53">
        <f>IF('Datos Mun'!B53="AMM",0,$K$5*'Datos Mun'!AI53)</f>
        <v>0</v>
      </c>
      <c r="L55" s="54">
        <f t="shared" si="2"/>
        <v>0</v>
      </c>
      <c r="M55" s="60">
        <f t="shared" si="3"/>
        <v>0</v>
      </c>
      <c r="O55" s="48" t="s">
        <v>49</v>
      </c>
      <c r="P55" s="53">
        <f>IF('Datos Mun'!D53="Zona de Crec",'Datos Mun'!AC53*'Art 14 F I'!$P$5,0)</f>
        <v>478873959.52387834</v>
      </c>
      <c r="Q55" s="53">
        <f>IF('Datos Mun'!D53="Zona de Crec",$Q$5*'Datos Mun'!AF53,0)</f>
        <v>79173917.782159835</v>
      </c>
      <c r="R55" s="53">
        <f>IF('Datos Mun'!D53="Zona de Crec",$R$5*'Datos Mun'!AI53,0)</f>
        <v>101189866.11193697</v>
      </c>
      <c r="S55" s="54">
        <f t="shared" si="4"/>
        <v>659237743.41797507</v>
      </c>
      <c r="T55" s="60">
        <f t="shared" si="5"/>
        <v>6.3538030188458924E-2</v>
      </c>
      <c r="U55" s="43"/>
    </row>
    <row r="56" spans="1:21">
      <c r="A56" s="48" t="s">
        <v>50</v>
      </c>
      <c r="B56" s="53">
        <f>IF('Datos Mun'!B54="AMM",$B$5*'Datos Mun'!AC54,0)</f>
        <v>0</v>
      </c>
      <c r="C56" s="53">
        <f>IF('Datos Mun'!B54="AMM",$C$5*'Datos Mun'!AF54,0)</f>
        <v>0</v>
      </c>
      <c r="D56" s="53">
        <f>IF('Datos Mun'!B54="AMM",$D$5*'Datos Mun'!AI54,0)</f>
        <v>0</v>
      </c>
      <c r="E56" s="54">
        <f t="shared" si="0"/>
        <v>0</v>
      </c>
      <c r="F56" s="60">
        <f t="shared" si="1"/>
        <v>0</v>
      </c>
      <c r="G56" s="43"/>
      <c r="H56" s="48" t="s">
        <v>50</v>
      </c>
      <c r="I56" s="53">
        <f>IF('Datos Mun'!B54="AMM",0,$B$5*'Datos Mun'!AC54)</f>
        <v>5412614.5743770227</v>
      </c>
      <c r="J56" s="53">
        <f>IF('Datos Mun'!B54="AMM",0,$J$5*'Datos Mun'!AF54)</f>
        <v>39995284.792043544</v>
      </c>
      <c r="K56" s="53">
        <f>IF('Datos Mun'!B54="AMM",0,$K$5*'Datos Mun'!AI54)</f>
        <v>20605501.819717411</v>
      </c>
      <c r="L56" s="54">
        <f t="shared" si="2"/>
        <v>66013401.186137974</v>
      </c>
      <c r="M56" s="60">
        <f t="shared" si="3"/>
        <v>8.7680365936888254E-3</v>
      </c>
      <c r="O56" s="48" t="s">
        <v>50</v>
      </c>
      <c r="P56" s="53">
        <f>IF('Datos Mun'!D54="Zona de Crec",'Datos Mun'!AC54*'Art 14 F I'!$P$5,0)</f>
        <v>0</v>
      </c>
      <c r="Q56" s="53">
        <f>IF('Datos Mun'!D54="Zona de Crec",$Q$5*'Datos Mun'!AF54,0)</f>
        <v>0</v>
      </c>
      <c r="R56" s="53">
        <f>IF('Datos Mun'!D54="Zona de Crec",$R$5*'Datos Mun'!AI54,0)</f>
        <v>0</v>
      </c>
      <c r="S56" s="54">
        <f t="shared" si="4"/>
        <v>0</v>
      </c>
      <c r="T56" s="60">
        <f t="shared" si="5"/>
        <v>0</v>
      </c>
      <c r="U56" s="43"/>
    </row>
    <row r="57" spans="1:21">
      <c r="A57" s="48" t="s">
        <v>51</v>
      </c>
      <c r="B57" s="53">
        <f>IF('Datos Mun'!B55="AMM",$B$5*'Datos Mun'!AC55,0)</f>
        <v>0</v>
      </c>
      <c r="C57" s="53">
        <f>IF('Datos Mun'!B55="AMM",$C$5*'Datos Mun'!AF55,0)</f>
        <v>0</v>
      </c>
      <c r="D57" s="53">
        <f>IF('Datos Mun'!B55="AMM",$D$5*'Datos Mun'!AI55,0)</f>
        <v>0</v>
      </c>
      <c r="E57" s="54">
        <f t="shared" si="0"/>
        <v>0</v>
      </c>
      <c r="F57" s="60">
        <f t="shared" si="1"/>
        <v>0</v>
      </c>
      <c r="G57" s="43"/>
      <c r="H57" s="48" t="s">
        <v>51</v>
      </c>
      <c r="I57" s="53">
        <f>IF('Datos Mun'!B55="AMM",0,$B$5*'Datos Mun'!AC55)</f>
        <v>1778204.8700951799</v>
      </c>
      <c r="J57" s="53">
        <f>IF('Datos Mun'!B55="AMM",0,$J$5*'Datos Mun'!AF55)</f>
        <v>23699219.743798546</v>
      </c>
      <c r="K57" s="53">
        <f>IF('Datos Mun'!B55="AMM",0,$K$5*'Datos Mun'!AI55)</f>
        <v>19281086.823445484</v>
      </c>
      <c r="L57" s="54">
        <f t="shared" si="2"/>
        <v>44758511.437339209</v>
      </c>
      <c r="M57" s="60">
        <f t="shared" si="3"/>
        <v>5.9449181395010231E-3</v>
      </c>
      <c r="O57" s="48" t="s">
        <v>51</v>
      </c>
      <c r="P57" s="53">
        <f>IF('Datos Mun'!D55="Zona de Crec",'Datos Mun'!AC55*'Art 14 F I'!$P$5,0)</f>
        <v>0</v>
      </c>
      <c r="Q57" s="53">
        <f>IF('Datos Mun'!D55="Zona de Crec",$Q$5*'Datos Mun'!AF55,0)</f>
        <v>0</v>
      </c>
      <c r="R57" s="53">
        <f>IF('Datos Mun'!D55="Zona de Crec",$R$5*'Datos Mun'!AI55,0)</f>
        <v>0</v>
      </c>
      <c r="S57" s="54">
        <f t="shared" si="4"/>
        <v>0</v>
      </c>
      <c r="T57" s="60">
        <f t="shared" si="5"/>
        <v>0</v>
      </c>
      <c r="U57" s="43"/>
    </row>
    <row r="58" spans="1:21" ht="13.8" thickBot="1">
      <c r="A58" s="49" t="s">
        <v>52</v>
      </c>
      <c r="B58" s="55">
        <f>SUM(B7:B57)</f>
        <v>17883680686.455563</v>
      </c>
      <c r="C58" s="55">
        <f>SUM(C7:C57)</f>
        <v>6756928546.1154671</v>
      </c>
      <c r="D58" s="55">
        <f>SUM(D7:D57)</f>
        <v>4577482864.8177652</v>
      </c>
      <c r="E58" s="56">
        <f>SUM(E7:E57)</f>
        <v>29218092097.388802</v>
      </c>
      <c r="F58" s="63">
        <f>SUM(F7:F57)</f>
        <v>0.99999999999999978</v>
      </c>
      <c r="G58" s="44"/>
      <c r="H58" s="49" t="s">
        <v>52</v>
      </c>
      <c r="I58" s="55">
        <f>SUM(I7:I57)</f>
        <v>489799992.54443812</v>
      </c>
      <c r="J58" s="55">
        <f>SUM(J7:J57)</f>
        <v>2429811793.3845315</v>
      </c>
      <c r="K58" s="55">
        <f>SUM(K7:K57)</f>
        <v>4609257474.6822348</v>
      </c>
      <c r="L58" s="56">
        <f>SUM(L7:L57)</f>
        <v>7528869260.6112051</v>
      </c>
      <c r="M58" s="58">
        <f>SUM(M7:M57)</f>
        <v>1</v>
      </c>
      <c r="O58" s="49" t="s">
        <v>52</v>
      </c>
      <c r="P58" s="55">
        <f>SUM(P7:P57)</f>
        <v>3772911031.9873772</v>
      </c>
      <c r="Q58" s="55">
        <f>SUM(Q7:Q57)</f>
        <v>4185512907.5548563</v>
      </c>
      <c r="R58" s="55">
        <f>SUM(R7:R57)</f>
        <v>2417058924.2264881</v>
      </c>
      <c r="S58" s="56">
        <f>SUM(S7:S57)</f>
        <v>10375482863.768719</v>
      </c>
      <c r="T58" s="63">
        <f>SUM(T7:T57)</f>
        <v>1.0000000000000002</v>
      </c>
      <c r="U58" s="44"/>
    </row>
    <row r="59" spans="1:21" ht="13.8" thickTop="1"/>
    <row r="61" spans="1:21">
      <c r="E61" s="62"/>
      <c r="F61" s="62"/>
      <c r="S61" s="62"/>
      <c r="T61" s="62"/>
    </row>
    <row r="62" spans="1:21">
      <c r="E62" s="62"/>
      <c r="F62" s="62"/>
      <c r="L62" s="22">
        <f>L58+E58</f>
        <v>36746961358.000008</v>
      </c>
      <c r="S62" s="62"/>
      <c r="T62" s="62"/>
    </row>
    <row r="63" spans="1:21">
      <c r="E63" s="62"/>
      <c r="F63" s="62"/>
      <c r="S63" s="62"/>
      <c r="T63" s="62"/>
    </row>
    <row r="64" spans="1:21">
      <c r="E64" s="62"/>
      <c r="F64" s="62"/>
      <c r="S64" s="62"/>
      <c r="T64" s="62"/>
    </row>
    <row r="65" spans="5:20">
      <c r="E65" s="62"/>
      <c r="F65" s="62"/>
      <c r="S65" s="62"/>
      <c r="T65" s="62"/>
    </row>
    <row r="66" spans="5:20">
      <c r="E66" s="62"/>
      <c r="F66" s="62"/>
      <c r="S66" s="62"/>
      <c r="T66" s="62"/>
    </row>
    <row r="67" spans="5:20">
      <c r="E67" s="62"/>
      <c r="F67" s="62"/>
      <c r="S67" s="62"/>
      <c r="T67" s="62"/>
    </row>
    <row r="68" spans="5:20">
      <c r="E68" s="62"/>
      <c r="F68" s="62"/>
      <c r="S68" s="62"/>
      <c r="T68" s="62"/>
    </row>
    <row r="69" spans="5:20">
      <c r="E69" s="62"/>
      <c r="F69" s="62"/>
      <c r="S69" s="62"/>
      <c r="T69" s="62"/>
    </row>
    <row r="70" spans="5:20">
      <c r="E70" s="62"/>
      <c r="F70" s="62"/>
      <c r="S70" s="62"/>
      <c r="T70" s="62"/>
    </row>
    <row r="71" spans="5:20">
      <c r="E71" s="62"/>
      <c r="F71" s="62"/>
      <c r="S71" s="62"/>
      <c r="T71" s="62"/>
    </row>
    <row r="72" spans="5:20">
      <c r="E72" s="62"/>
      <c r="F72" s="62"/>
      <c r="S72" s="62"/>
      <c r="T72" s="62"/>
    </row>
    <row r="73" spans="5:20">
      <c r="E73" s="62"/>
      <c r="F73" s="62"/>
      <c r="S73" s="62"/>
      <c r="T73" s="62"/>
    </row>
    <row r="74" spans="5:20">
      <c r="E74" s="62"/>
      <c r="F74" s="62"/>
      <c r="S74" s="62"/>
      <c r="T74" s="62"/>
    </row>
    <row r="75" spans="5:20">
      <c r="E75" s="62"/>
      <c r="F75" s="62"/>
      <c r="S75" s="62"/>
      <c r="T75" s="62"/>
    </row>
    <row r="76" spans="5:20">
      <c r="E76" s="62"/>
      <c r="F76" s="62"/>
      <c r="S76" s="62"/>
      <c r="T76" s="62"/>
    </row>
    <row r="77" spans="5:20">
      <c r="E77" s="62"/>
      <c r="F77" s="62"/>
      <c r="S77" s="62"/>
      <c r="T77" s="62"/>
    </row>
    <row r="78" spans="5:20">
      <c r="E78" s="62"/>
      <c r="F78" s="62"/>
      <c r="S78" s="62"/>
      <c r="T78" s="62"/>
    </row>
    <row r="79" spans="5:20">
      <c r="E79" s="62"/>
      <c r="F79" s="62"/>
      <c r="S79" s="62"/>
      <c r="T79" s="62"/>
    </row>
    <row r="80" spans="5:20">
      <c r="E80" s="62"/>
      <c r="F80" s="62"/>
      <c r="S80" s="62"/>
      <c r="T80" s="62"/>
    </row>
    <row r="81" spans="5:20">
      <c r="E81" s="62"/>
      <c r="F81" s="62"/>
      <c r="S81" s="62"/>
      <c r="T81" s="62"/>
    </row>
    <row r="82" spans="5:20">
      <c r="E82" s="62"/>
      <c r="F82" s="62"/>
      <c r="S82" s="62"/>
      <c r="T82" s="62"/>
    </row>
    <row r="83" spans="5:20">
      <c r="E83" s="62"/>
      <c r="F83" s="62"/>
      <c r="S83" s="62"/>
      <c r="T83" s="62"/>
    </row>
    <row r="84" spans="5:20">
      <c r="E84" s="62"/>
      <c r="F84" s="62"/>
      <c r="S84" s="62"/>
      <c r="T84" s="62"/>
    </row>
    <row r="85" spans="5:20">
      <c r="E85" s="62"/>
      <c r="F85" s="62"/>
      <c r="S85" s="62"/>
      <c r="T85" s="62"/>
    </row>
    <row r="86" spans="5:20">
      <c r="E86" s="62"/>
      <c r="F86" s="62"/>
      <c r="S86" s="62"/>
      <c r="T86" s="62"/>
    </row>
    <row r="87" spans="5:20">
      <c r="E87" s="62"/>
      <c r="F87" s="62"/>
      <c r="S87" s="62"/>
      <c r="T87" s="62"/>
    </row>
    <row r="88" spans="5:20">
      <c r="E88" s="62"/>
      <c r="F88" s="62"/>
      <c r="S88" s="62"/>
      <c r="T88" s="62"/>
    </row>
    <row r="89" spans="5:20">
      <c r="E89" s="62"/>
      <c r="F89" s="62"/>
      <c r="S89" s="62"/>
      <c r="T89" s="62"/>
    </row>
    <row r="90" spans="5:20">
      <c r="E90" s="62"/>
      <c r="F90" s="62"/>
      <c r="S90" s="62"/>
      <c r="T90" s="62"/>
    </row>
    <row r="91" spans="5:20">
      <c r="E91" s="62"/>
      <c r="F91" s="62"/>
      <c r="S91" s="62"/>
      <c r="T91" s="62"/>
    </row>
    <row r="92" spans="5:20">
      <c r="E92" s="62"/>
      <c r="F92" s="62"/>
      <c r="S92" s="62"/>
      <c r="T92" s="62"/>
    </row>
    <row r="93" spans="5:20">
      <c r="E93" s="62"/>
      <c r="F93" s="62"/>
      <c r="S93" s="62"/>
      <c r="T93" s="62"/>
    </row>
    <row r="94" spans="5:20">
      <c r="E94" s="62"/>
      <c r="F94" s="62"/>
      <c r="S94" s="62"/>
      <c r="T94" s="62"/>
    </row>
    <row r="95" spans="5:20">
      <c r="E95" s="62"/>
      <c r="F95" s="62"/>
      <c r="S95" s="62"/>
      <c r="T95" s="62"/>
    </row>
    <row r="96" spans="5:20">
      <c r="E96" s="62"/>
      <c r="F96" s="62"/>
      <c r="S96" s="62"/>
      <c r="T96" s="62"/>
    </row>
    <row r="97" spans="5:20">
      <c r="E97" s="62"/>
      <c r="F97" s="62"/>
      <c r="S97" s="62"/>
      <c r="T97" s="62"/>
    </row>
    <row r="98" spans="5:20">
      <c r="E98" s="62"/>
      <c r="F98" s="62"/>
      <c r="S98" s="62"/>
      <c r="T98" s="62"/>
    </row>
    <row r="99" spans="5:20">
      <c r="E99" s="62"/>
      <c r="F99" s="62"/>
      <c r="S99" s="62"/>
      <c r="T99" s="62"/>
    </row>
    <row r="100" spans="5:20">
      <c r="E100" s="62"/>
      <c r="F100" s="62"/>
      <c r="S100" s="62"/>
      <c r="T100" s="62"/>
    </row>
    <row r="101" spans="5:20">
      <c r="E101" s="62"/>
      <c r="F101" s="62"/>
      <c r="S101" s="62"/>
      <c r="T101" s="62"/>
    </row>
    <row r="102" spans="5:20">
      <c r="E102" s="62"/>
      <c r="F102" s="62"/>
      <c r="S102" s="62"/>
      <c r="T102" s="62"/>
    </row>
    <row r="103" spans="5:20">
      <c r="E103" s="62"/>
      <c r="F103" s="62"/>
      <c r="S103" s="62"/>
      <c r="T103" s="62"/>
    </row>
    <row r="104" spans="5:20">
      <c r="E104" s="62"/>
      <c r="F104" s="62"/>
      <c r="S104" s="62"/>
      <c r="T104" s="62"/>
    </row>
    <row r="105" spans="5:20">
      <c r="E105" s="62"/>
      <c r="F105" s="62"/>
      <c r="S105" s="62"/>
      <c r="T105" s="62"/>
    </row>
    <row r="106" spans="5:20">
      <c r="E106" s="62"/>
      <c r="F106" s="62"/>
      <c r="S106" s="62"/>
      <c r="T106" s="62"/>
    </row>
    <row r="107" spans="5:20">
      <c r="E107" s="62"/>
      <c r="F107" s="62"/>
      <c r="S107" s="62"/>
      <c r="T107" s="62"/>
    </row>
    <row r="108" spans="5:20">
      <c r="E108" s="62"/>
      <c r="F108" s="62"/>
      <c r="S108" s="62"/>
      <c r="T108" s="62"/>
    </row>
    <row r="109" spans="5:20">
      <c r="E109" s="62"/>
      <c r="F109" s="62"/>
      <c r="S109" s="62"/>
      <c r="T109" s="62"/>
    </row>
    <row r="110" spans="5:20">
      <c r="E110" s="62"/>
      <c r="F110" s="62"/>
      <c r="S110" s="62"/>
      <c r="T110" s="62"/>
    </row>
    <row r="111" spans="5:20">
      <c r="E111" s="62"/>
      <c r="F111" s="62"/>
      <c r="S111" s="62"/>
      <c r="T111" s="62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showGridLines="0" topLeftCell="A13" zoomScaleNormal="100" zoomScaleSheetLayoutView="100" workbookViewId="0">
      <selection activeCell="C18" sqref="C18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13.6640625" style="70" bestFit="1" customWidth="1"/>
    <col min="4" max="4" width="25.6640625" style="70" bestFit="1" customWidth="1"/>
    <col min="5" max="5" width="18.44140625" style="70" customWidth="1"/>
    <col min="6" max="6" width="16.44140625" style="70" bestFit="1" customWidth="1"/>
    <col min="7" max="7" width="13.77734375" style="70" bestFit="1" customWidth="1"/>
    <col min="8" max="8" width="12.6640625" style="70" bestFit="1" customWidth="1"/>
    <col min="9" max="16384" width="11.44140625" style="70"/>
  </cols>
  <sheetData>
    <row r="1" spans="1:8" ht="27.75" customHeight="1">
      <c r="A1" s="293" t="s">
        <v>200</v>
      </c>
      <c r="B1" s="293"/>
      <c r="C1" s="293"/>
      <c r="D1" s="293"/>
      <c r="E1" s="293"/>
    </row>
    <row r="2" spans="1:8" ht="26.4">
      <c r="A2" s="102" t="s">
        <v>119</v>
      </c>
      <c r="B2" s="102" t="s">
        <v>199</v>
      </c>
      <c r="C2" s="102" t="s">
        <v>208</v>
      </c>
      <c r="D2" s="102" t="s">
        <v>102</v>
      </c>
      <c r="E2" s="102" t="s">
        <v>103</v>
      </c>
      <c r="F2" s="102" t="s">
        <v>122</v>
      </c>
    </row>
    <row r="3" spans="1:8" ht="25.5" customHeight="1">
      <c r="A3" s="103" t="s">
        <v>55</v>
      </c>
      <c r="B3" s="286">
        <v>2755728596</v>
      </c>
      <c r="C3" s="286">
        <v>638895507</v>
      </c>
      <c r="D3" s="105">
        <v>0.2</v>
      </c>
      <c r="E3" s="290">
        <f>(B3+C3)*D3</f>
        <v>678924820.60000002</v>
      </c>
      <c r="F3" s="113">
        <f>(B3+C3)-E3</f>
        <v>2715699282.4000001</v>
      </c>
      <c r="H3" s="292">
        <f>B3+C3</f>
        <v>3394624103</v>
      </c>
    </row>
    <row r="4" spans="1:8" ht="25.5" customHeight="1">
      <c r="A4" s="103" t="s">
        <v>60</v>
      </c>
      <c r="B4" s="286">
        <v>74053509</v>
      </c>
      <c r="C4" s="286">
        <v>12215321</v>
      </c>
      <c r="D4" s="105">
        <v>1</v>
      </c>
      <c r="E4" s="290">
        <f t="shared" ref="E4:E12" si="0">(B4+C4)*D4</f>
        <v>86268830</v>
      </c>
      <c r="F4" s="113">
        <f t="shared" ref="F4:F12" si="1">(B4+C4)-E4</f>
        <v>0</v>
      </c>
      <c r="H4" s="292">
        <f t="shared" ref="H4:H7" si="2">B4+C4</f>
        <v>86268830</v>
      </c>
    </row>
    <row r="5" spans="1:8" ht="25.5" customHeight="1">
      <c r="A5" s="103" t="s">
        <v>61</v>
      </c>
      <c r="B5" s="286">
        <v>21512420.316010065</v>
      </c>
      <c r="C5" s="286">
        <v>1497484</v>
      </c>
      <c r="D5" s="105">
        <v>1</v>
      </c>
      <c r="E5" s="290">
        <f t="shared" si="0"/>
        <v>23009904.316010065</v>
      </c>
      <c r="F5" s="113">
        <f t="shared" si="1"/>
        <v>0</v>
      </c>
      <c r="G5" s="71"/>
      <c r="H5" s="292">
        <f t="shared" si="2"/>
        <v>23009904.316010065</v>
      </c>
    </row>
    <row r="6" spans="1:8" ht="25.5" customHeight="1">
      <c r="A6" s="103" t="s">
        <v>56</v>
      </c>
      <c r="B6" s="286">
        <v>85929908.41623643</v>
      </c>
      <c r="C6" s="286">
        <v>16004910</v>
      </c>
      <c r="D6" s="105">
        <v>0.2</v>
      </c>
      <c r="E6" s="290">
        <f t="shared" si="0"/>
        <v>20386963.683247287</v>
      </c>
      <c r="F6" s="113">
        <f t="shared" si="1"/>
        <v>81547854.732989147</v>
      </c>
      <c r="H6" s="292">
        <f t="shared" si="2"/>
        <v>101934818.41623643</v>
      </c>
    </row>
    <row r="7" spans="1:8" ht="25.5" customHeight="1">
      <c r="A7" s="103" t="s">
        <v>57</v>
      </c>
      <c r="B7" s="286">
        <v>75298111</v>
      </c>
      <c r="C7" s="286">
        <v>0</v>
      </c>
      <c r="D7" s="105">
        <v>0.2</v>
      </c>
      <c r="E7" s="290">
        <f t="shared" si="0"/>
        <v>15059622.200000001</v>
      </c>
      <c r="F7" s="113">
        <f t="shared" si="1"/>
        <v>60238488.799999997</v>
      </c>
      <c r="H7" s="292">
        <f t="shared" si="2"/>
        <v>75298111</v>
      </c>
    </row>
    <row r="8" spans="1:8" ht="25.5" customHeight="1">
      <c r="A8" s="103" t="s">
        <v>209</v>
      </c>
      <c r="B8" s="286"/>
      <c r="C8" s="286"/>
      <c r="D8" s="105">
        <v>0.2</v>
      </c>
      <c r="E8" s="290">
        <f t="shared" ref="E8" si="3">(B8+C8)*D8</f>
        <v>0</v>
      </c>
      <c r="F8" s="113">
        <f t="shared" ref="F8" si="4">(B8+C8)-E8</f>
        <v>0</v>
      </c>
      <c r="H8" s="292">
        <f>B9+C9</f>
        <v>71604770</v>
      </c>
    </row>
    <row r="9" spans="1:8" ht="25.5" customHeight="1">
      <c r="A9" s="103" t="s">
        <v>58</v>
      </c>
      <c r="B9" s="286">
        <v>71604770</v>
      </c>
      <c r="C9" s="286">
        <v>0</v>
      </c>
      <c r="D9" s="105">
        <v>0.2</v>
      </c>
      <c r="E9" s="290">
        <f t="shared" si="0"/>
        <v>14320954</v>
      </c>
      <c r="F9" s="113">
        <f t="shared" si="1"/>
        <v>57283816</v>
      </c>
      <c r="H9" s="292">
        <f>B10+C10</f>
        <v>16345374</v>
      </c>
    </row>
    <row r="10" spans="1:8" ht="25.5" customHeight="1">
      <c r="A10" s="103" t="s">
        <v>120</v>
      </c>
      <c r="B10" s="286">
        <v>16345374</v>
      </c>
      <c r="C10" s="286">
        <v>0</v>
      </c>
      <c r="D10" s="105">
        <v>0.2</v>
      </c>
      <c r="E10" s="290">
        <f t="shared" si="0"/>
        <v>3269074.8000000003</v>
      </c>
      <c r="F10" s="113">
        <f t="shared" si="1"/>
        <v>13076299.199999999</v>
      </c>
      <c r="H10" s="292">
        <f>B11+C11</f>
        <v>64508506.363636367</v>
      </c>
    </row>
    <row r="11" spans="1:8" ht="25.5" customHeight="1">
      <c r="A11" s="103" t="s">
        <v>59</v>
      </c>
      <c r="B11" s="286">
        <v>64508506.363636367</v>
      </c>
      <c r="C11" s="286">
        <v>0</v>
      </c>
      <c r="D11" s="105">
        <v>0.2</v>
      </c>
      <c r="E11" s="290">
        <f t="shared" si="0"/>
        <v>12901701.272727273</v>
      </c>
      <c r="F11" s="113">
        <f t="shared" si="1"/>
        <v>51606805.090909094</v>
      </c>
      <c r="H11" s="292">
        <f>B12+C12</f>
        <v>39213170</v>
      </c>
    </row>
    <row r="12" spans="1:8" ht="25.5" customHeight="1">
      <c r="A12" s="103" t="s">
        <v>201</v>
      </c>
      <c r="B12" s="286">
        <v>39213170</v>
      </c>
      <c r="C12" s="286"/>
      <c r="D12" s="105">
        <v>0.2</v>
      </c>
      <c r="E12" s="290">
        <f t="shared" si="0"/>
        <v>7842634</v>
      </c>
      <c r="F12" s="113">
        <f t="shared" si="1"/>
        <v>31370536</v>
      </c>
    </row>
    <row r="13" spans="1:8">
      <c r="A13" s="106" t="s">
        <v>53</v>
      </c>
      <c r="B13" s="289">
        <f>SUM(B3:B12)</f>
        <v>3204194365.0958829</v>
      </c>
      <c r="C13" s="289"/>
      <c r="D13" s="106"/>
      <c r="E13" s="291">
        <f>SUM(E3:E12)</f>
        <v>861984504.87198472</v>
      </c>
      <c r="F13" s="107">
        <f>SUM(F3:F12)</f>
        <v>3010823082.2238984</v>
      </c>
    </row>
    <row r="14" spans="1:8">
      <c r="A14" s="108"/>
      <c r="B14" s="108"/>
      <c r="C14" s="109"/>
      <c r="D14" s="110"/>
    </row>
    <row r="15" spans="1:8">
      <c r="A15" s="111" t="s">
        <v>121</v>
      </c>
      <c r="B15" s="111"/>
      <c r="E15" s="292"/>
    </row>
    <row r="16" spans="1:8" ht="13.8" thickBot="1">
      <c r="B16" s="112"/>
    </row>
    <row r="17" spans="1:4" ht="17.25" customHeight="1" thickTop="1">
      <c r="A17" s="117" t="s">
        <v>129</v>
      </c>
      <c r="B17" s="118" t="s">
        <v>123</v>
      </c>
      <c r="C17" s="118" t="s">
        <v>124</v>
      </c>
      <c r="D17" s="119" t="s">
        <v>185</v>
      </c>
    </row>
    <row r="18" spans="1:4" ht="17.25" customHeight="1">
      <c r="A18" s="120" t="s">
        <v>127</v>
      </c>
      <c r="B18" s="114">
        <f>F13</f>
        <v>3010823082.2238984</v>
      </c>
      <c r="C18" s="114">
        <v>29340863</v>
      </c>
      <c r="D18" s="121">
        <v>0</v>
      </c>
    </row>
    <row r="19" spans="1:4" ht="17.25" customHeight="1">
      <c r="A19" s="120" t="s">
        <v>102</v>
      </c>
      <c r="B19" s="115">
        <v>1.84E-2</v>
      </c>
      <c r="C19" s="115">
        <v>0.35</v>
      </c>
      <c r="D19" s="122">
        <v>1</v>
      </c>
    </row>
    <row r="20" spans="1:4" ht="17.25" customHeight="1">
      <c r="A20" s="120" t="s">
        <v>101</v>
      </c>
      <c r="B20" s="116">
        <f>B18*B19</f>
        <v>55399144.712919727</v>
      </c>
      <c r="C20" s="116">
        <f>C18*C19</f>
        <v>10269302.049999999</v>
      </c>
      <c r="D20" s="285">
        <v>0</v>
      </c>
    </row>
    <row r="21" spans="1:4" ht="24.75" customHeight="1">
      <c r="A21" s="124"/>
      <c r="B21" s="125"/>
      <c r="C21" s="125"/>
      <c r="D21" s="126"/>
    </row>
    <row r="22" spans="1:4">
      <c r="A22" s="300" t="s">
        <v>126</v>
      </c>
      <c r="B22" s="303" t="s">
        <v>125</v>
      </c>
      <c r="C22" s="304"/>
      <c r="D22" s="305"/>
    </row>
    <row r="23" spans="1:4">
      <c r="A23" s="301"/>
      <c r="B23" s="306" t="str">
        <f>IF(B20&gt;D20,"1.84% Particpaciones del Estado","Ley de Egresos 2020")</f>
        <v>1.84% Particpaciones del Estado</v>
      </c>
      <c r="C23" s="306"/>
      <c r="D23" s="307"/>
    </row>
    <row r="24" spans="1:4">
      <c r="A24" s="302"/>
      <c r="B24" s="125"/>
      <c r="C24" s="125"/>
      <c r="D24" s="126"/>
    </row>
    <row r="25" spans="1:4" ht="13.8" thickBot="1">
      <c r="A25" s="127" t="s">
        <v>128</v>
      </c>
      <c r="B25" s="298">
        <f>IF(B23="Ley de Egresos 2020",D20+C20,B20+C20)</f>
        <v>65668446.762919724</v>
      </c>
      <c r="C25" s="308"/>
      <c r="D25" s="299"/>
    </row>
    <row r="26" spans="1:4" ht="13.8" thickTop="1"/>
    <row r="27" spans="1:4" ht="13.8" thickBot="1"/>
    <row r="28" spans="1:4" ht="27" thickTop="1">
      <c r="A28" s="117" t="s">
        <v>177</v>
      </c>
      <c r="B28" s="119" t="s">
        <v>123</v>
      </c>
    </row>
    <row r="29" spans="1:4">
      <c r="A29" s="120" t="s">
        <v>166</v>
      </c>
      <c r="B29" s="121">
        <f>F13</f>
        <v>3010823082.2238984</v>
      </c>
    </row>
    <row r="30" spans="1:4">
      <c r="A30" s="120" t="s">
        <v>102</v>
      </c>
      <c r="B30" s="122">
        <v>1.5299999999999999E-2</v>
      </c>
    </row>
    <row r="31" spans="1:4" ht="13.8" thickBot="1">
      <c r="A31" s="127" t="s">
        <v>101</v>
      </c>
      <c r="B31" s="204">
        <f>B29*B30</f>
        <v>46065593.158025645</v>
      </c>
    </row>
    <row r="32" spans="1:4" ht="27.75" customHeight="1" thickTop="1" thickBot="1"/>
    <row r="33" spans="1:3" ht="27" thickTop="1">
      <c r="A33" s="117" t="s">
        <v>163</v>
      </c>
      <c r="B33" s="119" t="s">
        <v>123</v>
      </c>
    </row>
    <row r="34" spans="1:3">
      <c r="A34" s="120" t="s">
        <v>127</v>
      </c>
      <c r="B34" s="121">
        <f>$F$13</f>
        <v>3010823082.2238984</v>
      </c>
    </row>
    <row r="35" spans="1:3">
      <c r="A35" s="120" t="s">
        <v>102</v>
      </c>
      <c r="B35" s="122">
        <v>5.4000000000000003E-3</v>
      </c>
    </row>
    <row r="36" spans="1:3" ht="13.8" thickBot="1">
      <c r="A36" s="127" t="s">
        <v>101</v>
      </c>
      <c r="B36" s="204">
        <f>B34*B35</f>
        <v>16258444.644009052</v>
      </c>
    </row>
    <row r="37" spans="1:3" ht="14.4" thickTop="1" thickBot="1"/>
    <row r="38" spans="1:3" ht="27" thickTop="1">
      <c r="A38" s="117" t="s">
        <v>165</v>
      </c>
      <c r="B38" s="118" t="s">
        <v>123</v>
      </c>
      <c r="C38" s="119" t="s">
        <v>185</v>
      </c>
    </row>
    <row r="39" spans="1:3">
      <c r="A39" s="120" t="s">
        <v>127</v>
      </c>
      <c r="B39" s="114">
        <f>$F$13</f>
        <v>3010823082.2238984</v>
      </c>
      <c r="C39" s="121">
        <f>367143657/12</f>
        <v>30595304.75</v>
      </c>
    </row>
    <row r="40" spans="1:3">
      <c r="A40" s="120" t="s">
        <v>102</v>
      </c>
      <c r="B40" s="115">
        <v>1.2800000000000001E-2</v>
      </c>
      <c r="C40" s="122">
        <v>1</v>
      </c>
    </row>
    <row r="41" spans="1:3">
      <c r="A41" s="120" t="s">
        <v>101</v>
      </c>
      <c r="B41" s="116">
        <f>B39*B40</f>
        <v>38538535.452465899</v>
      </c>
      <c r="C41" s="123">
        <f>C39*C40</f>
        <v>30595304.75</v>
      </c>
    </row>
    <row r="42" spans="1:3" ht="24" customHeight="1">
      <c r="A42" s="124"/>
      <c r="B42" s="125"/>
      <c r="C42" s="126"/>
    </row>
    <row r="43" spans="1:3">
      <c r="A43" s="300" t="s">
        <v>126</v>
      </c>
      <c r="B43" s="303" t="s">
        <v>167</v>
      </c>
      <c r="C43" s="309"/>
    </row>
    <row r="44" spans="1:3">
      <c r="A44" s="301"/>
      <c r="B44" s="310" t="str">
        <f>IF(B41&gt;C41,"1.28% Particpaciones del Estado","Ley de Egresos 2021")</f>
        <v>1.28% Particpaciones del Estado</v>
      </c>
      <c r="C44" s="311"/>
    </row>
    <row r="45" spans="1:3">
      <c r="A45" s="302"/>
      <c r="B45" s="312"/>
      <c r="C45" s="313"/>
    </row>
    <row r="46" spans="1:3" ht="13.8" thickBot="1">
      <c r="A46" s="127" t="s">
        <v>178</v>
      </c>
      <c r="B46" s="298">
        <f>IF(B44="Ley de Egresos 2021",C41,B41)</f>
        <v>38538535.452465899</v>
      </c>
      <c r="C46" s="299"/>
    </row>
    <row r="47" spans="1:3" ht="13.8" thickTop="1"/>
  </sheetData>
  <mergeCells count="8"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3"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18" t="s">
        <v>99</v>
      </c>
      <c r="B1" s="318"/>
      <c r="C1" s="318"/>
      <c r="D1" s="318"/>
      <c r="E1" s="318"/>
    </row>
    <row r="2" spans="1:5">
      <c r="A2" s="318" t="s">
        <v>100</v>
      </c>
      <c r="B2" s="318"/>
      <c r="C2" s="318"/>
      <c r="D2" s="318"/>
      <c r="E2" s="318"/>
    </row>
    <row r="3" spans="1:5">
      <c r="A3" s="319" t="s">
        <v>187</v>
      </c>
      <c r="B3" s="319"/>
      <c r="C3" s="319"/>
      <c r="D3" s="319"/>
      <c r="E3" s="319"/>
    </row>
    <row r="4" spans="1:5" ht="13.8" thickBot="1"/>
    <row r="5" spans="1:5" ht="37.5" customHeight="1">
      <c r="A5" s="205" t="s">
        <v>0</v>
      </c>
      <c r="B5" s="239" t="s">
        <v>197</v>
      </c>
      <c r="C5" s="236" t="s">
        <v>172</v>
      </c>
      <c r="D5" s="236" t="s">
        <v>173</v>
      </c>
      <c r="E5" s="245"/>
    </row>
    <row r="6" spans="1:5">
      <c r="A6" s="237" t="s">
        <v>1</v>
      </c>
      <c r="B6" s="240">
        <f>'Datos Mun'!AA5</f>
        <v>1718741.9791512869</v>
      </c>
      <c r="C6" s="235">
        <f>IF('Datos Mun'!B5="AMM",Descentralizados!$B$62*'Datos Mun'!AP5,Descentralizados!$B$63*'Datos Mun'!AP5)</f>
        <v>322194.0444947189</v>
      </c>
      <c r="D6" s="235" t="str">
        <f>IF('Datos Mun'!C5="No AMM",IF(Descentralizados!C6-Descentralizados!B6&lt;0,"SI","NO"),0)</f>
        <v>SI</v>
      </c>
      <c r="E6" s="246">
        <f>IF(D6="SI",B6,C6)</f>
        <v>1718741.9791512869</v>
      </c>
    </row>
    <row r="7" spans="1:5">
      <c r="A7" s="237" t="s">
        <v>2</v>
      </c>
      <c r="B7" s="240">
        <f>'Datos Mun'!AA6</f>
        <v>2900632.6783973104</v>
      </c>
      <c r="C7" s="235">
        <f>IF('Datos Mun'!B6="AMM",Descentralizados!$B$62*'Datos Mun'!AP6,Descentralizados!$B$63*'Datos Mun'!AP6)</f>
        <v>1750782.4107147115</v>
      </c>
      <c r="D7" s="235" t="str">
        <f>IF('Datos Mun'!C6="No AMM",IF(Descentralizados!C7-Descentralizados!B7&lt;0,"SI","NO"),0)</f>
        <v>SI</v>
      </c>
      <c r="E7" s="246">
        <f t="shared" ref="E7:E56" si="0">IF(D7="SI",B7,C7)</f>
        <v>2900632.6783973104</v>
      </c>
    </row>
    <row r="8" spans="1:5">
      <c r="A8" s="237" t="s">
        <v>3</v>
      </c>
      <c r="B8" s="240">
        <f>'Datos Mun'!AA7</f>
        <v>2086699.1551099622</v>
      </c>
      <c r="C8" s="235">
        <f>IF('Datos Mun'!B7="AMM",Descentralizados!$B$62*'Datos Mun'!AP7,Descentralizados!$B$63*'Datos Mun'!AP7)</f>
        <v>1903709.7714794634</v>
      </c>
      <c r="D8" s="235" t="str">
        <f>IF('Datos Mun'!C7="No AMM",IF(Descentralizados!C8-Descentralizados!B8&lt;0,"SI","NO"),0)</f>
        <v>SI</v>
      </c>
      <c r="E8" s="246">
        <f t="shared" si="0"/>
        <v>2086699.1551099622</v>
      </c>
    </row>
    <row r="9" spans="1:5">
      <c r="A9" s="237" t="s">
        <v>4</v>
      </c>
      <c r="B9" s="240">
        <f>'Datos Mun'!AA8</f>
        <v>8518240.6165178325</v>
      </c>
      <c r="C9" s="235">
        <f>IF('Datos Mun'!B8="AMM",Descentralizados!$B$62*'Datos Mun'!AP8,Descentralizados!$B$63*'Datos Mun'!AP8)</f>
        <v>6975835.992792137</v>
      </c>
      <c r="D9" s="235" t="str">
        <f>IF('Datos Mun'!C8="No AMM",IF(Descentralizados!C9-Descentralizados!B9&lt;0,"SI","NO"),0)</f>
        <v>SI</v>
      </c>
      <c r="E9" s="246">
        <f t="shared" si="0"/>
        <v>8518240.6165178325</v>
      </c>
    </row>
    <row r="10" spans="1:5">
      <c r="A10" s="237" t="s">
        <v>5</v>
      </c>
      <c r="B10" s="240">
        <f>'Datos Mun'!AA9</f>
        <v>6137628.4181850413</v>
      </c>
      <c r="C10" s="235">
        <f>IF('Datos Mun'!B9="AMM",Descentralizados!$B$62*'Datos Mun'!AP9,Descentralizados!$B$63*'Datos Mun'!AP9)</f>
        <v>5199183.3208104512</v>
      </c>
      <c r="D10" s="235" t="str">
        <f>IF('Datos Mun'!C9="No AMM",IF(Descentralizados!C10-Descentralizados!B10&lt;0,"SI","NO"),0)</f>
        <v>SI</v>
      </c>
      <c r="E10" s="246">
        <f t="shared" si="0"/>
        <v>6137628.4181850413</v>
      </c>
    </row>
    <row r="11" spans="1:5">
      <c r="A11" s="237" t="s">
        <v>6</v>
      </c>
      <c r="B11" s="240">
        <f>'Datos Mun'!AA10</f>
        <v>19810827.893906925</v>
      </c>
      <c r="C11" s="235">
        <f>IF('Datos Mun'!B10="AMM",Descentralizados!$B$62*'Datos Mun'!AP10,Descentralizados!$B$63*'Datos Mun'!AP10)</f>
        <v>20971794.216444165</v>
      </c>
      <c r="D11" s="235">
        <f>IF('Datos Mun'!C10="No AMM",IF(Descentralizados!C11-Descentralizados!B11&lt;0,"SI","NO"),0)</f>
        <v>0</v>
      </c>
      <c r="E11" s="246">
        <f t="shared" si="0"/>
        <v>20971794.216444165</v>
      </c>
    </row>
    <row r="12" spans="1:5">
      <c r="A12" s="237" t="s">
        <v>7</v>
      </c>
      <c r="B12" s="240">
        <f>'Datos Mun'!AA11</f>
        <v>8224675.0942434939</v>
      </c>
      <c r="C12" s="235">
        <f>IF('Datos Mun'!B11="AMM",Descentralizados!$B$62*'Datos Mun'!AP11,Descentralizados!$B$63*'Datos Mun'!AP11)</f>
        <v>7448185.4756562896</v>
      </c>
      <c r="D12" s="235" t="str">
        <f>IF('Datos Mun'!C11="No AMM",IF(Descentralizados!C12-Descentralizados!B12&lt;0,"SI","NO"),0)</f>
        <v>SI</v>
      </c>
      <c r="E12" s="246">
        <f t="shared" si="0"/>
        <v>8224675.0942434939</v>
      </c>
    </row>
    <row r="13" spans="1:5">
      <c r="A13" s="237" t="s">
        <v>8</v>
      </c>
      <c r="B13" s="240">
        <f>'Datos Mun'!AA12</f>
        <v>2974219.0794317215</v>
      </c>
      <c r="C13" s="235">
        <f>IF('Datos Mun'!B12="AMM",Descentralizados!$B$62*'Datos Mun'!AP12,Descentralizados!$B$63*'Datos Mun'!AP12)</f>
        <v>967328.62383585051</v>
      </c>
      <c r="D13" s="235" t="str">
        <f>IF('Datos Mun'!C12="No AMM",IF(Descentralizados!C13-Descentralizados!B13&lt;0,"SI","NO"),0)</f>
        <v>SI</v>
      </c>
      <c r="E13" s="246">
        <f t="shared" si="0"/>
        <v>2974219.0794317215</v>
      </c>
    </row>
    <row r="14" spans="1:5">
      <c r="A14" s="237" t="s">
        <v>9</v>
      </c>
      <c r="B14" s="240">
        <f>'Datos Mun'!AA13</f>
        <v>6080772.1412531286</v>
      </c>
      <c r="C14" s="235">
        <f>IF('Datos Mun'!B13="AMM",Descentralizados!$B$62*'Datos Mun'!AP13,Descentralizados!$B$63*'Datos Mun'!AP13)</f>
        <v>3589326.1225714176</v>
      </c>
      <c r="D14" s="235" t="str">
        <f>IF('Datos Mun'!C13="No AMM",IF(Descentralizados!C14-Descentralizados!B14&lt;0,"SI","NO"),0)</f>
        <v>SI</v>
      </c>
      <c r="E14" s="246">
        <f t="shared" si="0"/>
        <v>6080772.1412531286</v>
      </c>
    </row>
    <row r="15" spans="1:5">
      <c r="A15" s="237" t="s">
        <v>10</v>
      </c>
      <c r="B15" s="240">
        <f>'Datos Mun'!AA14</f>
        <v>3660359.1184544452</v>
      </c>
      <c r="C15" s="235">
        <f>IF('Datos Mun'!B14="AMM",Descentralizados!$B$62*'Datos Mun'!AP14,Descentralizados!$B$63*'Datos Mun'!AP14)</f>
        <v>3732783.4406707622</v>
      </c>
      <c r="D15" s="235" t="str">
        <f>IF('Datos Mun'!C14="No AMM",IF(Descentralizados!C15-Descentralizados!B15&lt;0,"SI","NO"),0)</f>
        <v>NO</v>
      </c>
      <c r="E15" s="246">
        <f t="shared" si="0"/>
        <v>3732783.4406707622</v>
      </c>
    </row>
    <row r="16" spans="1:5">
      <c r="A16" s="237" t="s">
        <v>11</v>
      </c>
      <c r="B16" s="240">
        <f>'Datos Mun'!AA15</f>
        <v>3693123.3689814457</v>
      </c>
      <c r="C16" s="235">
        <f>IF('Datos Mun'!B15="AMM",Descentralizados!$B$62*'Datos Mun'!AP15,Descentralizados!$B$63*'Datos Mun'!AP15)</f>
        <v>2294521.0881827176</v>
      </c>
      <c r="D16" s="235" t="str">
        <f>IF('Datos Mun'!C15="No AMM",IF(Descentralizados!C16-Descentralizados!B16&lt;0,"SI","NO"),0)</f>
        <v>SI</v>
      </c>
      <c r="E16" s="246">
        <f t="shared" si="0"/>
        <v>3693123.3689814457</v>
      </c>
    </row>
    <row r="17" spans="1:5">
      <c r="A17" s="237" t="s">
        <v>12</v>
      </c>
      <c r="B17" s="240">
        <f>'Datos Mun'!AA16</f>
        <v>5563132.2810582956</v>
      </c>
      <c r="C17" s="235">
        <f>IF('Datos Mun'!B16="AMM",Descentralizados!$B$62*'Datos Mun'!AP16,Descentralizados!$B$63*'Datos Mun'!AP16)</f>
        <v>4999659.5991012501</v>
      </c>
      <c r="D17" s="235" t="str">
        <f>IF('Datos Mun'!C16="No AMM",IF(Descentralizados!C17-Descentralizados!B17&lt;0,"SI","NO"),0)</f>
        <v>SI</v>
      </c>
      <c r="E17" s="246">
        <f t="shared" si="0"/>
        <v>5563132.2810582956</v>
      </c>
    </row>
    <row r="18" spans="1:5">
      <c r="A18" s="237" t="s">
        <v>13</v>
      </c>
      <c r="B18" s="240">
        <f>'Datos Mun'!AA17</f>
        <v>3096584.7941487241</v>
      </c>
      <c r="C18" s="235">
        <f>IF('Datos Mun'!B17="AMM",Descentralizados!$B$62*'Datos Mun'!AP17,Descentralizados!$B$63*'Datos Mun'!AP17)</f>
        <v>3261393.7953421841</v>
      </c>
      <c r="D18" s="235" t="str">
        <f>IF('Datos Mun'!C17="No AMM",IF(Descentralizados!C18-Descentralizados!B18&lt;0,"SI","NO"),0)</f>
        <v>NO</v>
      </c>
      <c r="E18" s="246">
        <f t="shared" si="0"/>
        <v>3261393.7953421841</v>
      </c>
    </row>
    <row r="19" spans="1:5">
      <c r="A19" s="237" t="s">
        <v>14</v>
      </c>
      <c r="B19" s="240">
        <f>'Datos Mun'!AA18</f>
        <v>18511579.143657368</v>
      </c>
      <c r="C19" s="235">
        <f>IF('Datos Mun'!B18="AMM",Descentralizados!$B$62*'Datos Mun'!AP18,Descentralizados!$B$63*'Datos Mun'!AP18)</f>
        <v>16833684.697605781</v>
      </c>
      <c r="D19" s="235" t="str">
        <f>IF('Datos Mun'!C18="No AMM",IF(Descentralizados!C19-Descentralizados!B19&lt;0,"SI","NO"),0)</f>
        <v>SI</v>
      </c>
      <c r="E19" s="246">
        <f t="shared" si="0"/>
        <v>18511579.143657368</v>
      </c>
    </row>
    <row r="20" spans="1:5">
      <c r="A20" s="237" t="s">
        <v>15</v>
      </c>
      <c r="B20" s="240">
        <f>'Datos Mun'!AA19</f>
        <v>2627805.792300446</v>
      </c>
      <c r="C20" s="235">
        <f>IF('Datos Mun'!B19="AMM",Descentralizados!$B$62*'Datos Mun'!AP19,Descentralizados!$B$63*'Datos Mun'!AP19)</f>
        <v>2151718.1884123776</v>
      </c>
      <c r="D20" s="235" t="str">
        <f>IF('Datos Mun'!C19="No AMM",IF(Descentralizados!C20-Descentralizados!B20&lt;0,"SI","NO"),0)</f>
        <v>SI</v>
      </c>
      <c r="E20" s="246">
        <f t="shared" si="0"/>
        <v>2627805.792300446</v>
      </c>
    </row>
    <row r="21" spans="1:5">
      <c r="A21" s="237" t="s">
        <v>16</v>
      </c>
      <c r="B21" s="240">
        <f>'Datos Mun'!AA20</f>
        <v>896589.74590828759</v>
      </c>
      <c r="C21" s="235">
        <f>IF('Datos Mun'!B20="AMM",Descentralizados!$B$62*'Datos Mun'!AP20,Descentralizados!$B$63*'Datos Mun'!AP20)</f>
        <v>816655.01108813996</v>
      </c>
      <c r="D21" s="235" t="str">
        <f>IF('Datos Mun'!C20="No AMM",IF(Descentralizados!C21-Descentralizados!B21&lt;0,"SI","NO"),0)</f>
        <v>SI</v>
      </c>
      <c r="E21" s="246">
        <f t="shared" si="0"/>
        <v>896589.74590828759</v>
      </c>
    </row>
    <row r="22" spans="1:5">
      <c r="A22" s="237" t="s">
        <v>17</v>
      </c>
      <c r="B22" s="240">
        <f>'Datos Mun'!AA21</f>
        <v>13770707.582336776</v>
      </c>
      <c r="C22" s="235">
        <f>IF('Datos Mun'!B21="AMM",Descentralizados!$B$62*'Datos Mun'!AP21,Descentralizados!$B$63*'Datos Mun'!AP21)</f>
        <v>12426628.671248956</v>
      </c>
      <c r="D22" s="235" t="str">
        <f>IF('Datos Mun'!C21="No AMM",IF(Descentralizados!C22-Descentralizados!B22&lt;0,"SI","NO"),0)</f>
        <v>SI</v>
      </c>
      <c r="E22" s="246">
        <f t="shared" si="0"/>
        <v>13770707.582336776</v>
      </c>
    </row>
    <row r="23" spans="1:5">
      <c r="A23" s="237" t="s">
        <v>18</v>
      </c>
      <c r="B23" s="240">
        <f>'Datos Mun'!AA22</f>
        <v>6970001.4448454408</v>
      </c>
      <c r="C23" s="235">
        <f>IF('Datos Mun'!B22="AMM",Descentralizados!$B$62*'Datos Mun'!AP22,Descentralizados!$B$63*'Datos Mun'!AP22)</f>
        <v>7968972.8561855499</v>
      </c>
      <c r="D23" s="235">
        <f>IF('Datos Mun'!C22="No AMM",IF(Descentralizados!C23-Descentralizados!B23&lt;0,"SI","NO"),0)</f>
        <v>0</v>
      </c>
      <c r="E23" s="246">
        <f t="shared" si="0"/>
        <v>7968972.8561855499</v>
      </c>
    </row>
    <row r="24" spans="1:5">
      <c r="A24" s="237" t="s">
        <v>19</v>
      </c>
      <c r="B24" s="240">
        <f>'Datos Mun'!AA23</f>
        <v>2314156.6642328231</v>
      </c>
      <c r="C24" s="235">
        <f>IF('Datos Mun'!B23="AMM",Descentralizados!$B$62*'Datos Mun'!AP23,Descentralizados!$B$63*'Datos Mun'!AP23)</f>
        <v>1883341.1181592306</v>
      </c>
      <c r="D24" s="235" t="str">
        <f>IF('Datos Mun'!C23="No AMM",IF(Descentralizados!C24-Descentralizados!B24&lt;0,"SI","NO"),0)</f>
        <v>SI</v>
      </c>
      <c r="E24" s="246">
        <f t="shared" si="0"/>
        <v>2314156.6642328231</v>
      </c>
    </row>
    <row r="25" spans="1:5">
      <c r="A25" s="237" t="s">
        <v>20</v>
      </c>
      <c r="B25" s="240">
        <f>'Datos Mun'!AA24</f>
        <v>13667505.466545394</v>
      </c>
      <c r="C25" s="235">
        <f>IF('Datos Mun'!B24="AMM",Descentralizados!$B$62*'Datos Mun'!AP24,Descentralizados!$B$63*'Datos Mun'!AP24)</f>
        <v>12458164.086880906</v>
      </c>
      <c r="D25" s="235">
        <f>IF('Datos Mun'!C24="No AMM",IF(Descentralizados!C25-Descentralizados!B25&lt;0,"SI","NO"),0)</f>
        <v>0</v>
      </c>
      <c r="E25" s="246">
        <f t="shared" si="0"/>
        <v>12458164.086880906</v>
      </c>
    </row>
    <row r="26" spans="1:5">
      <c r="A26" s="237" t="s">
        <v>21</v>
      </c>
      <c r="B26" s="240">
        <f>'Datos Mun'!AA25</f>
        <v>5035804.9607381914</v>
      </c>
      <c r="C26" s="235">
        <f>IF('Datos Mun'!B25="AMM",Descentralizados!$B$62*'Datos Mun'!AP25,Descentralizados!$B$63*'Datos Mun'!AP25)</f>
        <v>4525439.7080554357</v>
      </c>
      <c r="D26" s="235" t="str">
        <f>IF('Datos Mun'!C25="No AMM",IF(Descentralizados!C26-Descentralizados!B26&lt;0,"SI","NO"),0)</f>
        <v>SI</v>
      </c>
      <c r="E26" s="246">
        <f t="shared" si="0"/>
        <v>5035804.9607381914</v>
      </c>
    </row>
    <row r="27" spans="1:5">
      <c r="A27" s="237" t="s">
        <v>22</v>
      </c>
      <c r="B27" s="240">
        <f>'Datos Mun'!AA26</f>
        <v>2579267.2849072521</v>
      </c>
      <c r="C27" s="235">
        <f>IF('Datos Mun'!B26="AMM",Descentralizados!$B$62*'Datos Mun'!AP26,Descentralizados!$B$63*'Datos Mun'!AP26)</f>
        <v>397328.06383744284</v>
      </c>
      <c r="D27" s="235" t="str">
        <f>IF('Datos Mun'!C26="No AMM",IF(Descentralizados!C27-Descentralizados!B27&lt;0,"SI","NO"),0)</f>
        <v>SI</v>
      </c>
      <c r="E27" s="246">
        <f t="shared" si="0"/>
        <v>2579267.2849072521</v>
      </c>
    </row>
    <row r="28" spans="1:5">
      <c r="A28" s="237" t="s">
        <v>23</v>
      </c>
      <c r="B28" s="240">
        <f>'Datos Mun'!AA27</f>
        <v>4083989.3872715947</v>
      </c>
      <c r="C28" s="235">
        <f>IF('Datos Mun'!B27="AMM",Descentralizados!$B$62*'Datos Mun'!AP27,Descentralizados!$B$63*'Datos Mun'!AP27)</f>
        <v>3711692.1263228985</v>
      </c>
      <c r="D28" s="235" t="str">
        <f>IF('Datos Mun'!C27="No AMM",IF(Descentralizados!C28-Descentralizados!B28&lt;0,"SI","NO"),0)</f>
        <v>SI</v>
      </c>
      <c r="E28" s="246">
        <f t="shared" si="0"/>
        <v>4083989.3872715947</v>
      </c>
    </row>
    <row r="29" spans="1:5">
      <c r="A29" s="237" t="s">
        <v>24</v>
      </c>
      <c r="B29" s="240">
        <f>'Datos Mun'!AA28</f>
        <v>4282795.5586598059</v>
      </c>
      <c r="C29" s="235">
        <f>IF('Datos Mun'!B28="AMM",Descentralizados!$B$62*'Datos Mun'!AP28,Descentralizados!$B$63*'Datos Mun'!AP28)</f>
        <v>4114982.7801846797</v>
      </c>
      <c r="D29" s="235" t="str">
        <f>IF('Datos Mun'!C28="No AMM",IF(Descentralizados!C29-Descentralizados!B29&lt;0,"SI","NO"),0)</f>
        <v>SI</v>
      </c>
      <c r="E29" s="246">
        <f t="shared" si="0"/>
        <v>4282795.5586598059</v>
      </c>
    </row>
    <row r="30" spans="1:5">
      <c r="A30" s="237" t="s">
        <v>25</v>
      </c>
      <c r="B30" s="240">
        <f>'Datos Mun'!AA29</f>
        <v>23819745.92530071</v>
      </c>
      <c r="C30" s="235">
        <f>IF('Datos Mun'!B29="AMM",Descentralizados!$B$62*'Datos Mun'!AP29,Descentralizados!$B$63*'Datos Mun'!AP29)</f>
        <v>18705683.383942269</v>
      </c>
      <c r="D30" s="235">
        <f>IF('Datos Mun'!C29="No AMM",IF(Descentralizados!C30-Descentralizados!B30&lt;0,"SI","NO"),0)</f>
        <v>0</v>
      </c>
      <c r="E30" s="246">
        <f t="shared" si="0"/>
        <v>18705683.383942269</v>
      </c>
    </row>
    <row r="31" spans="1:5">
      <c r="A31" s="237" t="s">
        <v>26</v>
      </c>
      <c r="B31" s="240">
        <f>'Datos Mun'!AA30</f>
        <v>2416180.5729740933</v>
      </c>
      <c r="C31" s="235">
        <f>IF('Datos Mun'!B30="AMM",Descentralizados!$B$62*'Datos Mun'!AP30,Descentralizados!$B$63*'Datos Mun'!AP30)</f>
        <v>990990.8867090022</v>
      </c>
      <c r="D31" s="235" t="str">
        <f>IF('Datos Mun'!C30="No AMM",IF(Descentralizados!C31-Descentralizados!B31&lt;0,"SI","NO"),0)</f>
        <v>SI</v>
      </c>
      <c r="E31" s="246">
        <f t="shared" si="0"/>
        <v>2416180.5729740933</v>
      </c>
    </row>
    <row r="32" spans="1:5">
      <c r="A32" s="237" t="s">
        <v>27</v>
      </c>
      <c r="B32" s="240">
        <f>'Datos Mun'!AA31</f>
        <v>2523675.0481478898</v>
      </c>
      <c r="C32" s="235">
        <f>IF('Datos Mun'!B31="AMM",Descentralizados!$B$62*'Datos Mun'!AP31,Descentralizados!$B$63*'Datos Mun'!AP31)</f>
        <v>2313321.1678207223</v>
      </c>
      <c r="D32" s="235" t="str">
        <f>IF('Datos Mun'!C31="No AMM",IF(Descentralizados!C32-Descentralizados!B32&lt;0,"SI","NO"),0)</f>
        <v>SI</v>
      </c>
      <c r="E32" s="246">
        <f t="shared" si="0"/>
        <v>2523675.0481478898</v>
      </c>
    </row>
    <row r="33" spans="1:5">
      <c r="A33" s="237" t="s">
        <v>28</v>
      </c>
      <c r="B33" s="240">
        <f>'Datos Mun'!AA32</f>
        <v>2212342.7472197949</v>
      </c>
      <c r="C33" s="235">
        <f>IF('Datos Mun'!B32="AMM",Descentralizados!$B$62*'Datos Mun'!AP32,Descentralizados!$B$63*'Datos Mun'!AP32)</f>
        <v>1512369.7191848187</v>
      </c>
      <c r="D33" s="235" t="str">
        <f>IF('Datos Mun'!C32="No AMM",IF(Descentralizados!C33-Descentralizados!B33&lt;0,"SI","NO"),0)</f>
        <v>SI</v>
      </c>
      <c r="E33" s="246">
        <f t="shared" si="0"/>
        <v>2212342.7472197949</v>
      </c>
    </row>
    <row r="34" spans="1:5">
      <c r="A34" s="237" t="s">
        <v>29</v>
      </c>
      <c r="B34" s="240">
        <f>'Datos Mun'!AA33</f>
        <v>1837459.503722325</v>
      </c>
      <c r="C34" s="235">
        <f>IF('Datos Mun'!B33="AMM",Descentralizados!$B$62*'Datos Mun'!AP33,Descentralizados!$B$63*'Datos Mun'!AP33)</f>
        <v>1668382.3848512627</v>
      </c>
      <c r="D34" s="235" t="str">
        <f>IF('Datos Mun'!C33="No AMM",IF(Descentralizados!C34-Descentralizados!B34&lt;0,"SI","NO"),0)</f>
        <v>SI</v>
      </c>
      <c r="E34" s="246">
        <f t="shared" si="0"/>
        <v>1837459.503722325</v>
      </c>
    </row>
    <row r="35" spans="1:5">
      <c r="A35" s="237" t="s">
        <v>30</v>
      </c>
      <c r="B35" s="240">
        <f>'Datos Mun'!AA34</f>
        <v>2140203.3870121036</v>
      </c>
      <c r="C35" s="235">
        <f>IF('Datos Mun'!B34="AMM",Descentralizados!$B$62*'Datos Mun'!AP34,Descentralizados!$B$63*'Datos Mun'!AP34)</f>
        <v>1934564.1207819695</v>
      </c>
      <c r="D35" s="235" t="str">
        <f>IF('Datos Mun'!C34="No AMM",IF(Descentralizados!C35-Descentralizados!B35&lt;0,"SI","NO"),0)</f>
        <v>SI</v>
      </c>
      <c r="E35" s="246">
        <f t="shared" si="0"/>
        <v>2140203.3870121036</v>
      </c>
    </row>
    <row r="36" spans="1:5">
      <c r="A36" s="237" t="s">
        <v>31</v>
      </c>
      <c r="B36" s="240">
        <f>'Datos Mun'!AA35</f>
        <v>7906757.7221003743</v>
      </c>
      <c r="C36" s="235">
        <f>IF('Datos Mun'!B35="AMM",Descentralizados!$B$62*'Datos Mun'!AP35,Descentralizados!$B$63*'Datos Mun'!AP35)</f>
        <v>9143709.9363201</v>
      </c>
      <c r="D36" s="235">
        <f>IF('Datos Mun'!C35="No AMM",IF(Descentralizados!C36-Descentralizados!B36&lt;0,"SI","NO"),0)</f>
        <v>0</v>
      </c>
      <c r="E36" s="246">
        <f t="shared" si="0"/>
        <v>9143709.9363201</v>
      </c>
    </row>
    <row r="37" spans="1:5">
      <c r="A37" s="237" t="s">
        <v>32</v>
      </c>
      <c r="B37" s="240">
        <f>'Datos Mun'!AA36</f>
        <v>4879372.4971958175</v>
      </c>
      <c r="C37" s="235">
        <f>IF('Datos Mun'!B36="AMM",Descentralizados!$B$62*'Datos Mun'!AP36,Descentralizados!$B$63*'Datos Mun'!AP36)</f>
        <v>3162567.2049383721</v>
      </c>
      <c r="D37" s="235" t="str">
        <f>IF('Datos Mun'!C36="No AMM",IF(Descentralizados!C37-Descentralizados!B37&lt;0,"SI","NO"),0)</f>
        <v>SI</v>
      </c>
      <c r="E37" s="246">
        <f t="shared" si="0"/>
        <v>4879372.4971958175</v>
      </c>
    </row>
    <row r="38" spans="1:5">
      <c r="A38" s="237" t="s">
        <v>33</v>
      </c>
      <c r="B38" s="240">
        <f>'Datos Mun'!AA37</f>
        <v>14166911.141700404</v>
      </c>
      <c r="C38" s="235">
        <f>IF('Datos Mun'!B37="AMM",Descentralizados!$B$62*'Datos Mun'!AP37,Descentralizados!$B$63*'Datos Mun'!AP37)</f>
        <v>12055671.677390903</v>
      </c>
      <c r="D38" s="235" t="str">
        <f>IF('Datos Mun'!C37="No AMM",IF(Descentralizados!C38-Descentralizados!B38&lt;0,"SI","NO"),0)</f>
        <v>SI</v>
      </c>
      <c r="E38" s="246">
        <f t="shared" si="0"/>
        <v>14166911.141700404</v>
      </c>
    </row>
    <row r="39" spans="1:5">
      <c r="A39" s="237" t="s">
        <v>34</v>
      </c>
      <c r="B39" s="240">
        <f>'Datos Mun'!AA38</f>
        <v>3175363.8332095044</v>
      </c>
      <c r="C39" s="235">
        <f>IF('Datos Mun'!B38="AMM",Descentralizados!$B$62*'Datos Mun'!AP38,Descentralizados!$B$63*'Datos Mun'!AP38)</f>
        <v>2840716.6171703036</v>
      </c>
      <c r="D39" s="235" t="str">
        <f>IF('Datos Mun'!C38="No AMM",IF(Descentralizados!C39-Descentralizados!B39&lt;0,"SI","NO"),0)</f>
        <v>SI</v>
      </c>
      <c r="E39" s="246">
        <f t="shared" si="0"/>
        <v>3175363.8332095044</v>
      </c>
    </row>
    <row r="40" spans="1:5">
      <c r="A40" s="237" t="s">
        <v>35</v>
      </c>
      <c r="B40" s="240">
        <f>'Datos Mun'!AA39</f>
        <v>3099472.9188778722</v>
      </c>
      <c r="C40" s="235">
        <f>IF('Datos Mun'!B39="AMM",Descentralizados!$B$62*'Datos Mun'!AP39,Descentralizados!$B$63*'Datos Mun'!AP39)</f>
        <v>2742179.4434792041</v>
      </c>
      <c r="D40" s="235" t="str">
        <f>IF('Datos Mun'!C39="No AMM",IF(Descentralizados!C40-Descentralizados!B40&lt;0,"SI","NO"),0)</f>
        <v>SI</v>
      </c>
      <c r="E40" s="246">
        <f t="shared" si="0"/>
        <v>3099472.9188778722</v>
      </c>
    </row>
    <row r="41" spans="1:5">
      <c r="A41" s="237" t="s">
        <v>36</v>
      </c>
      <c r="B41" s="240">
        <f>'Datos Mun'!AA40</f>
        <v>3016799.7840141212</v>
      </c>
      <c r="C41" s="235">
        <f>IF('Datos Mun'!B40="AMM",Descentralizados!$B$62*'Datos Mun'!AP40,Descentralizados!$B$63*'Datos Mun'!AP40)</f>
        <v>2746499.7019103551</v>
      </c>
      <c r="D41" s="235" t="str">
        <f>IF('Datos Mun'!C40="No AMM",IF(Descentralizados!C41-Descentralizados!B41&lt;0,"SI","NO"),0)</f>
        <v>SI</v>
      </c>
      <c r="E41" s="246">
        <f t="shared" si="0"/>
        <v>3016799.7840141212</v>
      </c>
    </row>
    <row r="42" spans="1:5">
      <c r="A42" s="237" t="s">
        <v>37</v>
      </c>
      <c r="B42" s="240">
        <f>'Datos Mun'!AA41</f>
        <v>3822980.5102342181</v>
      </c>
      <c r="C42" s="235">
        <f>IF('Datos Mun'!B41="AMM",Descentralizados!$B$62*'Datos Mun'!AP41,Descentralizados!$B$63*'Datos Mun'!AP41)</f>
        <v>3523583.0090304003</v>
      </c>
      <c r="D42" s="235" t="str">
        <f>IF('Datos Mun'!C41="No AMM",IF(Descentralizados!C42-Descentralizados!B42&lt;0,"SI","NO"),0)</f>
        <v>SI</v>
      </c>
      <c r="E42" s="246">
        <f t="shared" si="0"/>
        <v>3822980.5102342181</v>
      </c>
    </row>
    <row r="43" spans="1:5">
      <c r="A43" s="237" t="s">
        <v>38</v>
      </c>
      <c r="B43" s="240">
        <f>'Datos Mun'!AA42</f>
        <v>17905596.972663175</v>
      </c>
      <c r="C43" s="235">
        <f>IF('Datos Mun'!B42="AMM",Descentralizados!$B$62*'Datos Mun'!AP42,Descentralizados!$B$63*'Datos Mun'!AP42)</f>
        <v>8827833.3535517808</v>
      </c>
      <c r="D43" s="235" t="str">
        <f>IF('Datos Mun'!C42="No AMM",IF(Descentralizados!C43-Descentralizados!B43&lt;0,"SI","NO"),0)</f>
        <v>SI</v>
      </c>
      <c r="E43" s="246">
        <f t="shared" si="0"/>
        <v>17905596.972663175</v>
      </c>
    </row>
    <row r="44" spans="1:5">
      <c r="A44" s="237" t="s">
        <v>39</v>
      </c>
      <c r="B44" s="240">
        <f>'Datos Mun'!AA43</f>
        <v>78893922.891016111</v>
      </c>
      <c r="C44" s="235">
        <f>IF('Datos Mun'!B43="AMM",Descentralizados!$B$62*'Datos Mun'!AP43,Descentralizados!$B$63*'Datos Mun'!AP43)</f>
        <v>73296692.106222585</v>
      </c>
      <c r="D44" s="235">
        <f>IF('Datos Mun'!C43="No AMM",IF(Descentralizados!C44-Descentralizados!B44&lt;0,"SI","NO"),0)</f>
        <v>0</v>
      </c>
      <c r="E44" s="246">
        <f t="shared" si="0"/>
        <v>73296692.106222585</v>
      </c>
    </row>
    <row r="45" spans="1:5">
      <c r="A45" s="238" t="s">
        <v>40</v>
      </c>
      <c r="B45" s="241">
        <f>'Datos Mun'!AA44</f>
        <v>3555590.9659964349</v>
      </c>
      <c r="C45" s="235">
        <f>IF('Datos Mun'!B44="AMM",Descentralizados!$B$62*'Datos Mun'!AP44,Descentralizados!$B$63*'Datos Mun'!AP44)</f>
        <v>735879.16394178406</v>
      </c>
      <c r="D45" s="235" t="str">
        <f>IF('Datos Mun'!C44="No AMM",IF(Descentralizados!C45-Descentralizados!B45&lt;0,"SI","NO"),0)</f>
        <v>SI</v>
      </c>
      <c r="E45" s="246">
        <f t="shared" si="0"/>
        <v>3555590.9659964349</v>
      </c>
    </row>
    <row r="46" spans="1:5">
      <c r="A46" s="238" t="s">
        <v>41</v>
      </c>
      <c r="B46" s="241">
        <f>'Datos Mun'!AA45</f>
        <v>5273138.6605691193</v>
      </c>
      <c r="C46" s="235">
        <f>IF('Datos Mun'!B45="AMM",Descentralizados!$B$62*'Datos Mun'!AP45,Descentralizados!$B$63*'Datos Mun'!AP45)</f>
        <v>6142984.3233783348</v>
      </c>
      <c r="D46" s="235" t="str">
        <f>IF('Datos Mun'!C45="No AMM",IF(Descentralizados!C46-Descentralizados!B46&lt;0,"SI","NO"),0)</f>
        <v>NO</v>
      </c>
      <c r="E46" s="246">
        <f t="shared" si="0"/>
        <v>6142984.3233783348</v>
      </c>
    </row>
    <row r="47" spans="1:5">
      <c r="A47" s="238" t="s">
        <v>42</v>
      </c>
      <c r="B47" s="241">
        <f>'Datos Mun'!AA46</f>
        <v>2047968.1782241778</v>
      </c>
      <c r="C47" s="235">
        <f>IF('Datos Mun'!B46="AMM",Descentralizados!$B$62*'Datos Mun'!AP46,Descentralizados!$B$63*'Datos Mun'!AP46)</f>
        <v>1383492.6774084149</v>
      </c>
      <c r="D47" s="235" t="str">
        <f>IF('Datos Mun'!C46="No AMM",IF(Descentralizados!C47-Descentralizados!B47&lt;0,"SI","NO"),0)</f>
        <v>SI</v>
      </c>
      <c r="E47" s="246">
        <f t="shared" si="0"/>
        <v>2047968.1782241778</v>
      </c>
    </row>
    <row r="48" spans="1:5">
      <c r="A48" s="238" t="s">
        <v>43</v>
      </c>
      <c r="B48" s="241">
        <f>'Datos Mun'!AA47</f>
        <v>2582856.5578415147</v>
      </c>
      <c r="C48" s="235">
        <f>IF('Datos Mun'!B47="AMM",Descentralizados!$B$62*'Datos Mun'!AP47,Descentralizados!$B$63*'Datos Mun'!AP47)</f>
        <v>2273341.3377707917</v>
      </c>
      <c r="D48" s="235" t="str">
        <f>IF('Datos Mun'!C47="No AMM",IF(Descentralizados!C48-Descentralizados!B48&lt;0,"SI","NO"),0)</f>
        <v>SI</v>
      </c>
      <c r="E48" s="246">
        <f t="shared" si="0"/>
        <v>2582856.5578415147</v>
      </c>
    </row>
    <row r="49" spans="1:8">
      <c r="A49" s="238" t="s">
        <v>44</v>
      </c>
      <c r="B49" s="241">
        <f>'Datos Mun'!AA48</f>
        <v>4652120.7671424625</v>
      </c>
      <c r="C49" s="235">
        <f>IF('Datos Mun'!B48="AMM",Descentralizados!$B$62*'Datos Mun'!AP48,Descentralizados!$B$63*'Datos Mun'!AP48)</f>
        <v>4125330.8802785915</v>
      </c>
      <c r="D49" s="235" t="str">
        <f>IF('Datos Mun'!C48="No AMM",IF(Descentralizados!C49-Descentralizados!B49&lt;0,"SI","NO"),0)</f>
        <v>SI</v>
      </c>
      <c r="E49" s="246">
        <f t="shared" si="0"/>
        <v>4652120.7671424625</v>
      </c>
    </row>
    <row r="50" spans="1:8">
      <c r="A50" s="238" t="s">
        <v>45</v>
      </c>
      <c r="B50" s="241">
        <f>'Datos Mun'!AA49</f>
        <v>2336031.8166838326</v>
      </c>
      <c r="C50" s="235">
        <f>IF('Datos Mun'!B49="AMM",Descentralizados!$B$62*'Datos Mun'!AP49,Descentralizados!$B$63*'Datos Mun'!AP49)</f>
        <v>2650595.6390043418</v>
      </c>
      <c r="D50" s="235" t="str">
        <f>IF('Datos Mun'!C49="No AMM",IF(Descentralizados!C50-Descentralizados!B50&lt;0,"SI","NO"),0)</f>
        <v>NO</v>
      </c>
      <c r="E50" s="246">
        <f t="shared" si="0"/>
        <v>2650595.6390043418</v>
      </c>
      <c r="G50" s="208"/>
      <c r="H50" s="208"/>
    </row>
    <row r="51" spans="1:8">
      <c r="A51" s="238" t="s">
        <v>46</v>
      </c>
      <c r="B51" s="241">
        <f>'Datos Mun'!AA50</f>
        <v>19632444.547531538</v>
      </c>
      <c r="C51" s="235">
        <f>IF('Datos Mun'!B50="AMM",Descentralizados!$B$62*'Datos Mun'!AP50,Descentralizados!$B$63*'Datos Mun'!AP50)</f>
        <v>19356948.06915202</v>
      </c>
      <c r="D51" s="235">
        <f>IF('Datos Mun'!C50="No AMM",IF(Descentralizados!C51-Descentralizados!B51&lt;0,"SI","NO"),0)</f>
        <v>0</v>
      </c>
      <c r="E51" s="246">
        <f t="shared" si="0"/>
        <v>19356948.06915202</v>
      </c>
    </row>
    <row r="52" spans="1:8">
      <c r="A52" s="238" t="s">
        <v>47</v>
      </c>
      <c r="B52" s="241">
        <f>'Datos Mun'!AA51</f>
        <v>42764449.302244864</v>
      </c>
      <c r="C52" s="235">
        <f>IF('Datos Mun'!B51="AMM",Descentralizados!$B$62*'Datos Mun'!AP51,Descentralizados!$B$63*'Datos Mun'!AP51)</f>
        <v>37370455.619423516</v>
      </c>
      <c r="D52" s="235">
        <f>IF('Datos Mun'!C51="No AMM",IF(Descentralizados!C52-Descentralizados!B52&lt;0,"SI","NO"),0)</f>
        <v>0</v>
      </c>
      <c r="E52" s="246">
        <f t="shared" si="0"/>
        <v>37370455.619423516</v>
      </c>
    </row>
    <row r="53" spans="1:8">
      <c r="A53" s="238" t="s">
        <v>48</v>
      </c>
      <c r="B53" s="241">
        <f>'Datos Mun'!AA52</f>
        <v>10475655.416298293</v>
      </c>
      <c r="C53" s="235">
        <f>IF('Datos Mun'!B52="AMM",Descentralizados!$B$62*'Datos Mun'!AP52,Descentralizados!$B$63*'Datos Mun'!AP52)</f>
        <v>9803610.6748983487</v>
      </c>
      <c r="D53" s="235">
        <f>IF('Datos Mun'!C52="No AMM",IF(Descentralizados!C53-Descentralizados!B53&lt;0,"SI","NO"),0)</f>
        <v>0</v>
      </c>
      <c r="E53" s="246">
        <f t="shared" si="0"/>
        <v>9803610.6748983487</v>
      </c>
    </row>
    <row r="54" spans="1:8">
      <c r="A54" s="238" t="s">
        <v>49</v>
      </c>
      <c r="B54" s="241">
        <f>'Datos Mun'!AA53</f>
        <v>4180345.0020391755</v>
      </c>
      <c r="C54" s="235">
        <f>IF('Datos Mun'!B53="AMM",Descentralizados!$B$62*'Datos Mun'!AP53,Descentralizados!$B$63*'Datos Mun'!AP53)</f>
        <v>4970241.4889547182</v>
      </c>
      <c r="D54" s="235" t="str">
        <f>IF('Datos Mun'!C53="No AMM",IF(Descentralizados!C54-Descentralizados!B54&lt;0,"SI","NO"),0)</f>
        <v>NO</v>
      </c>
      <c r="E54" s="246">
        <f t="shared" si="0"/>
        <v>4970241.4889547182</v>
      </c>
    </row>
    <row r="55" spans="1:8">
      <c r="A55" s="238" t="s">
        <v>50</v>
      </c>
      <c r="B55" s="241">
        <f>'Datos Mun'!AA54</f>
        <v>1539148.4831484745</v>
      </c>
      <c r="C55" s="235">
        <f>IF('Datos Mun'!B54="AMM",Descentralizados!$B$62*'Datos Mun'!AP54,Descentralizados!$B$63*'Datos Mun'!AP54)</f>
        <v>1287651.6078866955</v>
      </c>
      <c r="D55" s="235" t="str">
        <f>IF('Datos Mun'!C54="No AMM",IF(Descentralizados!C55-Descentralizados!B55&lt;0,"SI","NO"),0)</f>
        <v>SI</v>
      </c>
      <c r="E55" s="246">
        <f t="shared" si="0"/>
        <v>1539148.4831484745</v>
      </c>
    </row>
    <row r="56" spans="1:8">
      <c r="A56" s="238" t="s">
        <v>51</v>
      </c>
      <c r="B56" s="242">
        <f>'Datos Mun'!AA55</f>
        <v>3547664.3080507987</v>
      </c>
      <c r="C56" s="235">
        <f>IF('Datos Mun'!B55="AMM",Descentralizados!$B$62*'Datos Mun'!AP55,Descentralizados!$B$63*'Datos Mun'!AP55)</f>
        <v>873055.59452081681</v>
      </c>
      <c r="D56" s="235" t="str">
        <f>IF('Datos Mun'!C55="No AMM",IF(Descentralizados!C56-Descentralizados!B56&lt;0,"SI","NO"),0)</f>
        <v>SI</v>
      </c>
      <c r="E56" s="246">
        <f t="shared" si="0"/>
        <v>3547664.3080507987</v>
      </c>
    </row>
    <row r="57" spans="1:8" ht="13.8" thickBot="1">
      <c r="A57" s="207" t="s">
        <v>52</v>
      </c>
      <c r="B57" s="243">
        <f>SUM(B6:B56)</f>
        <v>423610039.11140221</v>
      </c>
      <c r="C57" s="247">
        <f>SUM(C6:C56)</f>
        <v>367143656.99999988</v>
      </c>
      <c r="D57" s="248"/>
      <c r="E57" s="249">
        <f>SUM(E6:E56)</f>
        <v>410956298.74653703</v>
      </c>
      <c r="F57" s="287">
        <f>E57/12</f>
        <v>34246358.228878088</v>
      </c>
    </row>
    <row r="58" spans="1:8" ht="13.8" thickBot="1"/>
    <row r="59" spans="1:8" ht="13.8" thickBot="1">
      <c r="A59" s="208"/>
      <c r="B59" s="212" t="s">
        <v>101</v>
      </c>
    </row>
    <row r="60" spans="1:8">
      <c r="A60" s="314" t="s">
        <v>162</v>
      </c>
      <c r="B60" s="316">
        <f>'Participación 2021'!B45:C45</f>
        <v>367143657</v>
      </c>
    </row>
    <row r="61" spans="1:8">
      <c r="A61" s="315"/>
      <c r="B61" s="317"/>
    </row>
    <row r="62" spans="1:8">
      <c r="A62" s="210" t="s">
        <v>168</v>
      </c>
      <c r="B62" s="218">
        <f>B60*0.6</f>
        <v>220286194.19999999</v>
      </c>
    </row>
    <row r="63" spans="1:8">
      <c r="A63" s="210" t="s">
        <v>169</v>
      </c>
      <c r="B63" s="218">
        <f>B60*0.4</f>
        <v>146857462.80000001</v>
      </c>
    </row>
    <row r="64" spans="1:8" ht="13.8" thickBot="1">
      <c r="A64" s="211" t="s">
        <v>170</v>
      </c>
      <c r="B64" s="219">
        <f>E57-B60</f>
        <v>43812641.74653703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24" sqref="A1:E24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18" t="s">
        <v>99</v>
      </c>
      <c r="B1" s="318"/>
      <c r="C1" s="318"/>
      <c r="D1" s="318"/>
      <c r="E1" s="318"/>
    </row>
    <row r="2" spans="1:8">
      <c r="A2" s="318" t="s">
        <v>100</v>
      </c>
      <c r="B2" s="318"/>
      <c r="C2" s="318"/>
      <c r="D2" s="318"/>
      <c r="E2" s="318"/>
    </row>
    <row r="3" spans="1:8">
      <c r="A3" s="319" t="s">
        <v>188</v>
      </c>
      <c r="B3" s="319"/>
      <c r="C3" s="319"/>
      <c r="D3" s="319"/>
      <c r="E3" s="319"/>
    </row>
    <row r="4" spans="1:8" ht="13.8" thickBot="1"/>
    <row r="5" spans="1:8" ht="26.4">
      <c r="A5" s="205" t="s">
        <v>0</v>
      </c>
      <c r="B5" s="215" t="s">
        <v>175</v>
      </c>
      <c r="C5" s="213" t="s">
        <v>176</v>
      </c>
      <c r="D5" s="216" t="s">
        <v>161</v>
      </c>
      <c r="E5" s="214"/>
    </row>
    <row r="6" spans="1:8">
      <c r="A6" s="206" t="s">
        <v>6</v>
      </c>
      <c r="B6" s="250">
        <f>$B$23</f>
        <v>598310.76289953315</v>
      </c>
      <c r="C6" s="251">
        <f>$B$24*VLOOKUP(A6,'Datos Mun'!$A$5:$AQ$55,41)</f>
        <v>996093.39127397013</v>
      </c>
      <c r="D6" s="252">
        <f>$B$25*VLOOKUP(A6,'Datos Mun'!$A$5:$AQ$55,43)</f>
        <v>1216987.8841620137</v>
      </c>
      <c r="E6" s="220">
        <f>SUM(B6:D6)</f>
        <v>2811392.038335517</v>
      </c>
    </row>
    <row r="7" spans="1:8">
      <c r="A7" s="206" t="s">
        <v>9</v>
      </c>
      <c r="B7" s="253">
        <f t="shared" ref="B7:B17" si="0">$B$23</f>
        <v>598310.76289953315</v>
      </c>
      <c r="C7" s="254">
        <f>$B$24*VLOOKUP(A7,'Datos Mun'!$A$5:$AQ$55,41)</f>
        <v>185629.48952004025</v>
      </c>
      <c r="D7" s="255">
        <f>$B$25*VLOOKUP(A7,'Datos Mun'!$A$5:$AQ$55,43)</f>
        <v>208287.68194046634</v>
      </c>
      <c r="E7" s="221">
        <f t="shared" ref="E7:E17" si="1">SUM(B7:D7)</f>
        <v>992227.93436003965</v>
      </c>
    </row>
    <row r="8" spans="1:8">
      <c r="A8" s="206" t="s">
        <v>10</v>
      </c>
      <c r="B8" s="253">
        <f t="shared" si="0"/>
        <v>598310.76289953315</v>
      </c>
      <c r="C8" s="254">
        <f>$B$24*VLOOKUP(A8,'Datos Mun'!$A$5:$AQ$55,41)</f>
        <v>158530.92528077983</v>
      </c>
      <c r="D8" s="255">
        <f>$B$25*VLOOKUP(A8,'Datos Mun'!$A$5:$AQ$55,43)</f>
        <v>83724.511614673349</v>
      </c>
      <c r="E8" s="221">
        <f t="shared" si="1"/>
        <v>840566.19979498629</v>
      </c>
    </row>
    <row r="9" spans="1:8">
      <c r="A9" s="206" t="s">
        <v>13</v>
      </c>
      <c r="B9" s="253">
        <f t="shared" si="0"/>
        <v>598310.76289953315</v>
      </c>
      <c r="C9" s="254">
        <f>$B$24*VLOOKUP(A9,'Datos Mun'!$A$5:$AQ$55,41)</f>
        <v>104314.07109896601</v>
      </c>
      <c r="D9" s="255">
        <f>$B$25*VLOOKUP(A9,'Datos Mun'!$A$5:$AQ$55,43)</f>
        <v>73151.471827436908</v>
      </c>
      <c r="E9" s="221">
        <f t="shared" si="1"/>
        <v>775776.30582593614</v>
      </c>
    </row>
    <row r="10" spans="1:8">
      <c r="A10" s="206" t="s">
        <v>18</v>
      </c>
      <c r="B10" s="253">
        <f t="shared" si="0"/>
        <v>598310.76289953315</v>
      </c>
      <c r="C10" s="254">
        <f>$B$24*VLOOKUP(A10,'Datos Mun'!$A$5:$AQ$55,41)</f>
        <v>602703.69050089165</v>
      </c>
      <c r="D10" s="255">
        <f>$B$25*VLOOKUP(A10,'Datos Mun'!$A$5:$AQ$55,43)</f>
        <v>462437.46792009694</v>
      </c>
      <c r="E10" s="221">
        <f t="shared" si="1"/>
        <v>1663451.9213205217</v>
      </c>
    </row>
    <row r="11" spans="1:8">
      <c r="A11" s="206" t="s">
        <v>20</v>
      </c>
      <c r="B11" s="253">
        <f t="shared" si="0"/>
        <v>598310.76289953315</v>
      </c>
      <c r="C11" s="254">
        <f>$B$24*VLOOKUP(A11,'Datos Mun'!$A$5:$AQ$55,41)</f>
        <v>730174.21990409389</v>
      </c>
      <c r="D11" s="255">
        <f>$B$25*VLOOKUP(A11,'Datos Mun'!$A$5:$AQ$55,43)</f>
        <v>722944.09320248663</v>
      </c>
      <c r="E11" s="221">
        <f t="shared" si="1"/>
        <v>2051429.0760061136</v>
      </c>
      <c r="G11" s="208"/>
      <c r="H11" s="208"/>
    </row>
    <row r="12" spans="1:8">
      <c r="A12" s="206" t="s">
        <v>24</v>
      </c>
      <c r="B12" s="253">
        <f t="shared" si="0"/>
        <v>598310.76289953315</v>
      </c>
      <c r="C12" s="254">
        <f>$B$24*VLOOKUP(A12,'Datos Mun'!$A$5:$AQ$55,41)</f>
        <v>154996.98966774231</v>
      </c>
      <c r="D12" s="255">
        <f>$B$25*VLOOKUP(A12,'Datos Mun'!$A$5:$AQ$55,43)</f>
        <v>92297.056352094107</v>
      </c>
      <c r="E12" s="221">
        <f t="shared" si="1"/>
        <v>845604.80891936948</v>
      </c>
    </row>
    <row r="13" spans="1:8">
      <c r="A13" s="206" t="s">
        <v>31</v>
      </c>
      <c r="B13" s="253">
        <f t="shared" si="0"/>
        <v>598310.76289953315</v>
      </c>
      <c r="C13" s="254">
        <f>$B$24*VLOOKUP(A13,'Datos Mun'!$A$5:$AQ$55,41)</f>
        <v>715470.98414182081</v>
      </c>
      <c r="D13" s="255">
        <f>$B$25*VLOOKUP(A13,'Datos Mun'!$A$5:$AQ$55,43)</f>
        <v>530607.16188355442</v>
      </c>
      <c r="E13" s="221">
        <f t="shared" si="1"/>
        <v>1844388.9089249084</v>
      </c>
    </row>
    <row r="14" spans="1:8">
      <c r="A14" s="206" t="s">
        <v>41</v>
      </c>
      <c r="B14" s="253">
        <f t="shared" si="0"/>
        <v>598310.76289953315</v>
      </c>
      <c r="C14" s="254">
        <f>$B$24*VLOOKUP(A14,'Datos Mun'!$A$5:$AQ$55,41)</f>
        <v>223999.0171485848</v>
      </c>
      <c r="D14" s="255">
        <f>$B$25*VLOOKUP(A14,'Datos Mun'!$A$5:$AQ$55,43)</f>
        <v>137784.1416482027</v>
      </c>
      <c r="E14" s="221">
        <f t="shared" si="1"/>
        <v>960093.92169632064</v>
      </c>
    </row>
    <row r="15" spans="1:8">
      <c r="A15" s="206" t="s">
        <v>45</v>
      </c>
      <c r="B15" s="253">
        <f t="shared" si="0"/>
        <v>598310.76289953315</v>
      </c>
      <c r="C15" s="254">
        <f>$B$24*VLOOKUP(A15,'Datos Mun'!$A$5:$AQ$55,41)</f>
        <v>131655.41322490998</v>
      </c>
      <c r="D15" s="255">
        <f>$B$25*VLOOKUP(A15,'Datos Mun'!$A$5:$AQ$55,43)</f>
        <v>153813.39074706455</v>
      </c>
      <c r="E15" s="221">
        <f t="shared" si="1"/>
        <v>883779.56687150756</v>
      </c>
    </row>
    <row r="16" spans="1:8">
      <c r="A16" s="206" t="s">
        <v>48</v>
      </c>
      <c r="B16" s="253">
        <f t="shared" si="0"/>
        <v>598310.76289953315</v>
      </c>
      <c r="C16" s="254">
        <f>$B$24*VLOOKUP(A16,'Datos Mun'!$A$5:$AQ$55,41)</f>
        <v>464801.29877925536</v>
      </c>
      <c r="D16" s="255">
        <f>$B$25*VLOOKUP(A16,'Datos Mun'!$A$5:$AQ$55,43)</f>
        <v>568901.0338961638</v>
      </c>
      <c r="E16" s="221">
        <f t="shared" si="1"/>
        <v>1632013.0955749524</v>
      </c>
    </row>
    <row r="17" spans="1:5">
      <c r="A17" s="206" t="s">
        <v>49</v>
      </c>
      <c r="B17" s="256">
        <f t="shared" si="0"/>
        <v>598310.76289953315</v>
      </c>
      <c r="C17" s="257">
        <f>$B$24*VLOOKUP(A17,'Datos Mun'!$A$5:$AQ$55,41)</f>
        <v>70988.254066272362</v>
      </c>
      <c r="D17" s="258">
        <f>$B$25*VLOOKUP(A17,'Datos Mun'!$A$5:$AQ$55,43)</f>
        <v>288421.84941307519</v>
      </c>
      <c r="E17" s="222">
        <f t="shared" si="1"/>
        <v>957720.8663788808</v>
      </c>
    </row>
    <row r="18" spans="1:5" ht="13.8" thickBot="1">
      <c r="A18" s="207" t="s">
        <v>52</v>
      </c>
      <c r="B18" s="259">
        <f>SUM(B6:B17)</f>
        <v>7179729.1547943959</v>
      </c>
      <c r="C18" s="260">
        <f>SUM(C6:C17)</f>
        <v>4539357.7446073284</v>
      </c>
      <c r="D18" s="261">
        <f>SUM(D6:D17)</f>
        <v>4539357.7446073294</v>
      </c>
      <c r="E18" s="223">
        <f>SUM(E6:E17)</f>
        <v>16258444.644009052</v>
      </c>
    </row>
    <row r="19" spans="1:5" ht="13.8" thickBot="1"/>
    <row r="20" spans="1:5" ht="13.8" thickBot="1">
      <c r="A20" s="208"/>
      <c r="B20" s="212" t="s">
        <v>101</v>
      </c>
    </row>
    <row r="21" spans="1:5">
      <c r="A21" s="314" t="s">
        <v>162</v>
      </c>
      <c r="B21" s="316">
        <f>'Participación 2021 Mes'!$B$36</f>
        <v>16258444.644009052</v>
      </c>
    </row>
    <row r="22" spans="1:5">
      <c r="A22" s="315"/>
      <c r="B22" s="317"/>
    </row>
    <row r="23" spans="1:5">
      <c r="A23" s="209" t="s">
        <v>174</v>
      </c>
      <c r="B23" s="217">
        <f>B21*3.68%</f>
        <v>598310.76289953315</v>
      </c>
    </row>
    <row r="24" spans="1:5">
      <c r="A24" s="210" t="s">
        <v>160</v>
      </c>
      <c r="B24" s="218">
        <f>($B$21-$B$18)*0.5</f>
        <v>4539357.7446073275</v>
      </c>
    </row>
    <row r="25" spans="1:5" ht="13.8" thickBot="1">
      <c r="A25" s="211" t="s">
        <v>161</v>
      </c>
      <c r="B25" s="219">
        <f>($B$21-$B$18)*0.5</f>
        <v>4539357.7446073275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71" sqref="G71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3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18" t="s">
        <v>99</v>
      </c>
      <c r="B1" s="318"/>
      <c r="C1" s="318"/>
      <c r="D1" s="318"/>
      <c r="E1" s="168"/>
      <c r="F1" s="168"/>
      <c r="G1" s="168"/>
    </row>
    <row r="2" spans="1:7">
      <c r="A2" s="318" t="s">
        <v>100</v>
      </c>
      <c r="B2" s="318"/>
      <c r="C2" s="318"/>
      <c r="D2" s="318"/>
      <c r="E2" s="168"/>
      <c r="F2" s="168"/>
      <c r="G2" s="168"/>
    </row>
    <row r="3" spans="1:7" ht="28.5" customHeight="1">
      <c r="A3" s="319" t="s">
        <v>189</v>
      </c>
      <c r="B3" s="319"/>
      <c r="C3" s="319"/>
      <c r="D3" s="319"/>
      <c r="E3" s="168"/>
      <c r="F3" s="168"/>
      <c r="G3" s="168"/>
    </row>
    <row r="4" spans="1:7">
      <c r="A4" s="321"/>
      <c r="B4" s="321"/>
      <c r="C4" s="321"/>
      <c r="D4" s="321"/>
    </row>
    <row r="5" spans="1:7" ht="24.6">
      <c r="A5" s="73" t="s">
        <v>152</v>
      </c>
      <c r="B5" s="322">
        <f>'Participación 2021'!B30</f>
        <v>439245658.99224001</v>
      </c>
      <c r="C5" s="322"/>
      <c r="D5" s="169"/>
    </row>
    <row r="6" spans="1:7" ht="18" thickBot="1">
      <c r="B6" s="320"/>
      <c r="C6" s="320"/>
      <c r="D6" s="170"/>
    </row>
    <row r="7" spans="1:7" ht="27" thickBot="1">
      <c r="A7" s="171" t="s">
        <v>0</v>
      </c>
      <c r="B7" s="171" t="s">
        <v>153</v>
      </c>
      <c r="C7" s="171" t="s">
        <v>154</v>
      </c>
      <c r="D7" s="172" t="s">
        <v>155</v>
      </c>
    </row>
    <row r="9" spans="1:7">
      <c r="A9" s="73" t="s">
        <v>143</v>
      </c>
      <c r="B9" s="73">
        <f>'Participación 2021 Mes'!$B$31*0.6</f>
        <v>27639355.894815385</v>
      </c>
    </row>
    <row r="10" spans="1:7">
      <c r="A10" s="73" t="s">
        <v>156</v>
      </c>
      <c r="B10" s="73">
        <f>B9*2.56%</f>
        <v>707567.51090727386</v>
      </c>
    </row>
    <row r="11" spans="1:7">
      <c r="A11" s="73" t="s">
        <v>157</v>
      </c>
      <c r="B11" s="73">
        <f>B9-B25</f>
        <v>19148545.7639281</v>
      </c>
    </row>
    <row r="12" spans="1:7" ht="13.8" thickBot="1"/>
    <row r="13" spans="1:7" ht="13.8" thickTop="1">
      <c r="A13" s="174" t="s">
        <v>6</v>
      </c>
      <c r="B13" s="175">
        <f t="shared" ref="B13:B23" si="0">$B$10</f>
        <v>707567.51090727386</v>
      </c>
      <c r="C13" s="176">
        <f>$B$11*VLOOKUP(A13,'Datos Mun'!$A$5:$AQ$55,42,FALSE)</f>
        <v>1822989.2379940338</v>
      </c>
      <c r="D13" s="177">
        <f>ROUND(B13+C13,2)</f>
        <v>2530556.75</v>
      </c>
    </row>
    <row r="14" spans="1:7">
      <c r="A14" s="178" t="s">
        <v>9</v>
      </c>
      <c r="B14" s="179">
        <f t="shared" si="0"/>
        <v>707567.51090727386</v>
      </c>
      <c r="C14" s="180">
        <f>$B$11*VLOOKUP(A14,'Datos Mun'!$A$5:$AQ$55,42,FALSE)</f>
        <v>312004.91601085273</v>
      </c>
      <c r="D14" s="181">
        <f t="shared" ref="D14:D24" si="1">ROUND(B14+C14,2)</f>
        <v>1019572.43</v>
      </c>
    </row>
    <row r="15" spans="1:7">
      <c r="A15" s="178" t="s">
        <v>18</v>
      </c>
      <c r="B15" s="179">
        <f t="shared" si="0"/>
        <v>707567.51090727386</v>
      </c>
      <c r="C15" s="180">
        <f>$B$11*VLOOKUP(A15,'Datos Mun'!$A$5:$AQ$55,42,FALSE)</f>
        <v>692709.05506510334</v>
      </c>
      <c r="D15" s="181">
        <f t="shared" si="1"/>
        <v>1400276.57</v>
      </c>
    </row>
    <row r="16" spans="1:7">
      <c r="A16" s="178" t="s">
        <v>20</v>
      </c>
      <c r="B16" s="179">
        <f t="shared" si="0"/>
        <v>707567.51090727386</v>
      </c>
      <c r="C16" s="180">
        <f>$B$11*VLOOKUP(A16,'Datos Mun'!$A$5:$AQ$55,42,FALSE)</f>
        <v>1082935.4332372618</v>
      </c>
      <c r="D16" s="181">
        <f t="shared" si="1"/>
        <v>1790502.94</v>
      </c>
    </row>
    <row r="17" spans="1:4">
      <c r="A17" s="178" t="s">
        <v>25</v>
      </c>
      <c r="B17" s="179">
        <f t="shared" si="0"/>
        <v>707567.51090727386</v>
      </c>
      <c r="C17" s="180">
        <f>$B$11*VLOOKUP(A17,'Datos Mun'!$A$5:$AQ$55,42,FALSE)</f>
        <v>1626005.8222158346</v>
      </c>
      <c r="D17" s="181">
        <f t="shared" si="1"/>
        <v>2333573.33</v>
      </c>
    </row>
    <row r="18" spans="1:4">
      <c r="A18" s="178" t="s">
        <v>31</v>
      </c>
      <c r="B18" s="179">
        <f t="shared" si="0"/>
        <v>707567.51090727386</v>
      </c>
      <c r="C18" s="180">
        <f>$B$11*VLOOKUP(A18,'Datos Mun'!$A$5:$AQ$55,42,FALSE)</f>
        <v>794823.97343859309</v>
      </c>
      <c r="D18" s="181">
        <f t="shared" si="1"/>
        <v>1502391.48</v>
      </c>
    </row>
    <row r="19" spans="1:4">
      <c r="A19" s="178" t="s">
        <v>39</v>
      </c>
      <c r="B19" s="179">
        <f t="shared" si="0"/>
        <v>707567.51090727386</v>
      </c>
      <c r="C19" s="180">
        <f>$B$11*VLOOKUP(A19,'Datos Mun'!$A$5:$AQ$55,42,FALSE)</f>
        <v>6371370.9714657683</v>
      </c>
      <c r="D19" s="181">
        <f t="shared" si="1"/>
        <v>7078938.4800000004</v>
      </c>
    </row>
    <row r="20" spans="1:4">
      <c r="A20" s="178" t="s">
        <v>45</v>
      </c>
      <c r="B20" s="179">
        <f t="shared" si="0"/>
        <v>707567.51090727386</v>
      </c>
      <c r="C20" s="180">
        <f>$B$11*VLOOKUP(A20,'Datos Mun'!$A$5:$AQ$55,42,FALSE)</f>
        <v>230405.05138992905</v>
      </c>
      <c r="D20" s="181">
        <f t="shared" si="1"/>
        <v>937972.56</v>
      </c>
    </row>
    <row r="21" spans="1:4">
      <c r="A21" s="178" t="s">
        <v>46</v>
      </c>
      <c r="B21" s="179">
        <f t="shared" si="0"/>
        <v>707567.51090727386</v>
      </c>
      <c r="C21" s="180">
        <f>$B$11*VLOOKUP(A21,'Datos Mun'!$A$5:$AQ$55,42,FALSE)</f>
        <v>1682617.502645734</v>
      </c>
      <c r="D21" s="181">
        <f t="shared" si="1"/>
        <v>2390185.0099999998</v>
      </c>
    </row>
    <row r="22" spans="1:4">
      <c r="A22" s="178" t="s">
        <v>47</v>
      </c>
      <c r="B22" s="179">
        <f t="shared" si="0"/>
        <v>707567.51090727386</v>
      </c>
      <c r="C22" s="180">
        <f>$B$11*VLOOKUP(A22,'Datos Mun'!$A$5:$AQ$55,42,FALSE)</f>
        <v>3248455.4115891811</v>
      </c>
      <c r="D22" s="181">
        <f t="shared" si="1"/>
        <v>3956022.92</v>
      </c>
    </row>
    <row r="23" spans="1:4">
      <c r="A23" s="178" t="s">
        <v>48</v>
      </c>
      <c r="B23" s="179">
        <f t="shared" si="0"/>
        <v>707567.51090727386</v>
      </c>
      <c r="C23" s="180">
        <f>$B$11*VLOOKUP(A23,'Datos Mun'!$A$5:$AQ$55,42,FALSE)</f>
        <v>852186.349406844</v>
      </c>
      <c r="D23" s="181">
        <f t="shared" si="1"/>
        <v>1559753.86</v>
      </c>
    </row>
    <row r="24" spans="1:4">
      <c r="A24" s="178" t="s">
        <v>49</v>
      </c>
      <c r="B24" s="179">
        <f>$B$10</f>
        <v>707567.51090727386</v>
      </c>
      <c r="C24" s="180">
        <f>$B$11*VLOOKUP(A24,'Datos Mun'!$A$5:$AQ$55,42,FALSE)</f>
        <v>432042.03946896084</v>
      </c>
      <c r="D24" s="181">
        <f t="shared" si="1"/>
        <v>1139609.55</v>
      </c>
    </row>
    <row r="25" spans="1:4" ht="13.8" thickBot="1">
      <c r="A25" s="182" t="s">
        <v>144</v>
      </c>
      <c r="B25" s="183">
        <f>SUM(B13:B24)</f>
        <v>8490810.1308872867</v>
      </c>
      <c r="C25" s="184">
        <f>SUM(C13:C24)</f>
        <v>19148545.763928093</v>
      </c>
      <c r="D25" s="185">
        <f>SUM(D13:D24)</f>
        <v>27639355.879999999</v>
      </c>
    </row>
    <row r="26" spans="1:4" ht="13.8" thickTop="1">
      <c r="A26" s="186"/>
      <c r="B26" s="187"/>
      <c r="C26" s="188"/>
      <c r="D26" s="189"/>
    </row>
    <row r="27" spans="1:4">
      <c r="A27" s="190" t="s">
        <v>145</v>
      </c>
      <c r="B27" s="191">
        <f>'Participación 2021 Mes'!$B$31*0.4</f>
        <v>18426237.263210259</v>
      </c>
      <c r="C27" s="192"/>
      <c r="D27" s="193"/>
    </row>
    <row r="28" spans="1:4">
      <c r="A28" s="190" t="s">
        <v>158</v>
      </c>
      <c r="B28" s="191">
        <f>B27*1.28%</f>
        <v>235855.83696909132</v>
      </c>
      <c r="C28" s="192"/>
      <c r="D28" s="193"/>
    </row>
    <row r="29" spans="1:4">
      <c r="A29" s="190" t="s">
        <v>157</v>
      </c>
      <c r="B29" s="190">
        <f>B27-B70</f>
        <v>9227859.6214156933</v>
      </c>
      <c r="C29" s="192"/>
      <c r="D29" s="193"/>
    </row>
    <row r="30" spans="1:4" ht="13.5" customHeight="1" thickBot="1">
      <c r="A30" s="194"/>
      <c r="B30" s="195"/>
      <c r="C30" s="196"/>
      <c r="D30" s="197"/>
    </row>
    <row r="31" spans="1:4" ht="13.8" thickTop="1">
      <c r="A31" s="174" t="s">
        <v>1</v>
      </c>
      <c r="B31" s="175">
        <f>$B$28</f>
        <v>235855.83696909132</v>
      </c>
      <c r="C31" s="176">
        <f>$B$29*VLOOKUP(A31,'Datos Mun'!$A$5:$AQ$55,42,FALSE)</f>
        <v>20245.218436753679</v>
      </c>
      <c r="D31" s="177">
        <f>ROUND(B31+C31,2)</f>
        <v>256101.06</v>
      </c>
    </row>
    <row r="32" spans="1:4">
      <c r="A32" s="178" t="s">
        <v>2</v>
      </c>
      <c r="B32" s="179">
        <f t="shared" ref="B32:B69" si="2">$B$28</f>
        <v>235855.83696909132</v>
      </c>
      <c r="C32" s="180">
        <f>$B$29*VLOOKUP(A32,'Datos Mun'!$A$5:$AQ$55,42,FALSE)</f>
        <v>110011.25857472673</v>
      </c>
      <c r="D32" s="181">
        <f t="shared" ref="D32:D69" si="3">ROUND(B32+C32,2)</f>
        <v>345867.1</v>
      </c>
    </row>
    <row r="33" spans="1:4">
      <c r="A33" s="178" t="s">
        <v>3</v>
      </c>
      <c r="B33" s="179">
        <f t="shared" si="2"/>
        <v>235855.83696909132</v>
      </c>
      <c r="C33" s="180">
        <f>$B$29*VLOOKUP(A33,'Datos Mun'!$A$5:$AQ$55,42,FALSE)</f>
        <v>119620.52316710621</v>
      </c>
      <c r="D33" s="181">
        <f t="shared" si="3"/>
        <v>355476.36</v>
      </c>
    </row>
    <row r="34" spans="1:4">
      <c r="A34" s="178" t="s">
        <v>4</v>
      </c>
      <c r="B34" s="179">
        <f t="shared" si="2"/>
        <v>235855.83696909132</v>
      </c>
      <c r="C34" s="180">
        <f>$B$29*VLOOKUP(A34,'Datos Mun'!$A$5:$AQ$55,42,FALSE)</f>
        <v>438330.02461148886</v>
      </c>
      <c r="D34" s="181">
        <f t="shared" si="3"/>
        <v>674185.86</v>
      </c>
    </row>
    <row r="35" spans="1:4">
      <c r="A35" s="178" t="s">
        <v>5</v>
      </c>
      <c r="B35" s="179">
        <f t="shared" si="2"/>
        <v>235855.83696909132</v>
      </c>
      <c r="C35" s="180">
        <f>$B$29*VLOOKUP(A35,'Datos Mun'!$A$5:$AQ$55,42,FALSE)</f>
        <v>326693.19567221007</v>
      </c>
      <c r="D35" s="181">
        <f t="shared" si="3"/>
        <v>562549.03</v>
      </c>
    </row>
    <row r="36" spans="1:4">
      <c r="A36" s="178" t="s">
        <v>7</v>
      </c>
      <c r="B36" s="179">
        <f t="shared" si="2"/>
        <v>235855.83696909132</v>
      </c>
      <c r="C36" s="180">
        <f>$B$29*VLOOKUP(A36,'Datos Mun'!$A$5:$AQ$55,42,FALSE)</f>
        <v>468010.33255780517</v>
      </c>
      <c r="D36" s="181">
        <f t="shared" si="3"/>
        <v>703866.17</v>
      </c>
    </row>
    <row r="37" spans="1:4">
      <c r="A37" s="178" t="s">
        <v>8</v>
      </c>
      <c r="B37" s="179">
        <f t="shared" si="2"/>
        <v>235855.83696909132</v>
      </c>
      <c r="C37" s="180">
        <f>$B$29*VLOOKUP(A37,'Datos Mun'!$A$5:$AQ$55,42,FALSE)</f>
        <v>60782.561392136857</v>
      </c>
      <c r="D37" s="181">
        <f t="shared" si="3"/>
        <v>296638.40000000002</v>
      </c>
    </row>
    <row r="38" spans="1:4">
      <c r="A38" s="178" t="s">
        <v>10</v>
      </c>
      <c r="B38" s="179">
        <f t="shared" si="2"/>
        <v>235855.83696909132</v>
      </c>
      <c r="C38" s="180">
        <f>$B$29*VLOOKUP(A38,'Datos Mun'!$A$5:$AQ$55,42,FALSE)</f>
        <v>234551.25079046964</v>
      </c>
      <c r="D38" s="181">
        <f t="shared" si="3"/>
        <v>470407.09</v>
      </c>
    </row>
    <row r="39" spans="1:4">
      <c r="A39" s="178" t="s">
        <v>11</v>
      </c>
      <c r="B39" s="179">
        <f t="shared" si="2"/>
        <v>235855.83696909132</v>
      </c>
      <c r="C39" s="180">
        <f>$B$29*VLOOKUP(A39,'Datos Mun'!$A$5:$AQ$55,42,FALSE)</f>
        <v>144177.34105187125</v>
      </c>
      <c r="D39" s="181">
        <f t="shared" si="3"/>
        <v>380033.18</v>
      </c>
    </row>
    <row r="40" spans="1:4">
      <c r="A40" s="178" t="s">
        <v>12</v>
      </c>
      <c r="B40" s="179">
        <f t="shared" si="2"/>
        <v>235855.83696909132</v>
      </c>
      <c r="C40" s="180">
        <f>$B$29*VLOOKUP(A40,'Datos Mun'!$A$5:$AQ$55,42,FALSE)</f>
        <v>314156.02622933098</v>
      </c>
      <c r="D40" s="181">
        <f t="shared" si="3"/>
        <v>550011.86</v>
      </c>
    </row>
    <row r="41" spans="1:4">
      <c r="A41" s="178" t="s">
        <v>13</v>
      </c>
      <c r="B41" s="179">
        <f t="shared" si="2"/>
        <v>235855.83696909132</v>
      </c>
      <c r="C41" s="180">
        <f>$B$29*VLOOKUP(A41,'Datos Mun'!$A$5:$AQ$55,42,FALSE)</f>
        <v>204931.25469939559</v>
      </c>
      <c r="D41" s="181">
        <f t="shared" si="3"/>
        <v>440787.09</v>
      </c>
    </row>
    <row r="42" spans="1:4">
      <c r="A42" s="178" t="s">
        <v>14</v>
      </c>
      <c r="B42" s="179">
        <f t="shared" si="2"/>
        <v>235855.83696909132</v>
      </c>
      <c r="C42" s="180">
        <f>$B$29*VLOOKUP(A42,'Datos Mun'!$A$5:$AQ$55,42,FALSE)</f>
        <v>1057752.7102741122</v>
      </c>
      <c r="D42" s="181">
        <f t="shared" si="3"/>
        <v>1293608.55</v>
      </c>
    </row>
    <row r="43" spans="1:4">
      <c r="A43" s="178" t="s">
        <v>15</v>
      </c>
      <c r="B43" s="179">
        <f t="shared" si="2"/>
        <v>235855.83696909132</v>
      </c>
      <c r="C43" s="180">
        <f>$B$29*VLOOKUP(A43,'Datos Mun'!$A$5:$AQ$55,42,FALSE)</f>
        <v>135204.25185717089</v>
      </c>
      <c r="D43" s="181">
        <f t="shared" si="3"/>
        <v>371060.09</v>
      </c>
    </row>
    <row r="44" spans="1:4">
      <c r="A44" s="178" t="s">
        <v>16</v>
      </c>
      <c r="B44" s="179">
        <f t="shared" si="2"/>
        <v>235855.83696909132</v>
      </c>
      <c r="C44" s="180">
        <f>$B$29*VLOOKUP(A44,'Datos Mun'!$A$5:$AQ$55,42,FALSE)</f>
        <v>51314.912145186754</v>
      </c>
      <c r="D44" s="181">
        <f t="shared" si="3"/>
        <v>287170.75</v>
      </c>
    </row>
    <row r="45" spans="1:4">
      <c r="A45" s="178" t="s">
        <v>17</v>
      </c>
      <c r="B45" s="179">
        <f t="shared" si="2"/>
        <v>235855.83696909132</v>
      </c>
      <c r="C45" s="180">
        <f>$B$29*VLOOKUP(A45,'Datos Mun'!$A$5:$AQ$55,42,FALSE)</f>
        <v>780833.21582309657</v>
      </c>
      <c r="D45" s="181">
        <f t="shared" si="3"/>
        <v>1016689.05</v>
      </c>
    </row>
    <row r="46" spans="1:4">
      <c r="A46" s="178" t="s">
        <v>19</v>
      </c>
      <c r="B46" s="179">
        <f t="shared" si="2"/>
        <v>235855.83696909132</v>
      </c>
      <c r="C46" s="180">
        <f>$B$29*VLOOKUP(A46,'Datos Mun'!$A$5:$AQ$55,42,FALSE)</f>
        <v>118340.64899569711</v>
      </c>
      <c r="D46" s="181">
        <f t="shared" si="3"/>
        <v>354196.49</v>
      </c>
    </row>
    <row r="47" spans="1:4">
      <c r="A47" s="178" t="s">
        <v>21</v>
      </c>
      <c r="B47" s="179">
        <f t="shared" si="2"/>
        <v>235855.83696909132</v>
      </c>
      <c r="C47" s="180">
        <f>$B$29*VLOOKUP(A47,'Datos Mun'!$A$5:$AQ$55,42,FALSE)</f>
        <v>284358.1902813316</v>
      </c>
      <c r="D47" s="181">
        <f t="shared" si="3"/>
        <v>520214.03</v>
      </c>
    </row>
    <row r="48" spans="1:4">
      <c r="A48" s="178" t="s">
        <v>22</v>
      </c>
      <c r="B48" s="179">
        <f t="shared" si="2"/>
        <v>235855.83696909132</v>
      </c>
      <c r="C48" s="180">
        <f>$B$29*VLOOKUP(A48,'Datos Mun'!$A$5:$AQ$55,42,FALSE)</f>
        <v>24966.300839161817</v>
      </c>
      <c r="D48" s="181">
        <f t="shared" si="3"/>
        <v>260822.14</v>
      </c>
    </row>
    <row r="49" spans="1:4">
      <c r="A49" s="178" t="s">
        <v>23</v>
      </c>
      <c r="B49" s="179">
        <f t="shared" si="2"/>
        <v>235855.83696909132</v>
      </c>
      <c r="C49" s="180">
        <f>$B$29*VLOOKUP(A49,'Datos Mun'!$A$5:$AQ$55,42,FALSE)</f>
        <v>233225.96786427411</v>
      </c>
      <c r="D49" s="181">
        <f t="shared" si="3"/>
        <v>469081.8</v>
      </c>
    </row>
    <row r="50" spans="1:4">
      <c r="A50" s="178" t="s">
        <v>24</v>
      </c>
      <c r="B50" s="179">
        <f t="shared" si="2"/>
        <v>235855.83696909132</v>
      </c>
      <c r="C50" s="180">
        <f>$B$29*VLOOKUP(A50,'Datos Mun'!$A$5:$AQ$55,42,FALSE)</f>
        <v>258566.93092812368</v>
      </c>
      <c r="D50" s="181">
        <f t="shared" si="3"/>
        <v>494422.77</v>
      </c>
    </row>
    <row r="51" spans="1:4">
      <c r="A51" s="178" t="s">
        <v>26</v>
      </c>
      <c r="B51" s="179">
        <f t="shared" si="2"/>
        <v>235855.83696909132</v>
      </c>
      <c r="C51" s="180">
        <f>$B$29*VLOOKUP(A51,'Datos Mun'!$A$5:$AQ$55,42,FALSE)</f>
        <v>62269.391110935998</v>
      </c>
      <c r="D51" s="181">
        <f t="shared" si="3"/>
        <v>298125.23</v>
      </c>
    </row>
    <row r="52" spans="1:4">
      <c r="A52" s="178" t="s">
        <v>27</v>
      </c>
      <c r="B52" s="179">
        <f t="shared" si="2"/>
        <v>235855.83696909132</v>
      </c>
      <c r="C52" s="180">
        <f>$B$29*VLOOKUP(A52,'Datos Mun'!$A$5:$AQ$55,42,FALSE)</f>
        <v>145358.65313818454</v>
      </c>
      <c r="D52" s="181">
        <f t="shared" si="3"/>
        <v>381214.49</v>
      </c>
    </row>
    <row r="53" spans="1:4">
      <c r="A53" s="178" t="s">
        <v>28</v>
      </c>
      <c r="B53" s="179">
        <f t="shared" si="2"/>
        <v>235855.83696909132</v>
      </c>
      <c r="C53" s="180">
        <f>$B$29*VLOOKUP(A53,'Datos Mun'!$A$5:$AQ$55,42,FALSE)</f>
        <v>95030.481926025604</v>
      </c>
      <c r="D53" s="181">
        <f t="shared" si="3"/>
        <v>330886.32</v>
      </c>
    </row>
    <row r="54" spans="1:4">
      <c r="A54" s="178" t="s">
        <v>29</v>
      </c>
      <c r="B54" s="179">
        <f t="shared" si="2"/>
        <v>235855.83696909132</v>
      </c>
      <c r="C54" s="180">
        <f>$B$29*VLOOKUP(A54,'Datos Mun'!$A$5:$AQ$55,42,FALSE)</f>
        <v>104833.61314240398</v>
      </c>
      <c r="D54" s="181">
        <f t="shared" si="3"/>
        <v>340689.45</v>
      </c>
    </row>
    <row r="55" spans="1:4">
      <c r="A55" s="178" t="s">
        <v>30</v>
      </c>
      <c r="B55" s="179">
        <f t="shared" si="2"/>
        <v>235855.83696909132</v>
      </c>
      <c r="C55" s="180">
        <f>$B$29*VLOOKUP(A55,'Datos Mun'!$A$5:$AQ$55,42,FALSE)</f>
        <v>121559.27111116813</v>
      </c>
      <c r="D55" s="181">
        <f t="shared" si="3"/>
        <v>357415.11</v>
      </c>
    </row>
    <row r="56" spans="1:4">
      <c r="A56" s="178" t="s">
        <v>32</v>
      </c>
      <c r="B56" s="179">
        <f t="shared" si="2"/>
        <v>235855.83696909132</v>
      </c>
      <c r="C56" s="180">
        <f>$B$29*VLOOKUP(A56,'Datos Mun'!$A$5:$AQ$55,42,FALSE)</f>
        <v>198721.43814855756</v>
      </c>
      <c r="D56" s="181">
        <f t="shared" si="3"/>
        <v>434577.28</v>
      </c>
    </row>
    <row r="57" spans="1:4">
      <c r="A57" s="178" t="s">
        <v>33</v>
      </c>
      <c r="B57" s="179">
        <f t="shared" si="2"/>
        <v>235855.83696909132</v>
      </c>
      <c r="C57" s="180">
        <f>$B$29*VLOOKUP(A57,'Datos Mun'!$A$5:$AQ$55,42,FALSE)</f>
        <v>757523.95390587067</v>
      </c>
      <c r="D57" s="181">
        <f t="shared" si="3"/>
        <v>993379.79</v>
      </c>
    </row>
    <row r="58" spans="1:4">
      <c r="A58" s="178" t="s">
        <v>34</v>
      </c>
      <c r="B58" s="179">
        <f t="shared" si="2"/>
        <v>235855.83696909132</v>
      </c>
      <c r="C58" s="180">
        <f>$B$29*VLOOKUP(A58,'Datos Mun'!$A$5:$AQ$55,42,FALSE)</f>
        <v>178497.80098114582</v>
      </c>
      <c r="D58" s="181">
        <f t="shared" si="3"/>
        <v>414353.64</v>
      </c>
    </row>
    <row r="59" spans="1:4">
      <c r="A59" s="178" t="s">
        <v>35</v>
      </c>
      <c r="B59" s="179">
        <f t="shared" si="2"/>
        <v>235855.83696909132</v>
      </c>
      <c r="C59" s="180">
        <f>$B$29*VLOOKUP(A59,'Datos Mun'!$A$5:$AQ$55,42,FALSE)</f>
        <v>172306.17006926736</v>
      </c>
      <c r="D59" s="181">
        <f t="shared" si="3"/>
        <v>408162.01</v>
      </c>
    </row>
    <row r="60" spans="1:4">
      <c r="A60" s="178" t="s">
        <v>36</v>
      </c>
      <c r="B60" s="179">
        <f t="shared" si="2"/>
        <v>235855.83696909132</v>
      </c>
      <c r="C60" s="180">
        <f>$B$29*VLOOKUP(A60,'Datos Mun'!$A$5:$AQ$55,42,FALSE)</f>
        <v>172577.63559489197</v>
      </c>
      <c r="D60" s="181">
        <f t="shared" si="3"/>
        <v>408433.47</v>
      </c>
    </row>
    <row r="61" spans="1:4">
      <c r="A61" s="178" t="s">
        <v>37</v>
      </c>
      <c r="B61" s="179">
        <f t="shared" si="2"/>
        <v>235855.83696909132</v>
      </c>
      <c r="C61" s="180">
        <f>$B$29*VLOOKUP(A61,'Datos Mun'!$A$5:$AQ$55,42,FALSE)</f>
        <v>221406.04060427795</v>
      </c>
      <c r="D61" s="181">
        <f t="shared" si="3"/>
        <v>457261.88</v>
      </c>
    </row>
    <row r="62" spans="1:4">
      <c r="A62" s="178" t="s">
        <v>38</v>
      </c>
      <c r="B62" s="179">
        <f t="shared" si="2"/>
        <v>235855.83696909132</v>
      </c>
      <c r="C62" s="180">
        <f>$B$29*VLOOKUP(A62,'Datos Mun'!$A$5:$AQ$55,42,FALSE)</f>
        <v>554701.17346891249</v>
      </c>
      <c r="D62" s="181">
        <f t="shared" si="3"/>
        <v>790557.01</v>
      </c>
    </row>
    <row r="63" spans="1:4">
      <c r="A63" s="178" t="s">
        <v>40</v>
      </c>
      <c r="B63" s="179">
        <f t="shared" si="2"/>
        <v>235855.83696909132</v>
      </c>
      <c r="C63" s="180">
        <f>$B$29*VLOOKUP(A63,'Datos Mun'!$A$5:$AQ$55,42,FALSE)</f>
        <v>46239.322767188161</v>
      </c>
      <c r="D63" s="181">
        <f t="shared" si="3"/>
        <v>282095.15999999997</v>
      </c>
    </row>
    <row r="64" spans="1:4">
      <c r="A64" s="178" t="s">
        <v>41</v>
      </c>
      <c r="B64" s="179">
        <f t="shared" si="2"/>
        <v>235855.83696909132</v>
      </c>
      <c r="C64" s="180">
        <f>$B$29*VLOOKUP(A64,'Datos Mun'!$A$5:$AQ$55,42,FALSE)</f>
        <v>385997.3876158545</v>
      </c>
      <c r="D64" s="181">
        <f t="shared" si="3"/>
        <v>621853.22</v>
      </c>
    </row>
    <row r="65" spans="1:4">
      <c r="A65" s="178" t="s">
        <v>42</v>
      </c>
      <c r="B65" s="179">
        <f t="shared" si="2"/>
        <v>235855.83696909132</v>
      </c>
      <c r="C65" s="180">
        <f>$B$29*VLOOKUP(A65,'Datos Mun'!$A$5:$AQ$55,42,FALSE)</f>
        <v>86932.430745912352</v>
      </c>
      <c r="D65" s="181">
        <f t="shared" si="3"/>
        <v>322788.27</v>
      </c>
    </row>
    <row r="66" spans="1:4">
      <c r="A66" s="178" t="s">
        <v>43</v>
      </c>
      <c r="B66" s="179">
        <f t="shared" si="2"/>
        <v>235855.83696909132</v>
      </c>
      <c r="C66" s="180">
        <f>$B$29*VLOOKUP(A66,'Datos Mun'!$A$5:$AQ$55,42,FALSE)</f>
        <v>142846.50120286716</v>
      </c>
      <c r="D66" s="181">
        <f t="shared" si="3"/>
        <v>378702.34</v>
      </c>
    </row>
    <row r="67" spans="1:4">
      <c r="A67" s="178" t="s">
        <v>44</v>
      </c>
      <c r="B67" s="179">
        <f t="shared" si="2"/>
        <v>235855.83696909132</v>
      </c>
      <c r="C67" s="180">
        <f>$B$29*VLOOKUP(A67,'Datos Mun'!$A$5:$AQ$55,42,FALSE)</f>
        <v>259217.15879665921</v>
      </c>
      <c r="D67" s="181">
        <f t="shared" si="3"/>
        <v>495073</v>
      </c>
    </row>
    <row r="68" spans="1:4">
      <c r="A68" s="178" t="s">
        <v>50</v>
      </c>
      <c r="B68" s="179">
        <f t="shared" si="2"/>
        <v>235855.83696909132</v>
      </c>
      <c r="C68" s="180">
        <f>$B$29*VLOOKUP(A68,'Datos Mun'!$A$5:$AQ$55,42,FALSE)</f>
        <v>80910.210841996304</v>
      </c>
      <c r="D68" s="181">
        <f t="shared" si="3"/>
        <v>316766.05</v>
      </c>
    </row>
    <row r="69" spans="1:4" ht="15.75" customHeight="1">
      <c r="A69" s="178" t="s">
        <v>51</v>
      </c>
      <c r="B69" s="179">
        <f t="shared" si="2"/>
        <v>235855.83696909132</v>
      </c>
      <c r="C69" s="180">
        <f>$B$29*VLOOKUP(A69,'Datos Mun'!$A$5:$AQ$55,42,FALSE)</f>
        <v>54858.870052123202</v>
      </c>
      <c r="D69" s="181">
        <f t="shared" si="3"/>
        <v>290714.71000000002</v>
      </c>
    </row>
    <row r="70" spans="1:4">
      <c r="A70" s="198" t="s">
        <v>144</v>
      </c>
      <c r="B70" s="183">
        <f>SUM(B31:B69)</f>
        <v>9198377.6417945661</v>
      </c>
      <c r="C70" s="184">
        <f>SUM(C31:C69)</f>
        <v>9227859.6214156915</v>
      </c>
      <c r="D70" s="185">
        <f>SUM(D31:D69)</f>
        <v>18426237.300000004</v>
      </c>
    </row>
    <row r="71" spans="1:4" ht="14.4" thickBot="1">
      <c r="A71" s="199" t="s">
        <v>52</v>
      </c>
      <c r="B71" s="200">
        <f>+B70+B25</f>
        <v>17689187.772681855</v>
      </c>
      <c r="C71" s="201">
        <f>+C70+C25</f>
        <v>28376405.385343783</v>
      </c>
      <c r="D71" s="202">
        <f>+D70+D25</f>
        <v>46065593.180000007</v>
      </c>
    </row>
    <row r="72" spans="1:4" ht="13.8" thickTop="1">
      <c r="C72" s="203"/>
    </row>
    <row r="73" spans="1:4">
      <c r="C73" s="203"/>
    </row>
    <row r="74" spans="1:4">
      <c r="C74" s="203"/>
    </row>
    <row r="75" spans="1:4">
      <c r="C75" s="203"/>
    </row>
    <row r="76" spans="1:4">
      <c r="C76" s="203"/>
    </row>
    <row r="77" spans="1:4">
      <c r="C77" s="203"/>
    </row>
    <row r="78" spans="1:4">
      <c r="C78" s="203"/>
    </row>
    <row r="79" spans="1:4">
      <c r="C79" s="203"/>
    </row>
    <row r="80" spans="1:4">
      <c r="C80" s="203"/>
    </row>
    <row r="81" spans="3:3" s="173" customFormat="1">
      <c r="C81" s="203"/>
    </row>
    <row r="82" spans="3:3" s="173" customFormat="1">
      <c r="C82" s="203"/>
    </row>
    <row r="83" spans="3:3" s="173" customFormat="1">
      <c r="C83" s="203"/>
    </row>
    <row r="84" spans="3:3" s="173" customFormat="1">
      <c r="C84" s="203"/>
    </row>
    <row r="85" spans="3:3" s="173" customFormat="1">
      <c r="C85" s="203"/>
    </row>
    <row r="86" spans="3:3" s="173" customFormat="1">
      <c r="C86" s="203"/>
    </row>
    <row r="87" spans="3:3" s="173" customFormat="1">
      <c r="C87" s="203"/>
    </row>
    <row r="88" spans="3:3" s="173" customFormat="1">
      <c r="C88" s="203"/>
    </row>
    <row r="89" spans="3:3" s="173" customFormat="1">
      <c r="C89" s="203"/>
    </row>
    <row r="90" spans="3:3" s="173" customFormat="1">
      <c r="C90" s="203"/>
    </row>
    <row r="91" spans="3:3" s="173" customFormat="1">
      <c r="C91" s="203"/>
    </row>
    <row r="92" spans="3:3" s="173" customFormat="1">
      <c r="C92" s="203"/>
    </row>
    <row r="93" spans="3:3" s="173" customFormat="1">
      <c r="C93" s="203"/>
    </row>
    <row r="94" spans="3:3" s="173" customFormat="1">
      <c r="C94" s="203"/>
    </row>
    <row r="95" spans="3:3" s="173" customFormat="1">
      <c r="C95" s="203"/>
    </row>
    <row r="96" spans="3:3" s="173" customFormat="1">
      <c r="C96" s="203"/>
    </row>
    <row r="97" spans="3:3" s="173" customFormat="1">
      <c r="C97" s="203"/>
    </row>
    <row r="98" spans="3:3" s="173" customFormat="1">
      <c r="C98" s="203"/>
    </row>
    <row r="99" spans="3:3" s="173" customFormat="1">
      <c r="C99" s="203"/>
    </row>
    <row r="100" spans="3:3" s="173" customFormat="1">
      <c r="C100" s="203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640625" defaultRowHeight="13.2"/>
  <cols>
    <col min="1" max="1" width="29.44140625" style="130" customWidth="1"/>
    <col min="2" max="3" width="17" style="130" customWidth="1"/>
    <col min="4" max="4" width="13.109375" style="130" customWidth="1"/>
    <col min="5" max="5" width="12.5546875" style="130" customWidth="1"/>
    <col min="6" max="6" width="17" style="136" customWidth="1"/>
    <col min="7" max="8" width="9.6640625" style="130"/>
    <col min="9" max="9" width="11.109375" style="130" bestFit="1" customWidth="1"/>
    <col min="10" max="10" width="9.6640625" style="130"/>
    <col min="11" max="11" width="10.109375" style="130" bestFit="1" customWidth="1"/>
    <col min="12" max="16384" width="9.6640625" style="130"/>
  </cols>
  <sheetData>
    <row r="1" spans="1:11">
      <c r="A1" s="323" t="s">
        <v>100</v>
      </c>
      <c r="B1" s="323"/>
      <c r="C1" s="323"/>
      <c r="D1" s="323"/>
      <c r="E1" s="323"/>
      <c r="F1" s="323"/>
    </row>
    <row r="2" spans="1:11" ht="37.5" customHeight="1">
      <c r="A2" s="324" t="s">
        <v>190</v>
      </c>
      <c r="B2" s="324"/>
      <c r="C2" s="324"/>
      <c r="D2" s="324"/>
      <c r="E2" s="324"/>
      <c r="F2" s="324"/>
    </row>
    <row r="3" spans="1:11" ht="26.25" customHeight="1">
      <c r="A3" s="131" t="s">
        <v>132</v>
      </c>
      <c r="B3" s="325" t="s">
        <v>133</v>
      </c>
      <c r="C3" s="325"/>
      <c r="D3" s="325" t="s">
        <v>134</v>
      </c>
      <c r="E3" s="325"/>
      <c r="F3" s="132" t="s">
        <v>53</v>
      </c>
    </row>
    <row r="4" spans="1:11">
      <c r="A4" s="133" t="s">
        <v>135</v>
      </c>
      <c r="B4" s="326">
        <f>'Participación 2021 Mes'!$B$20</f>
        <v>55399144.712919727</v>
      </c>
      <c r="C4" s="326"/>
      <c r="D4" s="327">
        <f>'Participación 2021 Mes'!$C$20</f>
        <v>10269302.049999999</v>
      </c>
      <c r="E4" s="327"/>
      <c r="F4" s="134">
        <f>SUM(B4:E4)</f>
        <v>65668446.762919724</v>
      </c>
    </row>
    <row r="5" spans="1:11">
      <c r="A5" s="135" t="s">
        <v>136</v>
      </c>
      <c r="B5" s="328">
        <f>3000000/12</f>
        <v>250000</v>
      </c>
      <c r="C5" s="328"/>
      <c r="D5" s="329">
        <f>IF(D4&lt;D6,0,1000000/12)</f>
        <v>83333.333333333328</v>
      </c>
      <c r="E5" s="328"/>
    </row>
    <row r="6" spans="1:11">
      <c r="A6" s="137" t="s">
        <v>137</v>
      </c>
      <c r="B6" s="328">
        <f>B5*51</f>
        <v>12750000</v>
      </c>
      <c r="C6" s="328"/>
      <c r="D6" s="328">
        <v>4250000</v>
      </c>
      <c r="E6" s="328"/>
    </row>
    <row r="7" spans="1:11">
      <c r="A7" s="137" t="s">
        <v>138</v>
      </c>
      <c r="B7" s="328">
        <f>B4-B6</f>
        <v>42649144.712919727</v>
      </c>
      <c r="C7" s="328"/>
      <c r="D7" s="328">
        <f>IF(D4-D6&lt;0,D4,D4-D6)</f>
        <v>6019302.0499999989</v>
      </c>
      <c r="E7" s="328"/>
    </row>
    <row r="8" spans="1:11">
      <c r="A8" s="135" t="s">
        <v>139</v>
      </c>
      <c r="B8" s="328">
        <f>B7*0.6</f>
        <v>25589486.827751834</v>
      </c>
      <c r="C8" s="328"/>
      <c r="D8" s="328">
        <f>D7*0.6</f>
        <v>3611581.2299999991</v>
      </c>
      <c r="E8" s="328"/>
    </row>
    <row r="9" spans="1:11">
      <c r="A9" s="135" t="s">
        <v>140</v>
      </c>
      <c r="B9" s="328">
        <f>B7*0.4</f>
        <v>17059657.885167893</v>
      </c>
      <c r="C9" s="328"/>
      <c r="D9" s="328">
        <f>D7*0.4</f>
        <v>2407720.8199999998</v>
      </c>
      <c r="E9" s="328"/>
      <c r="I9" s="138" t="s">
        <v>111</v>
      </c>
      <c r="J9" s="138" t="s">
        <v>111</v>
      </c>
      <c r="K9" s="138" t="s">
        <v>111</v>
      </c>
    </row>
    <row r="10" spans="1:11" ht="13.8" thickBot="1">
      <c r="A10" s="139"/>
      <c r="B10" s="139"/>
      <c r="C10" s="139"/>
      <c r="D10" s="139"/>
      <c r="E10" s="139"/>
      <c r="I10" s="138" t="s">
        <v>111</v>
      </c>
      <c r="J10" s="138" t="s">
        <v>111</v>
      </c>
      <c r="K10" s="138" t="s">
        <v>111</v>
      </c>
    </row>
    <row r="11" spans="1:11" ht="58.5" customHeight="1" thickBot="1">
      <c r="A11" s="140" t="s">
        <v>0</v>
      </c>
      <c r="B11" s="140" t="s">
        <v>141</v>
      </c>
      <c r="C11" s="140" t="s">
        <v>142</v>
      </c>
      <c r="D11" s="140" t="s">
        <v>141</v>
      </c>
      <c r="E11" s="140" t="s">
        <v>142</v>
      </c>
      <c r="F11" s="141" t="s">
        <v>150</v>
      </c>
    </row>
    <row r="13" spans="1:11" ht="13.8" thickBot="1">
      <c r="A13" s="142" t="s">
        <v>143</v>
      </c>
      <c r="B13" s="142"/>
      <c r="D13" s="142"/>
    </row>
    <row r="14" spans="1:11">
      <c r="A14" s="143" t="s">
        <v>6</v>
      </c>
      <c r="B14" s="144">
        <f>$B$5</f>
        <v>250000</v>
      </c>
      <c r="C14" s="145">
        <f>$B$8*VLOOKUP(A14,'Datos Mun'!$A$5:$AQ$55,37,FALSE)</f>
        <v>3428897.4978752872</v>
      </c>
      <c r="D14" s="144">
        <f>$D$5</f>
        <v>83333.333333333328</v>
      </c>
      <c r="E14" s="145">
        <f>$D$8*VLOOKUP(A14,'Datos Mun'!$A$5:$AQ$55,37,FALSE)</f>
        <v>483938.65520937933</v>
      </c>
      <c r="F14" s="224">
        <f>SUM(B14:E14)</f>
        <v>4246169.4864180004</v>
      </c>
    </row>
    <row r="15" spans="1:11">
      <c r="A15" s="146" t="s">
        <v>9</v>
      </c>
      <c r="B15" s="147">
        <f t="shared" ref="B15:B25" si="0">$B$5</f>
        <v>250000</v>
      </c>
      <c r="C15" s="148">
        <f>$B$8*VLOOKUP(A15,'Datos Mun'!$A$5:$AQ$55,37,FALSE)</f>
        <v>639000.81831992161</v>
      </c>
      <c r="D15" s="147">
        <f t="shared" ref="D15:D25" si="1">$D$5</f>
        <v>83333.333333333328</v>
      </c>
      <c r="E15" s="148">
        <f>$D$8*VLOOKUP(A15,'Datos Mun'!$A$5:$AQ$55,37,FALSE)</f>
        <v>90185.605398544081</v>
      </c>
      <c r="F15" s="225">
        <f t="shared" ref="F15:F25" si="2">SUM(B15:E15)</f>
        <v>1062519.757051799</v>
      </c>
    </row>
    <row r="16" spans="1:11">
      <c r="A16" s="146" t="s">
        <v>18</v>
      </c>
      <c r="B16" s="147">
        <f t="shared" si="0"/>
        <v>250000</v>
      </c>
      <c r="C16" s="148">
        <f>$B$8*VLOOKUP(A16,'Datos Mun'!$A$5:$AQ$55,37,FALSE)</f>
        <v>2074714.27320242</v>
      </c>
      <c r="D16" s="147">
        <f t="shared" si="1"/>
        <v>83333.333333333328</v>
      </c>
      <c r="E16" s="148">
        <f>$D$8*VLOOKUP(A16,'Datos Mun'!$A$5:$AQ$55,37,FALSE)</f>
        <v>292815.52917211229</v>
      </c>
      <c r="F16" s="225">
        <f t="shared" si="2"/>
        <v>2700863.1357078659</v>
      </c>
    </row>
    <row r="17" spans="1:6">
      <c r="A17" s="146" t="s">
        <v>20</v>
      </c>
      <c r="B17" s="147">
        <f t="shared" si="0"/>
        <v>250000</v>
      </c>
      <c r="C17" s="148">
        <f>$B$8*VLOOKUP(A17,'Datos Mun'!$A$5:$AQ$55,37,FALSE)</f>
        <v>2513511.8630192373</v>
      </c>
      <c r="D17" s="147">
        <f t="shared" si="1"/>
        <v>83333.333333333328</v>
      </c>
      <c r="E17" s="148">
        <f>$D$8*VLOOKUP(A17,'Datos Mun'!$A$5:$AQ$55,37,FALSE)</f>
        <v>354745.38145164255</v>
      </c>
      <c r="F17" s="225">
        <f t="shared" si="2"/>
        <v>3201590.5778042134</v>
      </c>
    </row>
    <row r="18" spans="1:6">
      <c r="A18" s="146" t="s">
        <v>25</v>
      </c>
      <c r="B18" s="147">
        <f t="shared" si="0"/>
        <v>250000</v>
      </c>
      <c r="C18" s="148">
        <f>$B$8*VLOOKUP(A18,'Datos Mun'!$A$5:$AQ$55,37,FALSE)</f>
        <v>3359318.1400290132</v>
      </c>
      <c r="D18" s="147">
        <f t="shared" si="1"/>
        <v>83333.333333333328</v>
      </c>
      <c r="E18" s="148">
        <f>$D$8*VLOOKUP(A18,'Datos Mun'!$A$5:$AQ$55,37,FALSE)</f>
        <v>474118.54805035144</v>
      </c>
      <c r="F18" s="225">
        <f t="shared" si="2"/>
        <v>4166770.0214126981</v>
      </c>
    </row>
    <row r="19" spans="1:6">
      <c r="A19" s="146" t="s">
        <v>31</v>
      </c>
      <c r="B19" s="147">
        <f t="shared" si="0"/>
        <v>250000</v>
      </c>
      <c r="C19" s="148">
        <f>$B$8*VLOOKUP(A19,'Datos Mun'!$A$5:$AQ$55,37,FALSE)</f>
        <v>2462898.247109741</v>
      </c>
      <c r="D19" s="147">
        <f t="shared" si="1"/>
        <v>83333.333333333328</v>
      </c>
      <c r="E19" s="148">
        <f>$D$8*VLOOKUP(A19,'Datos Mun'!$A$5:$AQ$55,37,FALSE)</f>
        <v>347602.01095611055</v>
      </c>
      <c r="F19" s="225">
        <f t="shared" si="2"/>
        <v>3143833.5913991849</v>
      </c>
    </row>
    <row r="20" spans="1:6">
      <c r="A20" s="146" t="s">
        <v>39</v>
      </c>
      <c r="B20" s="147">
        <f t="shared" si="0"/>
        <v>250000</v>
      </c>
      <c r="C20" s="148">
        <f>$B$8*VLOOKUP(A20,'Datos Mun'!$A$5:$AQ$55,37,FALSE)</f>
        <v>5970181.5586025529</v>
      </c>
      <c r="D20" s="147">
        <f t="shared" si="1"/>
        <v>83333.333333333328</v>
      </c>
      <c r="E20" s="148">
        <f>$D$8*VLOOKUP(A20,'Datos Mun'!$A$5:$AQ$55,37,FALSE)</f>
        <v>842603.67555934424</v>
      </c>
      <c r="F20" s="225">
        <f t="shared" si="2"/>
        <v>7146118.5674952306</v>
      </c>
    </row>
    <row r="21" spans="1:6">
      <c r="A21" s="146" t="s">
        <v>45</v>
      </c>
      <c r="B21" s="147">
        <f t="shared" si="0"/>
        <v>250000</v>
      </c>
      <c r="C21" s="148">
        <f>$B$8*VLOOKUP(A21,'Datos Mun'!$A$5:$AQ$55,37,FALSE)</f>
        <v>453203.40536670282</v>
      </c>
      <c r="D21" s="147">
        <f t="shared" si="1"/>
        <v>83333.333333333328</v>
      </c>
      <c r="E21" s="148">
        <f>$D$8*VLOOKUP(A21,'Datos Mun'!$A$5:$AQ$55,37,FALSE)</f>
        <v>63963.022127484539</v>
      </c>
      <c r="F21" s="225">
        <f t="shared" si="2"/>
        <v>850499.76082752075</v>
      </c>
    </row>
    <row r="22" spans="1:6">
      <c r="A22" s="146" t="s">
        <v>46</v>
      </c>
      <c r="B22" s="147">
        <f t="shared" si="0"/>
        <v>250000</v>
      </c>
      <c r="C22" s="148">
        <f>$B$8*VLOOKUP(A22,'Datos Mun'!$A$5:$AQ$55,37,FALSE)</f>
        <v>2153032.1841360615</v>
      </c>
      <c r="D22" s="147">
        <f t="shared" si="1"/>
        <v>83333.333333333328</v>
      </c>
      <c r="E22" s="148">
        <f>$D$8*VLOOKUP(A22,'Datos Mun'!$A$5:$AQ$55,37,FALSE)</f>
        <v>303868.95509677753</v>
      </c>
      <c r="F22" s="225">
        <f t="shared" si="2"/>
        <v>2790234.4725661725</v>
      </c>
    </row>
    <row r="23" spans="1:6">
      <c r="A23" s="146" t="s">
        <v>47</v>
      </c>
      <c r="B23" s="147">
        <f t="shared" si="0"/>
        <v>250000</v>
      </c>
      <c r="C23" s="148">
        <f>$B$8*VLOOKUP(A23,'Datos Mun'!$A$5:$AQ$55,37,FALSE)</f>
        <v>690356.14046875213</v>
      </c>
      <c r="D23" s="147">
        <f t="shared" si="1"/>
        <v>83333.333333333328</v>
      </c>
      <c r="E23" s="148">
        <f>$D$8*VLOOKUP(A23,'Datos Mun'!$A$5:$AQ$55,37,FALSE)</f>
        <v>97433.656865217985</v>
      </c>
      <c r="F23" s="225">
        <f t="shared" si="2"/>
        <v>1121123.1306673035</v>
      </c>
    </row>
    <row r="24" spans="1:6">
      <c r="A24" s="146" t="s">
        <v>48</v>
      </c>
      <c r="B24" s="147">
        <f t="shared" si="0"/>
        <v>250000</v>
      </c>
      <c r="C24" s="148">
        <f>$B$8*VLOOKUP(A24,'Datos Mun'!$A$5:$AQ$55,37,FALSE)</f>
        <v>1600006.610178401</v>
      </c>
      <c r="D24" s="147">
        <f t="shared" si="1"/>
        <v>83333.333333333328</v>
      </c>
      <c r="E24" s="148">
        <f>$D$8*VLOOKUP(A24,'Datos Mun'!$A$5:$AQ$55,37,FALSE)</f>
        <v>225817.4960714487</v>
      </c>
      <c r="F24" s="225">
        <f t="shared" si="2"/>
        <v>2159157.4395831828</v>
      </c>
    </row>
    <row r="25" spans="1:6">
      <c r="A25" s="146" t="s">
        <v>49</v>
      </c>
      <c r="B25" s="147">
        <f t="shared" si="0"/>
        <v>250000</v>
      </c>
      <c r="C25" s="149">
        <f>$B$8*VLOOKUP(A25,'Datos Mun'!$A$5:$AQ$55,37,FALSE)</f>
        <v>244366.0894437432</v>
      </c>
      <c r="D25" s="147">
        <f t="shared" si="1"/>
        <v>83333.333333333328</v>
      </c>
      <c r="E25" s="149">
        <f>$D$8*VLOOKUP(A25,'Datos Mun'!$A$5:$AQ$55,37,FALSE)</f>
        <v>34488.694041585833</v>
      </c>
      <c r="F25" s="226">
        <f t="shared" si="2"/>
        <v>612188.11681866238</v>
      </c>
    </row>
    <row r="26" spans="1:6" ht="13.8" thickBot="1">
      <c r="A26" s="150" t="s">
        <v>144</v>
      </c>
      <c r="B26" s="151">
        <f>SUM(B14:B25)</f>
        <v>3000000</v>
      </c>
      <c r="C26" s="152">
        <f>SUM(C14:C25)</f>
        <v>25589486.827751838</v>
      </c>
      <c r="D26" s="151">
        <f>SUM(D14:D25)</f>
        <v>1000000.0000000001</v>
      </c>
      <c r="E26" s="152">
        <f>SUM(E14:E25)</f>
        <v>3611581.2299999991</v>
      </c>
      <c r="F26" s="227">
        <f>SUM(F14:F25)</f>
        <v>33201068.057751831</v>
      </c>
    </row>
    <row r="27" spans="1:6">
      <c r="A27" s="153"/>
      <c r="B27" s="153"/>
      <c r="C27" s="154"/>
      <c r="D27" s="153"/>
      <c r="E27" s="154"/>
      <c r="F27" s="155"/>
    </row>
    <row r="28" spans="1:6" ht="13.8" thickBot="1">
      <c r="A28" s="156" t="s">
        <v>145</v>
      </c>
      <c r="B28" s="156"/>
      <c r="C28" s="149"/>
      <c r="D28" s="156"/>
      <c r="E28" s="149"/>
      <c r="F28" s="157"/>
    </row>
    <row r="29" spans="1:6">
      <c r="A29" s="158" t="s">
        <v>1</v>
      </c>
      <c r="B29" s="230">
        <f>$B$5</f>
        <v>250000</v>
      </c>
      <c r="C29" s="159">
        <f>$B$9*VLOOKUP(A29,'Datos Mun'!$A$5:$AQ$55,39,FALSE)</f>
        <v>57307.245548222869</v>
      </c>
      <c r="D29" s="144">
        <f>$D$5</f>
        <v>83333.333333333328</v>
      </c>
      <c r="E29" s="159">
        <f>$D$9*VLOOKUP(A29,'Datos Mun'!$A$5:$AQ$55,39,FALSE)</f>
        <v>8088.0782705069214</v>
      </c>
      <c r="F29" s="228">
        <f>SUM(B29:E29)</f>
        <v>398728.6571520631</v>
      </c>
    </row>
    <row r="30" spans="1:6">
      <c r="A30" s="160" t="s">
        <v>2</v>
      </c>
      <c r="B30" s="231">
        <f t="shared" ref="B30:B67" si="3">$B$5</f>
        <v>250000</v>
      </c>
      <c r="C30" s="149">
        <f>$B$9*VLOOKUP(A30,'Datos Mun'!$A$5:$AQ$55,39,FALSE)</f>
        <v>65169.167600568166</v>
      </c>
      <c r="D30" s="147">
        <f t="shared" ref="D30:D67" si="4">$D$5</f>
        <v>83333.333333333328</v>
      </c>
      <c r="E30" s="149">
        <f>$D$9*VLOOKUP(A30,'Datos Mun'!$A$5:$AQ$55,39,FALSE)</f>
        <v>9197.6734064742468</v>
      </c>
      <c r="F30" s="226">
        <f t="shared" ref="F30:F67" si="5">ROUND(SUM(B30:E30),2)</f>
        <v>407700.17</v>
      </c>
    </row>
    <row r="31" spans="1:6">
      <c r="A31" s="160" t="s">
        <v>3</v>
      </c>
      <c r="B31" s="231">
        <f t="shared" si="3"/>
        <v>250000</v>
      </c>
      <c r="C31" s="149">
        <f>$B$9*VLOOKUP(A31,'Datos Mun'!$A$5:$AQ$55,39,FALSE)</f>
        <v>27112.069430514315</v>
      </c>
      <c r="D31" s="147">
        <f t="shared" si="4"/>
        <v>83333.333333333328</v>
      </c>
      <c r="E31" s="149">
        <f>$D$9*VLOOKUP(A31,'Datos Mun'!$A$5:$AQ$55,39,FALSE)</f>
        <v>3826.4714615343773</v>
      </c>
      <c r="F31" s="226">
        <f t="shared" si="5"/>
        <v>364271.87</v>
      </c>
    </row>
    <row r="32" spans="1:6">
      <c r="A32" s="160" t="s">
        <v>4</v>
      </c>
      <c r="B32" s="231">
        <f t="shared" si="3"/>
        <v>250000</v>
      </c>
      <c r="C32" s="149">
        <f>$B$9*VLOOKUP(A32,'Datos Mun'!$A$5:$AQ$55,39,FALSE)</f>
        <v>679998.44927748374</v>
      </c>
      <c r="D32" s="147">
        <f t="shared" si="4"/>
        <v>83333.333333333328</v>
      </c>
      <c r="E32" s="149">
        <f>$D$9*VLOOKUP(A32,'Datos Mun'!$A$5:$AQ$55,39,FALSE)</f>
        <v>95971.820473409127</v>
      </c>
      <c r="F32" s="226">
        <f t="shared" si="5"/>
        <v>1109303.6000000001</v>
      </c>
    </row>
    <row r="33" spans="1:6">
      <c r="A33" s="160" t="s">
        <v>5</v>
      </c>
      <c r="B33" s="231">
        <f t="shared" si="3"/>
        <v>250000</v>
      </c>
      <c r="C33" s="149">
        <f>$B$9*VLOOKUP(A33,'Datos Mun'!$A$5:$AQ$55,39,FALSE)</f>
        <v>347427.58481320052</v>
      </c>
      <c r="D33" s="147">
        <f t="shared" si="4"/>
        <v>83333.333333333328</v>
      </c>
      <c r="E33" s="149">
        <f>$D$9*VLOOKUP(A33,'Datos Mun'!$A$5:$AQ$55,39,FALSE)</f>
        <v>49034.314464438401</v>
      </c>
      <c r="F33" s="226">
        <f t="shared" si="5"/>
        <v>729795.23</v>
      </c>
    </row>
    <row r="34" spans="1:6">
      <c r="A34" s="160" t="s">
        <v>7</v>
      </c>
      <c r="B34" s="231">
        <f t="shared" si="3"/>
        <v>250000</v>
      </c>
      <c r="C34" s="149">
        <f>$B$9*VLOOKUP(A34,'Datos Mun'!$A$5:$AQ$55,39,FALSE)</f>
        <v>288887.09659009997</v>
      </c>
      <c r="D34" s="147">
        <f t="shared" si="4"/>
        <v>83333.333333333328</v>
      </c>
      <c r="E34" s="149">
        <f>$D$9*VLOOKUP(A34,'Datos Mun'!$A$5:$AQ$55,39,FALSE)</f>
        <v>40772.182054956211</v>
      </c>
      <c r="F34" s="226">
        <f t="shared" si="5"/>
        <v>662992.61</v>
      </c>
    </row>
    <row r="35" spans="1:6">
      <c r="A35" s="160" t="s">
        <v>8</v>
      </c>
      <c r="B35" s="231">
        <f t="shared" si="3"/>
        <v>250000</v>
      </c>
      <c r="C35" s="149">
        <f>$B$9*VLOOKUP(A35,'Datos Mun'!$A$5:$AQ$55,39,FALSE)</f>
        <v>70545.334886363111</v>
      </c>
      <c r="D35" s="147">
        <f t="shared" si="4"/>
        <v>83333.333333333328</v>
      </c>
      <c r="E35" s="149">
        <f>$D$9*VLOOKUP(A35,'Datos Mun'!$A$5:$AQ$55,39,FALSE)</f>
        <v>9956.4406685695485</v>
      </c>
      <c r="F35" s="226">
        <f t="shared" si="5"/>
        <v>413835.11</v>
      </c>
    </row>
    <row r="36" spans="1:6">
      <c r="A36" s="160" t="s">
        <v>10</v>
      </c>
      <c r="B36" s="231">
        <f t="shared" si="3"/>
        <v>250000</v>
      </c>
      <c r="C36" s="149">
        <f>$B$9*VLOOKUP(A36,'Datos Mun'!$A$5:$AQ$55,39,FALSE)</f>
        <v>2013230.1279042466</v>
      </c>
      <c r="D36" s="147">
        <f t="shared" si="4"/>
        <v>83333.333333333328</v>
      </c>
      <c r="E36" s="149">
        <f>$D$9*VLOOKUP(A36,'Datos Mun'!$A$5:$AQ$55,39,FALSE)</f>
        <v>284137.94268527982</v>
      </c>
      <c r="F36" s="226">
        <f t="shared" si="5"/>
        <v>2630701.4</v>
      </c>
    </row>
    <row r="37" spans="1:6">
      <c r="A37" s="160" t="s">
        <v>11</v>
      </c>
      <c r="B37" s="231">
        <f t="shared" si="3"/>
        <v>250000</v>
      </c>
      <c r="C37" s="149">
        <f>$B$9*VLOOKUP(A37,'Datos Mun'!$A$5:$AQ$55,39,FALSE)</f>
        <v>141437.51927503559</v>
      </c>
      <c r="D37" s="147">
        <f t="shared" si="4"/>
        <v>83333.333333333328</v>
      </c>
      <c r="E37" s="149">
        <f>$D$9*VLOOKUP(A37,'Datos Mun'!$A$5:$AQ$55,39,FALSE)</f>
        <v>19961.834063725892</v>
      </c>
      <c r="F37" s="226">
        <f t="shared" si="5"/>
        <v>494732.69</v>
      </c>
    </row>
    <row r="38" spans="1:6">
      <c r="A38" s="160" t="s">
        <v>12</v>
      </c>
      <c r="B38" s="231">
        <f t="shared" si="3"/>
        <v>250000</v>
      </c>
      <c r="C38" s="149">
        <f>$B$9*VLOOKUP(A38,'Datos Mun'!$A$5:$AQ$55,39,FALSE)</f>
        <v>191345.30877399229</v>
      </c>
      <c r="D38" s="147">
        <f t="shared" si="4"/>
        <v>83333.333333333328</v>
      </c>
      <c r="E38" s="149">
        <f>$D$9*VLOOKUP(A38,'Datos Mun'!$A$5:$AQ$55,39,FALSE)</f>
        <v>27005.587500381214</v>
      </c>
      <c r="F38" s="226">
        <f t="shared" si="5"/>
        <v>551684.23</v>
      </c>
    </row>
    <row r="39" spans="1:6">
      <c r="A39" s="160" t="s">
        <v>13</v>
      </c>
      <c r="B39" s="231">
        <f t="shared" si="3"/>
        <v>250000</v>
      </c>
      <c r="C39" s="149">
        <f>$B$9*VLOOKUP(A39,'Datos Mun'!$A$5:$AQ$55,39,FALSE)</f>
        <v>1324714.5964033885</v>
      </c>
      <c r="D39" s="147">
        <f t="shared" si="4"/>
        <v>83333.333333333328</v>
      </c>
      <c r="E39" s="149">
        <f>$D$9*VLOOKUP(A39,'Datos Mun'!$A$5:$AQ$55,39,FALSE)</f>
        <v>186964.06081457273</v>
      </c>
      <c r="F39" s="226">
        <f t="shared" si="5"/>
        <v>1845011.99</v>
      </c>
    </row>
    <row r="40" spans="1:6">
      <c r="A40" s="160" t="s">
        <v>14</v>
      </c>
      <c r="B40" s="231">
        <f t="shared" si="3"/>
        <v>250000</v>
      </c>
      <c r="C40" s="149">
        <f>$B$9*VLOOKUP(A40,'Datos Mun'!$A$5:$AQ$55,39,FALSE)</f>
        <v>695394.71329665999</v>
      </c>
      <c r="D40" s="147">
        <f t="shared" si="4"/>
        <v>83333.333333333328</v>
      </c>
      <c r="E40" s="149">
        <f>$D$9*VLOOKUP(A40,'Datos Mun'!$A$5:$AQ$55,39,FALSE)</f>
        <v>98144.777614678474</v>
      </c>
      <c r="F40" s="226">
        <f t="shared" si="5"/>
        <v>1126872.82</v>
      </c>
    </row>
    <row r="41" spans="1:6">
      <c r="A41" s="160" t="s">
        <v>15</v>
      </c>
      <c r="B41" s="231">
        <f t="shared" si="3"/>
        <v>250000</v>
      </c>
      <c r="C41" s="149">
        <f>$B$9*VLOOKUP(A41,'Datos Mun'!$A$5:$AQ$55,39,FALSE)</f>
        <v>26206.406841151009</v>
      </c>
      <c r="D41" s="147">
        <f t="shared" si="4"/>
        <v>83333.333333333328</v>
      </c>
      <c r="E41" s="149">
        <f>$D$9*VLOOKUP(A41,'Datos Mun'!$A$5:$AQ$55,39,FALSE)</f>
        <v>3698.6504532244162</v>
      </c>
      <c r="F41" s="226">
        <f t="shared" si="5"/>
        <v>363238.39</v>
      </c>
    </row>
    <row r="42" spans="1:6">
      <c r="A42" s="160" t="s">
        <v>16</v>
      </c>
      <c r="B42" s="231">
        <f t="shared" si="3"/>
        <v>250000</v>
      </c>
      <c r="C42" s="149">
        <f>$B$9*VLOOKUP(A42,'Datos Mun'!$A$5:$AQ$55,39,FALSE)</f>
        <v>62741.221084402707</v>
      </c>
      <c r="D42" s="147">
        <f t="shared" si="4"/>
        <v>83333.333333333328</v>
      </c>
      <c r="E42" s="149">
        <f>$D$9*VLOOKUP(A42,'Datos Mun'!$A$5:$AQ$55,39,FALSE)</f>
        <v>8855.0043203666901</v>
      </c>
      <c r="F42" s="226">
        <f t="shared" si="5"/>
        <v>404929.56</v>
      </c>
    </row>
    <row r="43" spans="1:6">
      <c r="A43" s="160" t="s">
        <v>17</v>
      </c>
      <c r="B43" s="231">
        <f t="shared" si="3"/>
        <v>250000</v>
      </c>
      <c r="C43" s="149">
        <f>$B$9*VLOOKUP(A43,'Datos Mun'!$A$5:$AQ$55,39,FALSE)</f>
        <v>788176.95516441157</v>
      </c>
      <c r="D43" s="147">
        <f t="shared" si="4"/>
        <v>83333.333333333328</v>
      </c>
      <c r="E43" s="149">
        <f>$D$9*VLOOKUP(A43,'Datos Mun'!$A$5:$AQ$55,39,FALSE)</f>
        <v>111239.6319766458</v>
      </c>
      <c r="F43" s="226">
        <f t="shared" si="5"/>
        <v>1232749.92</v>
      </c>
    </row>
    <row r="44" spans="1:6">
      <c r="A44" s="160" t="s">
        <v>19</v>
      </c>
      <c r="B44" s="231">
        <f t="shared" si="3"/>
        <v>250000</v>
      </c>
      <c r="C44" s="149">
        <f>$B$9*VLOOKUP(A44,'Datos Mun'!$A$5:$AQ$55,39,FALSE)</f>
        <v>106097.40887307165</v>
      </c>
      <c r="D44" s="147">
        <f t="shared" si="4"/>
        <v>83333.333333333328</v>
      </c>
      <c r="E44" s="149">
        <f>$D$9*VLOOKUP(A44,'Datos Mun'!$A$5:$AQ$55,39,FALSE)</f>
        <v>14974.095143715907</v>
      </c>
      <c r="F44" s="226">
        <f t="shared" si="5"/>
        <v>454404.84</v>
      </c>
    </row>
    <row r="45" spans="1:6">
      <c r="A45" s="160" t="s">
        <v>21</v>
      </c>
      <c r="B45" s="231">
        <f t="shared" si="3"/>
        <v>250000</v>
      </c>
      <c r="C45" s="149">
        <f>$B$9*VLOOKUP(A45,'Datos Mun'!$A$5:$AQ$55,39,FALSE)</f>
        <v>271872.20156014676</v>
      </c>
      <c r="D45" s="147">
        <f t="shared" si="4"/>
        <v>83333.333333333328</v>
      </c>
      <c r="E45" s="149">
        <f>$D$9*VLOOKUP(A45,'Datos Mun'!$A$5:$AQ$55,39,FALSE)</f>
        <v>38370.778856281831</v>
      </c>
      <c r="F45" s="226">
        <f t="shared" si="5"/>
        <v>643576.31000000006</v>
      </c>
    </row>
    <row r="46" spans="1:6">
      <c r="A46" s="160" t="s">
        <v>22</v>
      </c>
      <c r="B46" s="231">
        <f t="shared" si="3"/>
        <v>250000</v>
      </c>
      <c r="C46" s="149">
        <f>$B$9*VLOOKUP(A46,'Datos Mun'!$A$5:$AQ$55,39,FALSE)</f>
        <v>34839.105565294871</v>
      </c>
      <c r="D46" s="147">
        <f t="shared" si="4"/>
        <v>83333.333333333328</v>
      </c>
      <c r="E46" s="149">
        <f>$D$9*VLOOKUP(A46,'Datos Mun'!$A$5:$AQ$55,39,FALSE)</f>
        <v>4917.0294260512828</v>
      </c>
      <c r="F46" s="226">
        <f t="shared" si="5"/>
        <v>373089.47</v>
      </c>
    </row>
    <row r="47" spans="1:6">
      <c r="A47" s="160" t="s">
        <v>23</v>
      </c>
      <c r="B47" s="231">
        <f t="shared" si="3"/>
        <v>250000</v>
      </c>
      <c r="C47" s="149">
        <f>$B$9*VLOOKUP(A47,'Datos Mun'!$A$5:$AQ$55,39,FALSE)</f>
        <v>121050.4763059637</v>
      </c>
      <c r="D47" s="147">
        <f t="shared" si="4"/>
        <v>83333.333333333328</v>
      </c>
      <c r="E47" s="149">
        <f>$D$9*VLOOKUP(A47,'Datos Mun'!$A$5:$AQ$55,39,FALSE)</f>
        <v>17084.501578791016</v>
      </c>
      <c r="F47" s="226">
        <f t="shared" si="5"/>
        <v>471468.31</v>
      </c>
    </row>
    <row r="48" spans="1:6">
      <c r="A48" s="160" t="s">
        <v>24</v>
      </c>
      <c r="B48" s="231">
        <f t="shared" si="3"/>
        <v>250000</v>
      </c>
      <c r="C48" s="149">
        <f>$B$9*VLOOKUP(A48,'Datos Mun'!$A$5:$AQ$55,39,FALSE)</f>
        <v>1968351.6561887753</v>
      </c>
      <c r="D48" s="147">
        <f t="shared" si="4"/>
        <v>83333.333333333328</v>
      </c>
      <c r="E48" s="149">
        <f>$D$9*VLOOKUP(A48,'Datos Mun'!$A$5:$AQ$55,39,FALSE)</f>
        <v>277804.003784133</v>
      </c>
      <c r="F48" s="226">
        <f t="shared" si="5"/>
        <v>2579488.9900000002</v>
      </c>
    </row>
    <row r="49" spans="1:6">
      <c r="A49" s="160" t="s">
        <v>26</v>
      </c>
      <c r="B49" s="231">
        <f t="shared" si="3"/>
        <v>250000</v>
      </c>
      <c r="C49" s="149">
        <f>$B$9*VLOOKUP(A49,'Datos Mun'!$A$5:$AQ$55,39,FALSE)</f>
        <v>37748.787501334431</v>
      </c>
      <c r="D49" s="147">
        <f t="shared" si="4"/>
        <v>83333.333333333328</v>
      </c>
      <c r="E49" s="149">
        <f>$D$9*VLOOKUP(A49,'Datos Mun'!$A$5:$AQ$55,39,FALSE)</f>
        <v>5327.6884101960522</v>
      </c>
      <c r="F49" s="226">
        <f t="shared" si="5"/>
        <v>376409.81</v>
      </c>
    </row>
    <row r="50" spans="1:6">
      <c r="A50" s="160" t="s">
        <v>27</v>
      </c>
      <c r="B50" s="231">
        <f t="shared" si="3"/>
        <v>250000</v>
      </c>
      <c r="C50" s="149">
        <f>$B$9*VLOOKUP(A50,'Datos Mun'!$A$5:$AQ$55,39,FALSE)</f>
        <v>309967.83856379054</v>
      </c>
      <c r="D50" s="147">
        <f t="shared" si="4"/>
        <v>83333.333333333328</v>
      </c>
      <c r="E50" s="149">
        <f>$D$9*VLOOKUP(A50,'Datos Mun'!$A$5:$AQ$55,39,FALSE)</f>
        <v>43747.419993064679</v>
      </c>
      <c r="F50" s="226">
        <f t="shared" si="5"/>
        <v>687048.59</v>
      </c>
    </row>
    <row r="51" spans="1:6">
      <c r="A51" s="160" t="s">
        <v>28</v>
      </c>
      <c r="B51" s="231">
        <f t="shared" si="3"/>
        <v>250000</v>
      </c>
      <c r="C51" s="149">
        <f>$B$9*VLOOKUP(A51,'Datos Mun'!$A$5:$AQ$55,39,FALSE)</f>
        <v>26707.41167782007</v>
      </c>
      <c r="D51" s="147">
        <f t="shared" si="4"/>
        <v>83333.333333333328</v>
      </c>
      <c r="E51" s="149">
        <f>$D$9*VLOOKUP(A51,'Datos Mun'!$A$5:$AQ$55,39,FALSE)</f>
        <v>3769.359947183118</v>
      </c>
      <c r="F51" s="226">
        <f t="shared" si="5"/>
        <v>363810.1</v>
      </c>
    </row>
    <row r="52" spans="1:6">
      <c r="A52" s="160" t="s">
        <v>29</v>
      </c>
      <c r="B52" s="231">
        <f t="shared" si="3"/>
        <v>250000</v>
      </c>
      <c r="C52" s="149">
        <f>$B$9*VLOOKUP(A52,'Datos Mun'!$A$5:$AQ$55,39,FALSE)</f>
        <v>135386.9224014169</v>
      </c>
      <c r="D52" s="147">
        <f t="shared" si="4"/>
        <v>83333.333333333328</v>
      </c>
      <c r="E52" s="149">
        <f>$D$9*VLOOKUP(A52,'Datos Mun'!$A$5:$AQ$55,39,FALSE)</f>
        <v>19107.880944378488</v>
      </c>
      <c r="F52" s="226">
        <f t="shared" si="5"/>
        <v>487828.14</v>
      </c>
    </row>
    <row r="53" spans="1:6">
      <c r="A53" s="160" t="s">
        <v>30</v>
      </c>
      <c r="B53" s="231">
        <f t="shared" si="3"/>
        <v>250000</v>
      </c>
      <c r="C53" s="149">
        <f>$B$9*VLOOKUP(A53,'Datos Mun'!$A$5:$AQ$55,39,FALSE)</f>
        <v>63550.536589791198</v>
      </c>
      <c r="D53" s="147">
        <f t="shared" si="4"/>
        <v>83333.333333333328</v>
      </c>
      <c r="E53" s="149">
        <f>$D$9*VLOOKUP(A53,'Datos Mun'!$A$5:$AQ$55,39,FALSE)</f>
        <v>8969.2273490692096</v>
      </c>
      <c r="F53" s="226">
        <f t="shared" si="5"/>
        <v>405853.1</v>
      </c>
    </row>
    <row r="54" spans="1:6">
      <c r="A54" s="160" t="s">
        <v>32</v>
      </c>
      <c r="B54" s="231">
        <f t="shared" si="3"/>
        <v>250000</v>
      </c>
      <c r="C54" s="149">
        <f>$B$9*VLOOKUP(A54,'Datos Mun'!$A$5:$AQ$55,39,FALSE)</f>
        <v>103110.64926985225</v>
      </c>
      <c r="D54" s="147">
        <f t="shared" si="4"/>
        <v>83333.333333333328</v>
      </c>
      <c r="E54" s="149">
        <f>$D$9*VLOOKUP(A54,'Datos Mun'!$A$5:$AQ$55,39,FALSE)</f>
        <v>14552.557775885185</v>
      </c>
      <c r="F54" s="226">
        <f t="shared" si="5"/>
        <v>450996.54</v>
      </c>
    </row>
    <row r="55" spans="1:6">
      <c r="A55" s="160" t="s">
        <v>33</v>
      </c>
      <c r="B55" s="231">
        <f t="shared" si="3"/>
        <v>250000</v>
      </c>
      <c r="C55" s="149">
        <f>$B$9*VLOOKUP(A55,'Datos Mun'!$A$5:$AQ$55,39,FALSE)</f>
        <v>1631464.44236242</v>
      </c>
      <c r="D55" s="147">
        <f t="shared" si="4"/>
        <v>83333.333333333328</v>
      </c>
      <c r="E55" s="149">
        <f>$D$9*VLOOKUP(A55,'Datos Mun'!$A$5:$AQ$55,39,FALSE)</f>
        <v>230257.30828874884</v>
      </c>
      <c r="F55" s="226">
        <f t="shared" si="5"/>
        <v>2195055.08</v>
      </c>
    </row>
    <row r="56" spans="1:6">
      <c r="A56" s="160" t="s">
        <v>34</v>
      </c>
      <c r="B56" s="231">
        <f t="shared" si="3"/>
        <v>250000</v>
      </c>
      <c r="C56" s="149">
        <f>$B$9*VLOOKUP(A56,'Datos Mun'!$A$5:$AQ$55,39,FALSE)</f>
        <v>98640.144573420592</v>
      </c>
      <c r="D56" s="147">
        <f t="shared" si="4"/>
        <v>83333.333333333328</v>
      </c>
      <c r="E56" s="149">
        <f>$D$9*VLOOKUP(A56,'Datos Mun'!$A$5:$AQ$55,39,FALSE)</f>
        <v>13921.611522099842</v>
      </c>
      <c r="F56" s="226">
        <f t="shared" si="5"/>
        <v>445895.09</v>
      </c>
    </row>
    <row r="57" spans="1:6">
      <c r="A57" s="160" t="s">
        <v>35</v>
      </c>
      <c r="B57" s="231">
        <f t="shared" si="3"/>
        <v>250000</v>
      </c>
      <c r="C57" s="149">
        <f>$B$9*VLOOKUP(A57,'Datos Mun'!$A$5:$AQ$55,39,FALSE)</f>
        <v>28576.545106931579</v>
      </c>
      <c r="D57" s="147">
        <f t="shared" si="4"/>
        <v>83333.333333333328</v>
      </c>
      <c r="E57" s="149">
        <f>$D$9*VLOOKUP(A57,'Datos Mun'!$A$5:$AQ$55,39,FALSE)</f>
        <v>4033.1607515675068</v>
      </c>
      <c r="F57" s="226">
        <f t="shared" si="5"/>
        <v>365943.03999999998</v>
      </c>
    </row>
    <row r="58" spans="1:6">
      <c r="A58" s="160" t="s">
        <v>36</v>
      </c>
      <c r="B58" s="231">
        <f t="shared" si="3"/>
        <v>250000</v>
      </c>
      <c r="C58" s="149">
        <f>$B$9*VLOOKUP(A58,'Datos Mun'!$A$5:$AQ$55,39,FALSE)</f>
        <v>147449.57731506435</v>
      </c>
      <c r="D58" s="147">
        <f t="shared" si="4"/>
        <v>83333.333333333328</v>
      </c>
      <c r="E58" s="149">
        <f>$D$9*VLOOKUP(A58,'Datos Mun'!$A$5:$AQ$55,39,FALSE)</f>
        <v>20810.347991230319</v>
      </c>
      <c r="F58" s="226">
        <f t="shared" si="5"/>
        <v>501593.26</v>
      </c>
    </row>
    <row r="59" spans="1:6">
      <c r="A59" s="160" t="s">
        <v>37</v>
      </c>
      <c r="B59" s="231">
        <f t="shared" si="3"/>
        <v>250000</v>
      </c>
      <c r="C59" s="149">
        <f>$B$9*VLOOKUP(A59,'Datos Mun'!$A$5:$AQ$55,39,FALSE)</f>
        <v>116541.43277594213</v>
      </c>
      <c r="D59" s="147">
        <f t="shared" si="4"/>
        <v>83333.333333333328</v>
      </c>
      <c r="E59" s="149">
        <f>$D$9*VLOOKUP(A59,'Datos Mun'!$A$5:$AQ$55,39,FALSE)</f>
        <v>16448.116133162697</v>
      </c>
      <c r="F59" s="226">
        <f t="shared" si="5"/>
        <v>466322.88</v>
      </c>
    </row>
    <row r="60" spans="1:6">
      <c r="A60" s="160" t="s">
        <v>38</v>
      </c>
      <c r="B60" s="231">
        <f t="shared" si="3"/>
        <v>250000</v>
      </c>
      <c r="C60" s="149">
        <f>$B$9*VLOOKUP(A60,'Datos Mun'!$A$5:$AQ$55,39,FALSE)</f>
        <v>1299298.2356508311</v>
      </c>
      <c r="D60" s="147">
        <f t="shared" si="4"/>
        <v>83333.333333333328</v>
      </c>
      <c r="E60" s="149">
        <f>$D$9*VLOOKUP(A60,'Datos Mun'!$A$5:$AQ$55,39,FALSE)</f>
        <v>183376.91379412936</v>
      </c>
      <c r="F60" s="226">
        <f t="shared" si="5"/>
        <v>1816008.48</v>
      </c>
    </row>
    <row r="61" spans="1:6">
      <c r="A61" s="160" t="s">
        <v>40</v>
      </c>
      <c r="B61" s="231">
        <f t="shared" si="3"/>
        <v>250000</v>
      </c>
      <c r="C61" s="149">
        <f>$B$9*VLOOKUP(A61,'Datos Mun'!$A$5:$AQ$55,39,FALSE)</f>
        <v>17458.091616237365</v>
      </c>
      <c r="D61" s="147">
        <f t="shared" si="4"/>
        <v>83333.333333333328</v>
      </c>
      <c r="E61" s="149">
        <f>$D$9*VLOOKUP(A61,'Datos Mun'!$A$5:$AQ$55,39,FALSE)</f>
        <v>2463.9539048686188</v>
      </c>
      <c r="F61" s="226">
        <f t="shared" si="5"/>
        <v>353255.38</v>
      </c>
    </row>
    <row r="62" spans="1:6">
      <c r="A62" s="160" t="s">
        <v>41</v>
      </c>
      <c r="B62" s="231">
        <f t="shared" si="3"/>
        <v>250000</v>
      </c>
      <c r="C62" s="149">
        <f>$B$9*VLOOKUP(A62,'Datos Mun'!$A$5:$AQ$55,39,FALSE)</f>
        <v>2844628.3849397623</v>
      </c>
      <c r="D62" s="147">
        <f t="shared" si="4"/>
        <v>83333.333333333328</v>
      </c>
      <c r="E62" s="149">
        <f>$D$9*VLOOKUP(A62,'Datos Mun'!$A$5:$AQ$55,39,FALSE)</f>
        <v>401477.62831382448</v>
      </c>
      <c r="F62" s="226">
        <f t="shared" si="5"/>
        <v>3579439.35</v>
      </c>
    </row>
    <row r="63" spans="1:6">
      <c r="A63" s="160" t="s">
        <v>42</v>
      </c>
      <c r="B63" s="231">
        <f t="shared" si="3"/>
        <v>250000</v>
      </c>
      <c r="C63" s="149">
        <f>$B$9*VLOOKUP(A63,'Datos Mun'!$A$5:$AQ$55,39,FALSE)</f>
        <v>103842.88710806088</v>
      </c>
      <c r="D63" s="147">
        <f t="shared" si="4"/>
        <v>83333.333333333328</v>
      </c>
      <c r="E63" s="149">
        <f>$D$9*VLOOKUP(A63,'Datos Mun'!$A$5:$AQ$55,39,FALSE)</f>
        <v>14655.90242090175</v>
      </c>
      <c r="F63" s="226">
        <f t="shared" si="5"/>
        <v>451832.12</v>
      </c>
    </row>
    <row r="64" spans="1:6">
      <c r="A64" s="160" t="s">
        <v>43</v>
      </c>
      <c r="B64" s="231">
        <f t="shared" si="3"/>
        <v>250000</v>
      </c>
      <c r="C64" s="149">
        <f>$B$9*VLOOKUP(A64,'Datos Mun'!$A$5:$AQ$55,39,FALSE)</f>
        <v>45803.403721629373</v>
      </c>
      <c r="D64" s="147">
        <f t="shared" si="4"/>
        <v>83333.333333333328</v>
      </c>
      <c r="E64" s="149">
        <f>$D$9*VLOOKUP(A64,'Datos Mun'!$A$5:$AQ$55,39,FALSE)</f>
        <v>6464.4795053782618</v>
      </c>
      <c r="F64" s="226">
        <f t="shared" si="5"/>
        <v>385601.22</v>
      </c>
    </row>
    <row r="65" spans="1:6">
      <c r="A65" s="160" t="s">
        <v>44</v>
      </c>
      <c r="B65" s="231">
        <f t="shared" si="3"/>
        <v>250000</v>
      </c>
      <c r="C65" s="149">
        <f>$B$9*VLOOKUP(A65,'Datos Mun'!$A$5:$AQ$55,39,FALSE)</f>
        <v>668822.1875364047</v>
      </c>
      <c r="D65" s="147">
        <f t="shared" si="4"/>
        <v>83333.333333333328</v>
      </c>
      <c r="E65" s="149">
        <f>$D$9*VLOOKUP(A65,'Datos Mun'!$A$5:$AQ$55,39,FALSE)</f>
        <v>94394.454838945778</v>
      </c>
      <c r="F65" s="226">
        <f t="shared" si="5"/>
        <v>1096549.98</v>
      </c>
    </row>
    <row r="66" spans="1:6">
      <c r="A66" s="160" t="s">
        <v>50</v>
      </c>
      <c r="B66" s="231">
        <f t="shared" si="3"/>
        <v>250000</v>
      </c>
      <c r="C66" s="149">
        <f>$B$9*VLOOKUP(A66,'Datos Mun'!$A$5:$AQ$55,39,FALSE)</f>
        <v>29906.13486578409</v>
      </c>
      <c r="D66" s="147">
        <f t="shared" si="4"/>
        <v>83333.333333333328</v>
      </c>
      <c r="E66" s="149">
        <f>$D$9*VLOOKUP(A66,'Datos Mun'!$A$5:$AQ$55,39,FALSE)</f>
        <v>4220.8128701502155</v>
      </c>
      <c r="F66" s="226">
        <f t="shared" si="5"/>
        <v>367460.28</v>
      </c>
    </row>
    <row r="67" spans="1:6">
      <c r="A67" s="160" t="s">
        <v>51</v>
      </c>
      <c r="B67" s="231">
        <f t="shared" si="3"/>
        <v>250000</v>
      </c>
      <c r="C67" s="149">
        <f>$B$9*VLOOKUP(A67,'Datos Mun'!$A$5:$AQ$55,39,FALSE)</f>
        <v>68849.626208406291</v>
      </c>
      <c r="D67" s="147">
        <f t="shared" si="4"/>
        <v>83333.333333333328</v>
      </c>
      <c r="E67" s="149">
        <f>$D$9*VLOOKUP(A67,'Datos Mun'!$A$5:$AQ$55,39,FALSE)</f>
        <v>9717.1162274785584</v>
      </c>
      <c r="F67" s="226">
        <f t="shared" si="5"/>
        <v>411900.08</v>
      </c>
    </row>
    <row r="68" spans="1:6" s="164" customFormat="1">
      <c r="A68" s="161" t="s">
        <v>144</v>
      </c>
      <c r="B68" s="232">
        <f>SUM(B29:B67)</f>
        <v>9750000</v>
      </c>
      <c r="C68" s="163">
        <f>SUM(C29:C67)</f>
        <v>17059657.885167893</v>
      </c>
      <c r="D68" s="162">
        <f>SUM(D29:D67)</f>
        <v>3250000.0000000014</v>
      </c>
      <c r="E68" s="163">
        <f>SUM(E29:E67)</f>
        <v>2407720.8200000003</v>
      </c>
      <c r="F68" s="229">
        <f>SUM(F29:F67)</f>
        <v>32467378.687152069</v>
      </c>
    </row>
    <row r="69" spans="1:6" ht="13.8" thickBot="1">
      <c r="A69" s="165" t="s">
        <v>52</v>
      </c>
      <c r="B69" s="233">
        <f>B68+B26</f>
        <v>12750000</v>
      </c>
      <c r="C69" s="152">
        <f>C68+C26</f>
        <v>42649144.712919727</v>
      </c>
      <c r="D69" s="151">
        <f>D68+D26</f>
        <v>4250000.0000000019</v>
      </c>
      <c r="E69" s="152">
        <f>E68+E26</f>
        <v>6019302.0499999989</v>
      </c>
      <c r="F69" s="227">
        <f>F68+F26</f>
        <v>65668446.7449039</v>
      </c>
    </row>
    <row r="70" spans="1:6">
      <c r="C70" s="166"/>
      <c r="D70" s="166"/>
      <c r="E70" s="166"/>
    </row>
    <row r="71" spans="1:6">
      <c r="C71" s="166"/>
      <c r="D71" s="166"/>
      <c r="E71" s="166"/>
    </row>
    <row r="72" spans="1:6">
      <c r="C72" s="166"/>
      <c r="D72" s="166"/>
      <c r="E72" s="166"/>
    </row>
    <row r="73" spans="1:6">
      <c r="C73" s="166"/>
      <c r="D73" s="166"/>
      <c r="E73" s="166"/>
    </row>
    <row r="74" spans="1:6">
      <c r="C74" s="166"/>
      <c r="D74" s="166"/>
      <c r="E74" s="166"/>
    </row>
    <row r="75" spans="1:6">
      <c r="C75" s="166"/>
      <c r="D75" s="166"/>
      <c r="E75" s="166"/>
    </row>
    <row r="76" spans="1:6">
      <c r="C76" s="166"/>
      <c r="D76" s="166"/>
      <c r="E76" s="166"/>
    </row>
    <row r="77" spans="1:6">
      <c r="C77" s="166"/>
      <c r="D77" s="166"/>
      <c r="E77" s="166"/>
    </row>
    <row r="78" spans="1:6">
      <c r="C78" s="166"/>
      <c r="D78" s="166"/>
      <c r="E78" s="166"/>
    </row>
    <row r="79" spans="1:6">
      <c r="C79" s="166"/>
      <c r="D79" s="166"/>
      <c r="E79" s="166"/>
    </row>
    <row r="80" spans="1:6">
      <c r="C80" s="166"/>
      <c r="D80" s="166"/>
      <c r="E80" s="166"/>
    </row>
    <row r="81" spans="3:5">
      <c r="C81" s="166"/>
      <c r="D81" s="166"/>
      <c r="E81" s="166"/>
    </row>
    <row r="82" spans="3:5">
      <c r="C82" s="166"/>
      <c r="D82" s="166"/>
      <c r="E82" s="166"/>
    </row>
    <row r="83" spans="3:5">
      <c r="C83" s="166"/>
      <c r="D83" s="166"/>
      <c r="E83" s="166"/>
    </row>
    <row r="84" spans="3:5">
      <c r="C84" s="166"/>
      <c r="D84" s="166"/>
      <c r="E84" s="166"/>
    </row>
    <row r="85" spans="3:5">
      <c r="C85" s="166"/>
      <c r="D85" s="166"/>
      <c r="E85" s="166"/>
    </row>
    <row r="86" spans="3:5">
      <c r="C86" s="166"/>
      <c r="D86" s="166"/>
      <c r="E86" s="166"/>
    </row>
    <row r="87" spans="3:5">
      <c r="C87" s="166"/>
      <c r="D87" s="166"/>
      <c r="E87" s="166"/>
    </row>
    <row r="88" spans="3:5">
      <c r="C88" s="166"/>
      <c r="D88" s="166"/>
      <c r="E88" s="166"/>
    </row>
    <row r="89" spans="3:5">
      <c r="C89" s="166"/>
      <c r="D89" s="166"/>
      <c r="E89" s="166"/>
    </row>
    <row r="90" spans="3:5">
      <c r="C90" s="166"/>
      <c r="D90" s="166"/>
      <c r="E90" s="166"/>
    </row>
    <row r="91" spans="3:5">
      <c r="C91" s="166"/>
      <c r="D91" s="166"/>
      <c r="E91" s="166"/>
    </row>
    <row r="92" spans="3:5">
      <c r="C92" s="166"/>
      <c r="D92" s="166"/>
      <c r="E92" s="166"/>
    </row>
    <row r="93" spans="3:5">
      <c r="C93" s="166"/>
      <c r="D93" s="166"/>
      <c r="E93" s="166"/>
    </row>
    <row r="94" spans="3:5">
      <c r="C94" s="166"/>
      <c r="D94" s="166"/>
      <c r="E94" s="166"/>
    </row>
    <row r="95" spans="3:5">
      <c r="C95" s="166"/>
      <c r="D95" s="166"/>
      <c r="E95" s="166"/>
    </row>
    <row r="96" spans="3:5">
      <c r="C96" s="166"/>
      <c r="D96" s="166"/>
      <c r="E96" s="166"/>
    </row>
  </sheetData>
  <mergeCells count="16"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  <mergeCell ref="A1:F1"/>
    <mergeCell ref="A2:F2"/>
    <mergeCell ref="B3:C3"/>
    <mergeCell ref="D3:E3"/>
    <mergeCell ref="B4:C4"/>
    <mergeCell ref="D4:E4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zoomScaleNormal="100" zoomScaleSheetLayoutView="100" workbookViewId="0">
      <selection activeCell="C38" sqref="C38"/>
    </sheetView>
  </sheetViews>
  <sheetFormatPr baseColWidth="10" defaultColWidth="11.44140625" defaultRowHeight="13.2"/>
  <cols>
    <col min="1" max="1" width="50.5546875" style="70" customWidth="1"/>
    <col min="2" max="2" width="15.6640625" style="70" customWidth="1"/>
    <col min="3" max="3" width="20.44140625" style="70" customWidth="1"/>
    <col min="4" max="4" width="25.6640625" style="70" bestFit="1" customWidth="1"/>
    <col min="5" max="5" width="18.44140625" style="70" customWidth="1"/>
    <col min="6" max="6" width="15.44140625" style="70" customWidth="1"/>
    <col min="7" max="16384" width="11.44140625" style="70"/>
  </cols>
  <sheetData>
    <row r="1" spans="1:6" ht="27.75" customHeight="1">
      <c r="A1" s="330" t="s">
        <v>198</v>
      </c>
      <c r="B1" s="330"/>
      <c r="C1" s="330"/>
      <c r="D1" s="330"/>
    </row>
    <row r="2" spans="1:6" ht="26.4">
      <c r="A2" s="102" t="s">
        <v>119</v>
      </c>
      <c r="B2" s="102" t="s">
        <v>101</v>
      </c>
      <c r="C2" s="102" t="s">
        <v>102</v>
      </c>
      <c r="D2" s="102" t="s">
        <v>103</v>
      </c>
      <c r="E2" s="102" t="s">
        <v>122</v>
      </c>
    </row>
    <row r="3" spans="1:6" ht="25.5" customHeight="1">
      <c r="A3" s="103" t="s">
        <v>55</v>
      </c>
      <c r="B3" s="104">
        <v>31371181941</v>
      </c>
      <c r="C3" s="105">
        <v>0.2</v>
      </c>
      <c r="D3" s="113">
        <f>B3*C3</f>
        <v>6274236388.2000008</v>
      </c>
      <c r="E3" s="113">
        <f>B3-D3</f>
        <v>25096945552.799999</v>
      </c>
    </row>
    <row r="4" spans="1:6" ht="25.5" customHeight="1">
      <c r="A4" s="103" t="s">
        <v>60</v>
      </c>
      <c r="B4" s="104">
        <v>860878107</v>
      </c>
      <c r="C4" s="105">
        <v>1</v>
      </c>
      <c r="D4" s="113">
        <f t="shared" ref="D4:D11" si="0">B4*C4</f>
        <v>860878107</v>
      </c>
      <c r="E4" s="113">
        <f t="shared" ref="E4:E11" si="1">B4-D4</f>
        <v>0</v>
      </c>
    </row>
    <row r="5" spans="1:6" ht="25.5" customHeight="1">
      <c r="A5" s="103" t="s">
        <v>61</v>
      </c>
      <c r="B5" s="104">
        <v>239760494</v>
      </c>
      <c r="C5" s="105">
        <v>1</v>
      </c>
      <c r="D5" s="113">
        <f t="shared" si="0"/>
        <v>239760494</v>
      </c>
      <c r="E5" s="113">
        <f t="shared" si="1"/>
        <v>0</v>
      </c>
      <c r="F5" s="71"/>
    </row>
    <row r="6" spans="1:6" ht="25.5" customHeight="1">
      <c r="A6" s="103" t="s">
        <v>56</v>
      </c>
      <c r="B6" s="104">
        <v>956851964</v>
      </c>
      <c r="C6" s="105">
        <v>0.2</v>
      </c>
      <c r="D6" s="113">
        <f t="shared" si="0"/>
        <v>191370392.80000001</v>
      </c>
      <c r="E6" s="113">
        <f t="shared" si="1"/>
        <v>765481571.20000005</v>
      </c>
    </row>
    <row r="7" spans="1:6" ht="25.5" customHeight="1">
      <c r="A7" s="103" t="s">
        <v>57</v>
      </c>
      <c r="B7" s="104">
        <v>1644622218</v>
      </c>
      <c r="C7" s="105">
        <v>0.2</v>
      </c>
      <c r="D7" s="113">
        <f t="shared" si="0"/>
        <v>328924443.60000002</v>
      </c>
      <c r="E7" s="113">
        <f t="shared" si="1"/>
        <v>1315697774.4000001</v>
      </c>
    </row>
    <row r="8" spans="1:6" ht="25.5" customHeight="1">
      <c r="A8" s="103" t="s">
        <v>58</v>
      </c>
      <c r="B8" s="104">
        <v>575351020</v>
      </c>
      <c r="C8" s="105">
        <v>0.2</v>
      </c>
      <c r="D8" s="113">
        <f t="shared" si="0"/>
        <v>115070204</v>
      </c>
      <c r="E8" s="113">
        <f t="shared" si="1"/>
        <v>460280816</v>
      </c>
    </row>
    <row r="9" spans="1:6" ht="25.5" customHeight="1">
      <c r="A9" s="103" t="s">
        <v>120</v>
      </c>
      <c r="B9" s="104">
        <v>196144488</v>
      </c>
      <c r="C9" s="105">
        <v>0.2</v>
      </c>
      <c r="D9" s="113">
        <f t="shared" si="0"/>
        <v>39228897.600000001</v>
      </c>
      <c r="E9" s="113">
        <f t="shared" si="1"/>
        <v>156915590.40000001</v>
      </c>
    </row>
    <row r="10" spans="1:6" ht="25.5" customHeight="1">
      <c r="A10" s="103" t="s">
        <v>59</v>
      </c>
      <c r="B10" s="104">
        <v>1141931620</v>
      </c>
      <c r="C10" s="105">
        <v>0.2</v>
      </c>
      <c r="D10" s="113">
        <f t="shared" si="0"/>
        <v>228386324</v>
      </c>
      <c r="E10" s="113">
        <f t="shared" si="1"/>
        <v>913545296</v>
      </c>
    </row>
    <row r="11" spans="1:6" ht="25.5" customHeight="1">
      <c r="A11" s="103" t="s">
        <v>186</v>
      </c>
      <c r="B11" s="104">
        <v>0</v>
      </c>
      <c r="C11" s="105">
        <v>0.2</v>
      </c>
      <c r="D11" s="113">
        <f t="shared" si="0"/>
        <v>0</v>
      </c>
      <c r="E11" s="113">
        <f t="shared" si="1"/>
        <v>0</v>
      </c>
    </row>
    <row r="12" spans="1:6" ht="25.5" customHeight="1">
      <c r="A12" s="106" t="s">
        <v>53</v>
      </c>
      <c r="B12" s="107">
        <f>SUM(B3:B11)</f>
        <v>36986721852</v>
      </c>
      <c r="C12" s="106"/>
      <c r="D12" s="107">
        <f>SUM(D3:D11)</f>
        <v>8277855251.2000017</v>
      </c>
      <c r="E12" s="107">
        <f>SUM(E3:E11)</f>
        <v>28708866600.800003</v>
      </c>
    </row>
    <row r="13" spans="1:6">
      <c r="A13" s="108"/>
      <c r="B13" s="108"/>
      <c r="C13" s="109"/>
      <c r="D13" s="110"/>
    </row>
    <row r="14" spans="1:6">
      <c r="A14" s="111" t="s">
        <v>121</v>
      </c>
      <c r="B14" s="111"/>
    </row>
    <row r="15" spans="1:6" ht="13.8" thickBot="1">
      <c r="B15" s="112"/>
    </row>
    <row r="16" spans="1:6" ht="40.200000000000003" thickTop="1">
      <c r="A16" s="117" t="s">
        <v>129</v>
      </c>
      <c r="B16" s="118" t="s">
        <v>123</v>
      </c>
      <c r="C16" s="118" t="s">
        <v>124</v>
      </c>
      <c r="D16" s="119" t="s">
        <v>185</v>
      </c>
    </row>
    <row r="17" spans="1:4" ht="17.25" customHeight="1">
      <c r="A17" s="120" t="s">
        <v>127</v>
      </c>
      <c r="B17" s="114">
        <f>E12</f>
        <v>28708866600.800003</v>
      </c>
      <c r="C17" s="114">
        <f>270.591036765433*1000000</f>
        <v>270591036.76543301</v>
      </c>
      <c r="D17" s="121">
        <v>0</v>
      </c>
    </row>
    <row r="18" spans="1:4" ht="17.25" customHeight="1">
      <c r="A18" s="120" t="s">
        <v>102</v>
      </c>
      <c r="B18" s="115">
        <v>1.84E-2</v>
      </c>
      <c r="C18" s="115">
        <v>0.35</v>
      </c>
      <c r="D18" s="122">
        <v>1</v>
      </c>
    </row>
    <row r="19" spans="1:4" ht="17.25" customHeight="1">
      <c r="A19" s="120" t="s">
        <v>101</v>
      </c>
      <c r="B19" s="116">
        <f>B17*B18</f>
        <v>528243145.45472002</v>
      </c>
      <c r="C19" s="116">
        <f>C17*C18</f>
        <v>94706862.867901549</v>
      </c>
      <c r="D19" s="285">
        <v>527769007</v>
      </c>
    </row>
    <row r="20" spans="1:4" ht="17.25" customHeight="1">
      <c r="A20" s="124"/>
      <c r="B20" s="125"/>
      <c r="C20" s="125"/>
      <c r="D20" s="126"/>
    </row>
    <row r="21" spans="1:4" ht="24.75" customHeight="1">
      <c r="A21" s="300" t="s">
        <v>126</v>
      </c>
      <c r="B21" s="303" t="s">
        <v>125</v>
      </c>
      <c r="C21" s="304"/>
      <c r="D21" s="305"/>
    </row>
    <row r="22" spans="1:4">
      <c r="A22" s="301"/>
      <c r="B22" s="306" t="str">
        <f>IF(B19&gt;D19,"1.84% Particpaciones del Estado","Ley de Egresos 2020")</f>
        <v>1.84% Particpaciones del Estado</v>
      </c>
      <c r="C22" s="306"/>
      <c r="D22" s="307"/>
    </row>
    <row r="23" spans="1:4">
      <c r="A23" s="302"/>
      <c r="B23" s="125"/>
      <c r="C23" s="125"/>
      <c r="D23" s="126"/>
    </row>
    <row r="24" spans="1:4" ht="13.8" thickBot="1">
      <c r="A24" s="127" t="s">
        <v>128</v>
      </c>
      <c r="B24" s="298">
        <f>IF(B22="Ley de Egresos 2020",D19+C19,B19+C19)</f>
        <v>622950008.32262158</v>
      </c>
      <c r="C24" s="308"/>
      <c r="D24" s="299"/>
    </row>
    <row r="25" spans="1:4" ht="13.8" thickTop="1"/>
    <row r="26" spans="1:4" ht="13.8" thickBot="1"/>
    <row r="27" spans="1:4" ht="27" thickTop="1">
      <c r="A27" s="117" t="s">
        <v>177</v>
      </c>
      <c r="B27" s="119" t="s">
        <v>123</v>
      </c>
    </row>
    <row r="28" spans="1:4">
      <c r="A28" s="120" t="s">
        <v>166</v>
      </c>
      <c r="B28" s="121">
        <f>E12</f>
        <v>28708866600.800003</v>
      </c>
    </row>
    <row r="29" spans="1:4">
      <c r="A29" s="120" t="s">
        <v>102</v>
      </c>
      <c r="B29" s="122">
        <v>1.5299999999999999E-2</v>
      </c>
    </row>
    <row r="30" spans="1:4" ht="13.8" thickBot="1">
      <c r="A30" s="127" t="s">
        <v>101</v>
      </c>
      <c r="B30" s="204">
        <f>B28*B29</f>
        <v>439245658.99224001</v>
      </c>
    </row>
    <row r="31" spans="1:4" ht="14.4" thickTop="1" thickBot="1"/>
    <row r="32" spans="1:4" ht="27.75" customHeight="1" thickTop="1">
      <c r="A32" s="117" t="s">
        <v>163</v>
      </c>
      <c r="B32" s="119" t="s">
        <v>123</v>
      </c>
    </row>
    <row r="33" spans="1:5">
      <c r="A33" s="120" t="s">
        <v>127</v>
      </c>
      <c r="B33" s="121">
        <f>$E$12</f>
        <v>28708866600.800003</v>
      </c>
    </row>
    <row r="34" spans="1:5">
      <c r="A34" s="120" t="s">
        <v>102</v>
      </c>
      <c r="B34" s="122">
        <v>5.4000000000000003E-3</v>
      </c>
    </row>
    <row r="35" spans="1:5" ht="13.8" thickBot="1">
      <c r="A35" s="127" t="s">
        <v>101</v>
      </c>
      <c r="B35" s="204">
        <f>B33*B34</f>
        <v>155027879.64432001</v>
      </c>
    </row>
    <row r="36" spans="1:5" ht="14.4" thickTop="1" thickBot="1"/>
    <row r="37" spans="1:5" ht="27" thickTop="1">
      <c r="A37" s="117" t="s">
        <v>165</v>
      </c>
      <c r="B37" s="118" t="s">
        <v>123</v>
      </c>
      <c r="C37" s="119" t="s">
        <v>185</v>
      </c>
    </row>
    <row r="38" spans="1:5">
      <c r="A38" s="120" t="s">
        <v>127</v>
      </c>
      <c r="B38" s="114">
        <f>$E$12</f>
        <v>28708866600.800003</v>
      </c>
      <c r="C38" s="121">
        <v>367143657</v>
      </c>
    </row>
    <row r="39" spans="1:5">
      <c r="A39" s="120" t="s">
        <v>102</v>
      </c>
      <c r="B39" s="115">
        <v>1.2800000000000001E-2</v>
      </c>
      <c r="C39" s="122">
        <v>1</v>
      </c>
    </row>
    <row r="40" spans="1:5">
      <c r="A40" s="120" t="s">
        <v>101</v>
      </c>
      <c r="B40" s="116">
        <f>B38*B39</f>
        <v>367473492.49024004</v>
      </c>
      <c r="C40" s="123">
        <f>C38*C39</f>
        <v>367143657</v>
      </c>
    </row>
    <row r="41" spans="1:5">
      <c r="A41" s="124"/>
      <c r="B41" s="125"/>
      <c r="C41" s="126"/>
      <c r="D41" s="288">
        <f>B40/12</f>
        <v>30622791.040853336</v>
      </c>
      <c r="E41" s="288">
        <f>C40/12</f>
        <v>30595304.75</v>
      </c>
    </row>
    <row r="42" spans="1:5" ht="24" customHeight="1">
      <c r="A42" s="300" t="s">
        <v>126</v>
      </c>
      <c r="B42" s="303" t="s">
        <v>167</v>
      </c>
      <c r="C42" s="309"/>
    </row>
    <row r="43" spans="1:5">
      <c r="A43" s="301"/>
      <c r="B43" s="310" t="str">
        <f>IF(B40&gt;C40,"1.28% Particpaciones del Estado","Ley de Egresos 2021")</f>
        <v>1.28% Particpaciones del Estado</v>
      </c>
      <c r="C43" s="311"/>
    </row>
    <row r="44" spans="1:5">
      <c r="A44" s="302"/>
      <c r="B44" s="312"/>
      <c r="C44" s="313"/>
    </row>
    <row r="45" spans="1:5" ht="13.8" thickBot="1">
      <c r="A45" s="127" t="s">
        <v>178</v>
      </c>
      <c r="B45" s="298">
        <f>C40</f>
        <v>367143657</v>
      </c>
      <c r="C45" s="299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Normal="10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297" t="s">
        <v>99</v>
      </c>
      <c r="B1" s="297"/>
      <c r="C1" s="297"/>
      <c r="D1" s="297"/>
      <c r="E1" s="297"/>
      <c r="F1" s="297"/>
      <c r="I1" s="297" t="s">
        <v>99</v>
      </c>
      <c r="J1" s="297"/>
      <c r="K1" s="297"/>
      <c r="L1" s="297"/>
      <c r="M1" s="297"/>
      <c r="N1" s="297"/>
      <c r="P1" s="297" t="s">
        <v>99</v>
      </c>
      <c r="Q1" s="297"/>
      <c r="R1" s="297"/>
      <c r="S1" s="297"/>
      <c r="T1" s="297"/>
      <c r="U1" s="297"/>
      <c r="W1" s="297" t="s">
        <v>99</v>
      </c>
      <c r="X1" s="297"/>
      <c r="Y1" s="297"/>
      <c r="Z1" s="297"/>
      <c r="AA1" s="297"/>
      <c r="AB1" s="297"/>
    </row>
    <row r="2" spans="1:28">
      <c r="A2" s="297" t="s">
        <v>100</v>
      </c>
      <c r="B2" s="297"/>
      <c r="C2" s="297"/>
      <c r="D2" s="297"/>
      <c r="E2" s="297"/>
      <c r="F2" s="297"/>
      <c r="I2" s="297" t="s">
        <v>100</v>
      </c>
      <c r="J2" s="297"/>
      <c r="K2" s="297"/>
      <c r="L2" s="297"/>
      <c r="M2" s="297"/>
      <c r="N2" s="297"/>
      <c r="P2" s="297" t="s">
        <v>100</v>
      </c>
      <c r="Q2" s="297"/>
      <c r="R2" s="297"/>
      <c r="S2" s="297"/>
      <c r="T2" s="297"/>
      <c r="U2" s="297"/>
      <c r="W2" s="297" t="s">
        <v>100</v>
      </c>
      <c r="X2" s="297"/>
      <c r="Y2" s="297"/>
      <c r="Z2" s="297"/>
      <c r="AA2" s="297"/>
      <c r="AB2" s="297"/>
    </row>
    <row r="3" spans="1:28">
      <c r="A3" s="297" t="s">
        <v>180</v>
      </c>
      <c r="B3" s="297"/>
      <c r="C3" s="297"/>
      <c r="D3" s="297"/>
      <c r="E3" s="297"/>
      <c r="F3" s="297"/>
      <c r="I3" s="297" t="s">
        <v>180</v>
      </c>
      <c r="J3" s="297"/>
      <c r="K3" s="297"/>
      <c r="L3" s="297"/>
      <c r="M3" s="297"/>
      <c r="N3" s="297"/>
      <c r="P3" s="297" t="s">
        <v>180</v>
      </c>
      <c r="Q3" s="297"/>
      <c r="R3" s="297"/>
      <c r="S3" s="297"/>
      <c r="T3" s="297"/>
      <c r="U3" s="297"/>
      <c r="W3" s="297" t="s">
        <v>180</v>
      </c>
      <c r="X3" s="297"/>
      <c r="Y3" s="297"/>
      <c r="Z3" s="297"/>
      <c r="AA3" s="297"/>
      <c r="AB3" s="297"/>
    </row>
    <row r="4" spans="1:28" ht="13.8" thickBot="1">
      <c r="A4" s="297" t="s">
        <v>191</v>
      </c>
      <c r="B4" s="297"/>
      <c r="C4" s="297"/>
      <c r="D4" s="297"/>
      <c r="E4" s="297"/>
      <c r="F4" s="297"/>
      <c r="I4" s="297" t="s">
        <v>191</v>
      </c>
      <c r="J4" s="297"/>
      <c r="K4" s="297"/>
      <c r="L4" s="297"/>
      <c r="M4" s="297"/>
      <c r="N4" s="297"/>
      <c r="P4" s="297" t="s">
        <v>191</v>
      </c>
      <c r="Q4" s="297"/>
      <c r="R4" s="297"/>
      <c r="S4" s="297"/>
      <c r="T4" s="297"/>
      <c r="U4" s="297"/>
      <c r="W4" s="297" t="s">
        <v>191</v>
      </c>
      <c r="X4" s="297"/>
      <c r="Y4" s="297"/>
      <c r="Z4" s="297"/>
      <c r="AA4" s="297"/>
      <c r="AB4" s="297"/>
    </row>
    <row r="5" spans="1:28" ht="40.799999999999997" thickTop="1" thickBot="1">
      <c r="A5" s="67" t="s">
        <v>0</v>
      </c>
      <c r="B5" s="64" t="s">
        <v>151</v>
      </c>
      <c r="C5" s="64" t="s">
        <v>159</v>
      </c>
      <c r="D5" s="64" t="s">
        <v>164</v>
      </c>
      <c r="E5" s="64" t="s">
        <v>179</v>
      </c>
      <c r="F5" s="65" t="s">
        <v>53</v>
      </c>
      <c r="I5" s="270"/>
      <c r="J5" s="265" t="s">
        <v>181</v>
      </c>
      <c r="K5" s="265" t="s">
        <v>182</v>
      </c>
      <c r="L5" s="265" t="s">
        <v>183</v>
      </c>
      <c r="M5" s="267" t="s">
        <v>184</v>
      </c>
      <c r="N5" s="266" t="s">
        <v>53</v>
      </c>
      <c r="P5" s="270"/>
      <c r="Q5" s="265" t="s">
        <v>181</v>
      </c>
      <c r="R5" s="265" t="s">
        <v>182</v>
      </c>
      <c r="S5" s="265" t="s">
        <v>183</v>
      </c>
      <c r="T5" s="267" t="s">
        <v>184</v>
      </c>
      <c r="U5" s="266" t="s">
        <v>53</v>
      </c>
      <c r="W5" s="270"/>
      <c r="X5" s="265" t="s">
        <v>181</v>
      </c>
      <c r="Y5" s="265" t="s">
        <v>182</v>
      </c>
      <c r="Z5" s="265" t="s">
        <v>183</v>
      </c>
      <c r="AA5" s="267" t="s">
        <v>184</v>
      </c>
      <c r="AB5" s="266" t="s">
        <v>53</v>
      </c>
    </row>
    <row r="6" spans="1:28">
      <c r="A6" s="68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6">
        <f t="shared" ref="F6:F37" si="0">SUM(B6:E6)</f>
        <v>7325547.7810031641</v>
      </c>
      <c r="I6" s="270" t="s">
        <v>6</v>
      </c>
      <c r="J6" s="263">
        <f t="shared" ref="J6:J17" si="1">VLOOKUP(I6,$A$6:$E$56,3,FALSE)</f>
        <v>23237127.629999999</v>
      </c>
      <c r="K6" s="263">
        <f t="shared" ref="K6:K17" si="2">VLOOKUP(I6,$A$6:$E$56,4,FALSE)</f>
        <v>26394086.023610257</v>
      </c>
      <c r="L6" s="263">
        <f t="shared" ref="L6:L17" si="3">VLOOKUP(I6,$A$6:$E$56,5,FALSE)</f>
        <v>19913132.947707031</v>
      </c>
      <c r="M6" s="264">
        <f t="shared" ref="M6:M17" si="4">VLOOKUP(I6,$A$6:$E$56,2,FALSE)</f>
        <v>37682659.87376523</v>
      </c>
      <c r="N6" s="268">
        <f>SUM(J6:M6)</f>
        <v>107227006.47508252</v>
      </c>
      <c r="P6" s="270" t="s">
        <v>6</v>
      </c>
      <c r="Q6" s="263">
        <v>23282655.170000002</v>
      </c>
      <c r="R6" s="263">
        <v>28645857.449999999</v>
      </c>
      <c r="S6" s="263">
        <v>19975423.179237131</v>
      </c>
      <c r="T6" s="264">
        <v>44849466.46741198</v>
      </c>
      <c r="U6" s="268">
        <f>SUM(Q6:T6)</f>
        <v>116753402.26664911</v>
      </c>
      <c r="V6" s="275"/>
      <c r="W6" s="270" t="s">
        <v>6</v>
      </c>
      <c r="X6" s="276">
        <f>Q6-J6</f>
        <v>45527.540000002831</v>
      </c>
      <c r="Y6" s="276">
        <f>R6-K6</f>
        <v>2251771.4263897426</v>
      </c>
      <c r="Z6" s="276">
        <f>S6-L6</f>
        <v>62290.231530100107</v>
      </c>
      <c r="AA6" s="277">
        <f>T6-M6</f>
        <v>7166806.5936467499</v>
      </c>
      <c r="AB6" s="278">
        <f>SUM(X6:AA6)</f>
        <v>9526395.7915665954</v>
      </c>
    </row>
    <row r="7" spans="1:28">
      <c r="A7" s="68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6">
        <f t="shared" si="0"/>
        <v>9761124.9222838245</v>
      </c>
      <c r="I7" s="271" t="s">
        <v>9</v>
      </c>
      <c r="J7" s="262">
        <f t="shared" si="1"/>
        <v>9693407.8100000005</v>
      </c>
      <c r="K7" s="262">
        <f t="shared" si="2"/>
        <v>9474739.389337305</v>
      </c>
      <c r="L7" s="262">
        <f t="shared" si="3"/>
        <v>3558205.5434952863</v>
      </c>
      <c r="M7" s="221">
        <f t="shared" si="4"/>
        <v>10277016.806674574</v>
      </c>
      <c r="N7" s="218">
        <f t="shared" ref="N7:N57" si="5">SUM(J7:M7)</f>
        <v>33003369.549507163</v>
      </c>
      <c r="P7" s="271" t="s">
        <v>9</v>
      </c>
      <c r="Q7" s="262">
        <v>9548732.7699999996</v>
      </c>
      <c r="R7" s="262">
        <v>9486442.7599999998</v>
      </c>
      <c r="S7" s="262">
        <v>6080772.1341687515</v>
      </c>
      <c r="T7" s="221">
        <v>10534606.81053259</v>
      </c>
      <c r="U7" s="218">
        <f t="shared" ref="U7:U17" si="6">SUM(Q7:T7)</f>
        <v>35650554.474701345</v>
      </c>
      <c r="W7" s="271" t="s">
        <v>9</v>
      </c>
      <c r="X7" s="279">
        <f t="shared" ref="X7:X57" si="7">Q7-J7</f>
        <v>-144675.04000000097</v>
      </c>
      <c r="Y7" s="279">
        <f t="shared" ref="Y7:Y57" si="8">R7-K7</f>
        <v>11703.370662694797</v>
      </c>
      <c r="Z7" s="279">
        <f t="shared" ref="Z7:Z57" si="9">S7-L7</f>
        <v>2522566.5906734653</v>
      </c>
      <c r="AA7" s="280">
        <f t="shared" ref="AA7:AA57" si="10">T7-M7</f>
        <v>257590.0038580168</v>
      </c>
      <c r="AB7" s="281">
        <f t="shared" ref="AB7:AB17" si="11">SUM(X7:AA7)</f>
        <v>2647184.9251941759</v>
      </c>
    </row>
    <row r="8" spans="1:28">
      <c r="A8" s="68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6">
        <f t="shared" si="0"/>
        <v>9586290.2251348831</v>
      </c>
      <c r="I8" s="271" t="s">
        <v>18</v>
      </c>
      <c r="J8" s="262">
        <f t="shared" si="1"/>
        <v>13286424.48</v>
      </c>
      <c r="K8" s="262">
        <f t="shared" si="2"/>
        <v>15890021.446048504</v>
      </c>
      <c r="L8" s="262">
        <f t="shared" si="3"/>
        <v>7897008.1408915808</v>
      </c>
      <c r="M8" s="221">
        <f t="shared" si="4"/>
        <v>24380281.196164481</v>
      </c>
      <c r="N8" s="218">
        <f t="shared" si="5"/>
        <v>61453735.263104565</v>
      </c>
      <c r="P8" s="271" t="s">
        <v>18</v>
      </c>
      <c r="Q8" s="262">
        <v>12255078.59</v>
      </c>
      <c r="R8" s="262">
        <v>14246136.279999999</v>
      </c>
      <c r="S8" s="262">
        <v>6658903.2770231804</v>
      </c>
      <c r="T8" s="221">
        <v>20920318.281674031</v>
      </c>
      <c r="U8" s="218">
        <f t="shared" si="6"/>
        <v>54080436.428697214</v>
      </c>
      <c r="W8" s="271" t="s">
        <v>18</v>
      </c>
      <c r="X8" s="279">
        <f t="shared" si="7"/>
        <v>-1031345.8900000006</v>
      </c>
      <c r="Y8" s="279">
        <f t="shared" si="8"/>
        <v>-1643885.1660485044</v>
      </c>
      <c r="Z8" s="279">
        <f t="shared" si="9"/>
        <v>-1238104.8638684005</v>
      </c>
      <c r="AA8" s="280">
        <f t="shared" si="10"/>
        <v>-3459962.9144904502</v>
      </c>
      <c r="AB8" s="281">
        <f t="shared" si="11"/>
        <v>-7373298.8344073556</v>
      </c>
    </row>
    <row r="9" spans="1:28">
      <c r="A9" s="68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6">
        <f t="shared" si="0"/>
        <v>22149556.143935926</v>
      </c>
      <c r="I9" s="271" t="s">
        <v>20</v>
      </c>
      <c r="J9" s="262">
        <f t="shared" si="1"/>
        <v>17721794.68</v>
      </c>
      <c r="K9" s="262">
        <f t="shared" si="2"/>
        <v>20115528.179039277</v>
      </c>
      <c r="L9" s="262">
        <f t="shared" si="3"/>
        <v>13253007.718835007</v>
      </c>
      <c r="M9" s="221">
        <f t="shared" si="4"/>
        <v>28690666.671491794</v>
      </c>
      <c r="N9" s="218">
        <f t="shared" si="5"/>
        <v>79780997.249366075</v>
      </c>
      <c r="P9" s="271" t="s">
        <v>20</v>
      </c>
      <c r="Q9" s="262">
        <v>17641019.199999999</v>
      </c>
      <c r="R9" s="262">
        <v>21407525.73</v>
      </c>
      <c r="S9" s="262">
        <v>13162778.798296982</v>
      </c>
      <c r="T9" s="221">
        <v>33080484.605316535</v>
      </c>
      <c r="U9" s="218">
        <f t="shared" si="6"/>
        <v>85291808.333613515</v>
      </c>
      <c r="W9" s="271" t="s">
        <v>20</v>
      </c>
      <c r="X9" s="279">
        <f t="shared" si="7"/>
        <v>-80775.480000000447</v>
      </c>
      <c r="Y9" s="279">
        <f t="shared" si="8"/>
        <v>1291997.5509607233</v>
      </c>
      <c r="Z9" s="279">
        <f t="shared" si="9"/>
        <v>-90228.920538024977</v>
      </c>
      <c r="AA9" s="280">
        <f t="shared" si="10"/>
        <v>4389817.9338247404</v>
      </c>
      <c r="AB9" s="281">
        <f t="shared" si="11"/>
        <v>5510811.0842474382</v>
      </c>
    </row>
    <row r="10" spans="1:28">
      <c r="A10" s="68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6">
        <f t="shared" si="0"/>
        <v>17916496.510327846</v>
      </c>
      <c r="I10" s="271" t="s">
        <v>25</v>
      </c>
      <c r="J10" s="262">
        <f t="shared" si="1"/>
        <v>24405129.510000002</v>
      </c>
      <c r="K10" s="262">
        <f t="shared" si="2"/>
        <v>0</v>
      </c>
      <c r="L10" s="262">
        <f t="shared" si="3"/>
        <v>21323571.603477571</v>
      </c>
      <c r="M10" s="221">
        <f t="shared" si="4"/>
        <v>36999169.671441227</v>
      </c>
      <c r="N10" s="218">
        <f t="shared" si="5"/>
        <v>82727870.7849188</v>
      </c>
      <c r="P10" s="271" t="s">
        <v>25</v>
      </c>
      <c r="Q10" s="262">
        <v>25364973.93</v>
      </c>
      <c r="R10" s="262">
        <v>0</v>
      </c>
      <c r="S10" s="262">
        <v>22489959.251444831</v>
      </c>
      <c r="T10" s="221">
        <v>50709572.495409966</v>
      </c>
      <c r="U10" s="218">
        <f t="shared" si="6"/>
        <v>98564505.676854789</v>
      </c>
      <c r="W10" s="271" t="s">
        <v>25</v>
      </c>
      <c r="X10" s="279">
        <f t="shared" si="7"/>
        <v>959844.41999999806</v>
      </c>
      <c r="Y10" s="279">
        <f t="shared" si="8"/>
        <v>0</v>
      </c>
      <c r="Z10" s="279">
        <f t="shared" si="9"/>
        <v>1166387.6479672603</v>
      </c>
      <c r="AA10" s="280">
        <f t="shared" si="10"/>
        <v>13710402.823968738</v>
      </c>
      <c r="AB10" s="281">
        <f t="shared" si="11"/>
        <v>15836634.891935997</v>
      </c>
    </row>
    <row r="11" spans="1:28">
      <c r="A11" s="68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6">
        <f t="shared" si="0"/>
        <v>107227006.47508252</v>
      </c>
      <c r="I11" s="271" t="s">
        <v>31</v>
      </c>
      <c r="J11" s="262">
        <f t="shared" si="1"/>
        <v>14325436.029999999</v>
      </c>
      <c r="K11" s="262">
        <f t="shared" si="2"/>
        <v>17670403.823332909</v>
      </c>
      <c r="L11" s="262">
        <f t="shared" si="3"/>
        <v>9151682.5372307543</v>
      </c>
      <c r="M11" s="221">
        <f t="shared" si="4"/>
        <v>28193480.269531008</v>
      </c>
      <c r="N11" s="218">
        <f t="shared" si="5"/>
        <v>69341002.660094664</v>
      </c>
      <c r="P11" s="271" t="s">
        <v>31</v>
      </c>
      <c r="Q11" s="262">
        <v>13479964.83</v>
      </c>
      <c r="R11" s="262">
        <v>16723437.619999999</v>
      </c>
      <c r="S11" s="262">
        <v>8138033.5227512307</v>
      </c>
      <c r="T11" s="221">
        <v>26810383.882002413</v>
      </c>
      <c r="U11" s="218">
        <f t="shared" si="6"/>
        <v>65151819.854753643</v>
      </c>
      <c r="W11" s="271" t="s">
        <v>31</v>
      </c>
      <c r="X11" s="279">
        <f t="shared" si="7"/>
        <v>-845471.19999999925</v>
      </c>
      <c r="Y11" s="279">
        <f t="shared" si="8"/>
        <v>-946966.20333291031</v>
      </c>
      <c r="Z11" s="279">
        <f t="shared" si="9"/>
        <v>-1013649.0144795235</v>
      </c>
      <c r="AA11" s="280">
        <f t="shared" si="10"/>
        <v>-1383096.3875285946</v>
      </c>
      <c r="AB11" s="281">
        <f t="shared" si="11"/>
        <v>-4189182.8053410277</v>
      </c>
    </row>
    <row r="12" spans="1:28">
      <c r="A12" s="68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6">
        <f t="shared" si="0"/>
        <v>21111764.197479352</v>
      </c>
      <c r="I12" s="271" t="s">
        <v>39</v>
      </c>
      <c r="J12" s="262">
        <f t="shared" si="1"/>
        <v>66146850.710000001</v>
      </c>
      <c r="K12" s="262">
        <f t="shared" si="2"/>
        <v>0</v>
      </c>
      <c r="L12" s="262">
        <f t="shared" si="3"/>
        <v>71729429.745989323</v>
      </c>
      <c r="M12" s="221">
        <f t="shared" si="4"/>
        <v>62646137.701007858</v>
      </c>
      <c r="N12" s="218">
        <f t="shared" si="5"/>
        <v>200522418.1569972</v>
      </c>
      <c r="P12" s="271" t="s">
        <v>39</v>
      </c>
      <c r="Q12" s="262">
        <v>66697182.609999999</v>
      </c>
      <c r="R12" s="262">
        <v>0</v>
      </c>
      <c r="S12" s="262">
        <v>72401304.254294619</v>
      </c>
      <c r="T12" s="221">
        <v>79868239.27235584</v>
      </c>
      <c r="U12" s="218">
        <f t="shared" si="6"/>
        <v>218966726.13665044</v>
      </c>
      <c r="W12" s="271" t="s">
        <v>39</v>
      </c>
      <c r="X12" s="279">
        <f t="shared" si="7"/>
        <v>550331.89999999851</v>
      </c>
      <c r="Y12" s="279">
        <f t="shared" si="8"/>
        <v>0</v>
      </c>
      <c r="Z12" s="279">
        <f t="shared" si="9"/>
        <v>671874.5083052963</v>
      </c>
      <c r="AA12" s="280">
        <f t="shared" si="10"/>
        <v>17222101.571347982</v>
      </c>
      <c r="AB12" s="281">
        <f t="shared" si="11"/>
        <v>18444307.979653277</v>
      </c>
    </row>
    <row r="13" spans="1:28">
      <c r="A13" s="68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6">
        <f t="shared" si="0"/>
        <v>8539364.8128422555</v>
      </c>
      <c r="I13" s="271" t="s">
        <v>45</v>
      </c>
      <c r="J13" s="262">
        <f t="shared" si="1"/>
        <v>8800078.8800000008</v>
      </c>
      <c r="K13" s="262">
        <f t="shared" si="2"/>
        <v>8353830.3409364149</v>
      </c>
      <c r="L13" s="262">
        <f t="shared" si="3"/>
        <v>2479452.433364782</v>
      </c>
      <c r="M13" s="221">
        <f t="shared" si="4"/>
        <v>8451896.3212104775</v>
      </c>
      <c r="N13" s="218">
        <f t="shared" si="5"/>
        <v>28085257.975511678</v>
      </c>
      <c r="P13" s="271" t="s">
        <v>45</v>
      </c>
      <c r="Q13" s="262">
        <v>8567683.1699999999</v>
      </c>
      <c r="R13" s="262">
        <v>8015543.1900000004</v>
      </c>
      <c r="S13" s="262">
        <v>2344408.0906964196</v>
      </c>
      <c r="T13" s="221">
        <v>7706778.8669623602</v>
      </c>
      <c r="U13" s="218">
        <f t="shared" si="6"/>
        <v>26634413.317658782</v>
      </c>
      <c r="W13" s="271" t="s">
        <v>45</v>
      </c>
      <c r="X13" s="279">
        <f t="shared" si="7"/>
        <v>-232395.71000000089</v>
      </c>
      <c r="Y13" s="279">
        <f t="shared" si="8"/>
        <v>-338287.15093641449</v>
      </c>
      <c r="Z13" s="279">
        <f t="shared" si="9"/>
        <v>-135044.34266836243</v>
      </c>
      <c r="AA13" s="280">
        <f t="shared" si="10"/>
        <v>-745117.45424811728</v>
      </c>
      <c r="AB13" s="281">
        <f t="shared" si="11"/>
        <v>-1450844.6578528951</v>
      </c>
    </row>
    <row r="14" spans="1:28">
      <c r="A14" s="68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6">
        <f t="shared" si="0"/>
        <v>33003369.549507163</v>
      </c>
      <c r="I14" s="271" t="s">
        <v>46</v>
      </c>
      <c r="J14" s="262">
        <f t="shared" si="1"/>
        <v>21160275.140000001</v>
      </c>
      <c r="K14" s="262">
        <f t="shared" si="2"/>
        <v>0</v>
      </c>
      <c r="L14" s="262">
        <f t="shared" si="3"/>
        <v>17405197.750645991</v>
      </c>
      <c r="M14" s="221">
        <f t="shared" si="4"/>
        <v>25149611.733935378</v>
      </c>
      <c r="N14" s="218">
        <f t="shared" si="5"/>
        <v>63715084.624581374</v>
      </c>
      <c r="P14" s="271" t="s">
        <v>46</v>
      </c>
      <c r="Q14" s="262">
        <v>21683055.550000001</v>
      </c>
      <c r="R14" s="262">
        <v>0</v>
      </c>
      <c r="S14" s="262">
        <v>18043802.028718401</v>
      </c>
      <c r="T14" s="221">
        <v>33422146.851413317</v>
      </c>
      <c r="U14" s="218">
        <f t="shared" si="6"/>
        <v>73149004.430131719</v>
      </c>
      <c r="W14" s="271" t="s">
        <v>46</v>
      </c>
      <c r="X14" s="279">
        <f t="shared" si="7"/>
        <v>522780.41000000015</v>
      </c>
      <c r="Y14" s="279">
        <f t="shared" si="8"/>
        <v>0</v>
      </c>
      <c r="Z14" s="279">
        <f t="shared" si="9"/>
        <v>638604.27807240933</v>
      </c>
      <c r="AA14" s="280">
        <f t="shared" si="10"/>
        <v>8272535.1174779385</v>
      </c>
      <c r="AB14" s="281">
        <f t="shared" si="11"/>
        <v>9433919.805550348</v>
      </c>
    </row>
    <row r="15" spans="1:28">
      <c r="A15" s="68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6">
        <f t="shared" si="0"/>
        <v>40339068.211033106</v>
      </c>
      <c r="I15" s="271" t="s">
        <v>47</v>
      </c>
      <c r="J15" s="262">
        <f t="shared" si="1"/>
        <v>39615398.719999999</v>
      </c>
      <c r="K15" s="262">
        <f t="shared" si="2"/>
        <v>0</v>
      </c>
      <c r="L15" s="262">
        <f t="shared" si="3"/>
        <v>39690966.383817434</v>
      </c>
      <c r="M15" s="221">
        <f t="shared" si="4"/>
        <v>10781489.118756974</v>
      </c>
      <c r="N15" s="218">
        <f t="shared" si="5"/>
        <v>90087854.222574413</v>
      </c>
      <c r="P15" s="271" t="s">
        <v>47</v>
      </c>
      <c r="Q15" s="262">
        <v>39465188.299999997</v>
      </c>
      <c r="R15" s="262">
        <v>0</v>
      </c>
      <c r="S15" s="262">
        <v>39516890.218708888</v>
      </c>
      <c r="T15" s="221">
        <v>12423975.091150288</v>
      </c>
      <c r="U15" s="218">
        <f t="shared" si="6"/>
        <v>91406053.609859169</v>
      </c>
      <c r="W15" s="271" t="s">
        <v>47</v>
      </c>
      <c r="X15" s="279">
        <f t="shared" si="7"/>
        <v>-150210.42000000179</v>
      </c>
      <c r="Y15" s="279">
        <f t="shared" si="8"/>
        <v>0</v>
      </c>
      <c r="Z15" s="279">
        <f t="shared" si="9"/>
        <v>-174076.16510854661</v>
      </c>
      <c r="AA15" s="280">
        <f t="shared" si="10"/>
        <v>1642485.9723933134</v>
      </c>
      <c r="AB15" s="281">
        <f t="shared" si="11"/>
        <v>1318199.387284765</v>
      </c>
    </row>
    <row r="16" spans="1:28">
      <c r="A16" s="68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6">
        <f t="shared" si="0"/>
        <v>11150970.233907431</v>
      </c>
      <c r="I16" s="271" t="s">
        <v>48</v>
      </c>
      <c r="J16" s="262">
        <f t="shared" si="1"/>
        <v>14864043.029999999</v>
      </c>
      <c r="K16" s="262">
        <f t="shared" si="2"/>
        <v>15645736.289694797</v>
      </c>
      <c r="L16" s="262">
        <f t="shared" si="3"/>
        <v>9802085.7211358696</v>
      </c>
      <c r="M16" s="221">
        <f t="shared" si="4"/>
        <v>19717144.79065343</v>
      </c>
      <c r="N16" s="218">
        <f t="shared" si="5"/>
        <v>60029009.831484094</v>
      </c>
      <c r="P16" s="271" t="s">
        <v>48</v>
      </c>
      <c r="Q16" s="262">
        <v>15052318.01</v>
      </c>
      <c r="R16" s="262">
        <v>17171332.84</v>
      </c>
      <c r="S16" s="262">
        <v>10036752.817523148</v>
      </c>
      <c r="T16" s="221">
        <v>24311906.031516474</v>
      </c>
      <c r="U16" s="218">
        <f t="shared" si="6"/>
        <v>66572309.699039623</v>
      </c>
      <c r="W16" s="271" t="s">
        <v>48</v>
      </c>
      <c r="X16" s="279">
        <f t="shared" si="7"/>
        <v>188274.98000000045</v>
      </c>
      <c r="Y16" s="279">
        <f t="shared" si="8"/>
        <v>1525596.5503052026</v>
      </c>
      <c r="Z16" s="279">
        <f t="shared" si="9"/>
        <v>234667.09638727829</v>
      </c>
      <c r="AA16" s="280">
        <f t="shared" si="10"/>
        <v>4594761.2408630438</v>
      </c>
      <c r="AB16" s="281">
        <f t="shared" si="11"/>
        <v>6543299.8675555252</v>
      </c>
    </row>
    <row r="17" spans="1:28" ht="13.8" thickBot="1">
      <c r="A17" s="68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6">
        <f t="shared" si="0"/>
        <v>16239322.197606448</v>
      </c>
      <c r="I17" s="271" t="s">
        <v>49</v>
      </c>
      <c r="J17" s="262">
        <f t="shared" si="1"/>
        <v>10291428.779999999</v>
      </c>
      <c r="K17" s="262">
        <f t="shared" si="2"/>
        <v>8787454.3831691872</v>
      </c>
      <c r="L17" s="262">
        <f t="shared" si="3"/>
        <v>4280354.967553379</v>
      </c>
      <c r="M17" s="221">
        <f t="shared" si="4"/>
        <v>6400450.8389404938</v>
      </c>
      <c r="N17" s="218">
        <f t="shared" si="5"/>
        <v>29759688.969663061</v>
      </c>
      <c r="P17" s="271" t="s">
        <v>49</v>
      </c>
      <c r="Q17" s="262">
        <v>10272989.48</v>
      </c>
      <c r="R17" s="262">
        <v>9018342.1300000008</v>
      </c>
      <c r="S17" s="262">
        <v>4532747.80593001</v>
      </c>
      <c r="T17" s="221">
        <v>6900674.8488941686</v>
      </c>
      <c r="U17" s="218">
        <f t="shared" si="6"/>
        <v>30724754.264824178</v>
      </c>
      <c r="W17" s="271" t="s">
        <v>49</v>
      </c>
      <c r="X17" s="279">
        <f t="shared" si="7"/>
        <v>-18439.299999998882</v>
      </c>
      <c r="Y17" s="279">
        <f t="shared" si="8"/>
        <v>230887.74683081359</v>
      </c>
      <c r="Z17" s="279">
        <f t="shared" si="9"/>
        <v>252392.83837663103</v>
      </c>
      <c r="AA17" s="280">
        <f t="shared" si="10"/>
        <v>500224.00995367486</v>
      </c>
      <c r="AB17" s="281">
        <f t="shared" si="11"/>
        <v>965065.29516112059</v>
      </c>
    </row>
    <row r="18" spans="1:28" ht="13.8" thickBot="1">
      <c r="A18" s="68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6">
        <f t="shared" si="0"/>
        <v>32219174.482635025</v>
      </c>
      <c r="I18" s="272" t="s">
        <v>144</v>
      </c>
      <c r="J18" s="273">
        <f>SUM(J6:J17)</f>
        <v>263547395.40000001</v>
      </c>
      <c r="K18" s="273">
        <f>SUM(K6:K17)</f>
        <v>122331799.87516865</v>
      </c>
      <c r="L18" s="273">
        <f>SUM(L6:L17)</f>
        <v>220484095.49414402</v>
      </c>
      <c r="M18" s="274">
        <f>SUM(M6:M17)</f>
        <v>299370004.99357289</v>
      </c>
      <c r="N18" s="269">
        <f>SUM(N6:N17)</f>
        <v>905733295.76288545</v>
      </c>
      <c r="P18" s="272" t="s">
        <v>144</v>
      </c>
      <c r="Q18" s="273">
        <f>SUM(Q6:Q17)</f>
        <v>263310841.60999998</v>
      </c>
      <c r="R18" s="273">
        <f>SUM(R6:R17)</f>
        <v>124714618</v>
      </c>
      <c r="S18" s="273">
        <f>SUM(S6:S17)</f>
        <v>223381775.37879363</v>
      </c>
      <c r="T18" s="274">
        <f>SUM(T6:T17)</f>
        <v>351538553.50463998</v>
      </c>
      <c r="U18" s="269">
        <f>SUM(U6:U17)</f>
        <v>962945788.49343336</v>
      </c>
      <c r="W18" s="272" t="s">
        <v>144</v>
      </c>
      <c r="X18" s="282">
        <f>SUM(X6:X17)</f>
        <v>-236553.79000000283</v>
      </c>
      <c r="Y18" s="282">
        <f>SUM(Y6:Y17)</f>
        <v>2382818.1248313477</v>
      </c>
      <c r="Z18" s="282">
        <f>SUM(Z6:Z17)</f>
        <v>2897679.8846495827</v>
      </c>
      <c r="AA18" s="283">
        <f>SUM(AA6:AA17)</f>
        <v>52168548.511067048</v>
      </c>
      <c r="AB18" s="284">
        <f>SUM(AB6:AB17)</f>
        <v>57212492.730547957</v>
      </c>
    </row>
    <row r="19" spans="1:28">
      <c r="A19" s="68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6">
        <f t="shared" si="0"/>
        <v>40218145.236089759</v>
      </c>
      <c r="I19" s="271" t="s">
        <v>1</v>
      </c>
      <c r="J19" s="262">
        <f t="shared" ref="J19:J57" si="12">VLOOKUP(I19,$A$6:$E$56,3,FALSE)</f>
        <v>2441285.7200000002</v>
      </c>
      <c r="K19" s="262">
        <f t="shared" ref="K19:K57" si="13">VLOOKUP(I19,$A$6:$E$56,4,FALSE)</f>
        <v>0</v>
      </c>
      <c r="L19" s="262">
        <f t="shared" ref="L19:L57" si="14">VLOOKUP(I19,$A$6:$E$56,5,FALSE)</f>
        <v>321322.96431123291</v>
      </c>
      <c r="M19" s="221">
        <f t="shared" ref="M19:M57" si="15">VLOOKUP(I19,$A$6:$E$56,2,FALSE)</f>
        <v>4562939.0966919307</v>
      </c>
      <c r="N19" s="218">
        <f t="shared" si="5"/>
        <v>7325547.7810031641</v>
      </c>
      <c r="P19" s="271" t="s">
        <v>1</v>
      </c>
      <c r="Q19" s="262">
        <v>2443293.2200000002</v>
      </c>
      <c r="R19" s="262">
        <v>0</v>
      </c>
      <c r="S19" s="262">
        <v>1718741.9861008578</v>
      </c>
      <c r="T19" s="221">
        <v>4783188.2086414928</v>
      </c>
      <c r="U19" s="218">
        <f t="shared" ref="U19:U57" si="16">SUM(Q19:T19)</f>
        <v>8945223.4147423506</v>
      </c>
      <c r="W19" s="271" t="s">
        <v>1</v>
      </c>
      <c r="X19" s="279">
        <f t="shared" si="7"/>
        <v>2007.5</v>
      </c>
      <c r="Y19" s="279">
        <f t="shared" si="8"/>
        <v>0</v>
      </c>
      <c r="Z19" s="279">
        <f t="shared" si="9"/>
        <v>1397419.0217896248</v>
      </c>
      <c r="AA19" s="280">
        <f t="shared" si="10"/>
        <v>220249.1119495621</v>
      </c>
      <c r="AB19" s="281">
        <f t="shared" ref="AB19:AB57" si="17">SUM(X19:AA19)</f>
        <v>1619675.6337391869</v>
      </c>
    </row>
    <row r="20" spans="1:28">
      <c r="A20" s="68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6">
        <f t="shared" si="0"/>
        <v>9972891.2081603352</v>
      </c>
      <c r="I20" s="271" t="s">
        <v>2</v>
      </c>
      <c r="J20" s="262">
        <f t="shared" si="12"/>
        <v>3324386.94</v>
      </c>
      <c r="K20" s="262">
        <f t="shared" si="13"/>
        <v>0</v>
      </c>
      <c r="L20" s="262">
        <f t="shared" si="14"/>
        <v>1796569.8522838235</v>
      </c>
      <c r="M20" s="221">
        <f t="shared" si="15"/>
        <v>4640168.13</v>
      </c>
      <c r="N20" s="218">
        <f t="shared" si="5"/>
        <v>9761124.9222838245</v>
      </c>
      <c r="P20" s="271" t="s">
        <v>2</v>
      </c>
      <c r="Q20" s="262">
        <v>3334020.9</v>
      </c>
      <c r="R20" s="262">
        <v>0</v>
      </c>
      <c r="S20" s="262">
        <v>2900632.6789315413</v>
      </c>
      <c r="T20" s="221">
        <v>4723833.2856675256</v>
      </c>
      <c r="U20" s="218">
        <f t="shared" si="16"/>
        <v>10958486.864599068</v>
      </c>
      <c r="W20" s="271" t="s">
        <v>2</v>
      </c>
      <c r="X20" s="279">
        <f t="shared" si="7"/>
        <v>9633.9599999999627</v>
      </c>
      <c r="Y20" s="279">
        <f t="shared" si="8"/>
        <v>0</v>
      </c>
      <c r="Z20" s="279">
        <f t="shared" si="9"/>
        <v>1104062.8266477177</v>
      </c>
      <c r="AA20" s="280">
        <f t="shared" si="10"/>
        <v>83665.155667525716</v>
      </c>
      <c r="AB20" s="281">
        <f t="shared" si="17"/>
        <v>1197361.9423152434</v>
      </c>
    </row>
    <row r="21" spans="1:28">
      <c r="A21" s="68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6">
        <f t="shared" si="0"/>
        <v>8200503.0072669918</v>
      </c>
      <c r="I21" s="271" t="s">
        <v>3</v>
      </c>
      <c r="J21" s="262">
        <f t="shared" si="12"/>
        <v>3398906.55</v>
      </c>
      <c r="K21" s="262">
        <f t="shared" si="13"/>
        <v>0</v>
      </c>
      <c r="L21" s="262">
        <f t="shared" si="14"/>
        <v>1921057.0751348846</v>
      </c>
      <c r="M21" s="221">
        <f t="shared" si="15"/>
        <v>4266326.5999999996</v>
      </c>
      <c r="N21" s="218">
        <f t="shared" si="5"/>
        <v>9586290.2251348831</v>
      </c>
      <c r="P21" s="271" t="s">
        <v>3</v>
      </c>
      <c r="Q21" s="262">
        <v>3421062.17</v>
      </c>
      <c r="R21" s="262">
        <v>0</v>
      </c>
      <c r="S21" s="262">
        <v>2084379.9700768916</v>
      </c>
      <c r="T21" s="221">
        <v>4383432.8024118254</v>
      </c>
      <c r="U21" s="218">
        <f t="shared" si="16"/>
        <v>9888874.9424887169</v>
      </c>
      <c r="W21" s="271" t="s">
        <v>3</v>
      </c>
      <c r="X21" s="279">
        <f t="shared" si="7"/>
        <v>22155.620000000112</v>
      </c>
      <c r="Y21" s="279">
        <f t="shared" si="8"/>
        <v>0</v>
      </c>
      <c r="Z21" s="279">
        <f t="shared" si="9"/>
        <v>163322.89494200703</v>
      </c>
      <c r="AA21" s="280">
        <f t="shared" si="10"/>
        <v>117106.20241182577</v>
      </c>
      <c r="AB21" s="281">
        <f t="shared" si="17"/>
        <v>302584.71735383291</v>
      </c>
    </row>
    <row r="22" spans="1:28">
      <c r="A22" s="68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6">
        <f t="shared" si="0"/>
        <v>34023139.962994471</v>
      </c>
      <c r="I22" s="271" t="s">
        <v>4</v>
      </c>
      <c r="J22" s="262">
        <f t="shared" si="12"/>
        <v>5701763.79</v>
      </c>
      <c r="K22" s="262">
        <f t="shared" si="13"/>
        <v>0</v>
      </c>
      <c r="L22" s="262">
        <f t="shared" si="14"/>
        <v>5768048.6439359272</v>
      </c>
      <c r="M22" s="221">
        <f t="shared" si="15"/>
        <v>10679743.710000001</v>
      </c>
      <c r="N22" s="218">
        <f t="shared" si="5"/>
        <v>22149556.143935926</v>
      </c>
      <c r="P22" s="271" t="s">
        <v>4</v>
      </c>
      <c r="Q22" s="262">
        <v>5826931.5800000001</v>
      </c>
      <c r="R22" s="262">
        <v>0</v>
      </c>
      <c r="S22" s="262">
        <v>8518240.5976785552</v>
      </c>
      <c r="T22" s="221">
        <v>14195098.344623413</v>
      </c>
      <c r="U22" s="218">
        <f t="shared" si="16"/>
        <v>28540270.522301968</v>
      </c>
      <c r="W22" s="271" t="s">
        <v>4</v>
      </c>
      <c r="X22" s="279">
        <f t="shared" si="7"/>
        <v>125167.79000000004</v>
      </c>
      <c r="Y22" s="279">
        <f t="shared" si="8"/>
        <v>0</v>
      </c>
      <c r="Z22" s="279">
        <f t="shared" si="9"/>
        <v>2750191.953742628</v>
      </c>
      <c r="AA22" s="280">
        <f t="shared" si="10"/>
        <v>3515354.634623412</v>
      </c>
      <c r="AB22" s="281">
        <f t="shared" si="17"/>
        <v>6390714.3783660401</v>
      </c>
    </row>
    <row r="23" spans="1:28">
      <c r="A23" s="68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6">
        <f t="shared" si="0"/>
        <v>61453735.263104565</v>
      </c>
      <c r="I23" s="271" t="s">
        <v>5</v>
      </c>
      <c r="J23" s="262">
        <f t="shared" si="12"/>
        <v>5339978.7</v>
      </c>
      <c r="K23" s="262">
        <f t="shared" si="13"/>
        <v>0</v>
      </c>
      <c r="L23" s="262">
        <f t="shared" si="14"/>
        <v>5163675.8803278459</v>
      </c>
      <c r="M23" s="221">
        <f t="shared" si="15"/>
        <v>7412841.9299999997</v>
      </c>
      <c r="N23" s="218">
        <f t="shared" si="5"/>
        <v>17916496.510327846</v>
      </c>
      <c r="P23" s="271" t="s">
        <v>5</v>
      </c>
      <c r="Q23" s="262">
        <v>5441614.9100000001</v>
      </c>
      <c r="R23" s="262">
        <v>0</v>
      </c>
      <c r="S23" s="262">
        <v>6137628.3987900279</v>
      </c>
      <c r="T23" s="221">
        <v>9399517.3429417629</v>
      </c>
      <c r="U23" s="218">
        <f t="shared" si="16"/>
        <v>20978760.651731789</v>
      </c>
      <c r="W23" s="271" t="s">
        <v>5</v>
      </c>
      <c r="X23" s="279">
        <f t="shared" si="7"/>
        <v>101636.20999999996</v>
      </c>
      <c r="Y23" s="279">
        <f t="shared" si="8"/>
        <v>0</v>
      </c>
      <c r="Z23" s="279">
        <f t="shared" si="9"/>
        <v>973952.51846218202</v>
      </c>
      <c r="AA23" s="280">
        <f t="shared" si="10"/>
        <v>1986675.4129417632</v>
      </c>
      <c r="AB23" s="281">
        <f t="shared" si="17"/>
        <v>3062264.1414039452</v>
      </c>
    </row>
    <row r="24" spans="1:28">
      <c r="A24" s="68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6">
        <f t="shared" si="0"/>
        <v>10355875.583281407</v>
      </c>
      <c r="I24" s="271" t="s">
        <v>7</v>
      </c>
      <c r="J24" s="262">
        <f t="shared" si="12"/>
        <v>6751803.8700000001</v>
      </c>
      <c r="K24" s="262">
        <f t="shared" si="13"/>
        <v>0</v>
      </c>
      <c r="L24" s="262">
        <f t="shared" si="14"/>
        <v>7522171.8474793527</v>
      </c>
      <c r="M24" s="221">
        <f t="shared" si="15"/>
        <v>6837788.4800000004</v>
      </c>
      <c r="N24" s="218">
        <f t="shared" si="5"/>
        <v>21111764.197479352</v>
      </c>
      <c r="P24" s="271" t="s">
        <v>7</v>
      </c>
      <c r="Q24" s="262">
        <v>6893917.4699999997</v>
      </c>
      <c r="R24" s="262">
        <v>0</v>
      </c>
      <c r="S24" s="262">
        <v>8249514.9753969274</v>
      </c>
      <c r="T24" s="221">
        <v>8793503.5793775618</v>
      </c>
      <c r="U24" s="218">
        <f t="shared" si="16"/>
        <v>23936936.024774488</v>
      </c>
      <c r="W24" s="271" t="s">
        <v>7</v>
      </c>
      <c r="X24" s="279">
        <f t="shared" si="7"/>
        <v>142113.59999999963</v>
      </c>
      <c r="Y24" s="279">
        <f t="shared" si="8"/>
        <v>0</v>
      </c>
      <c r="Z24" s="279">
        <f t="shared" si="9"/>
        <v>727343.12791757472</v>
      </c>
      <c r="AA24" s="280">
        <f t="shared" si="10"/>
        <v>1955715.0993775614</v>
      </c>
      <c r="AB24" s="281">
        <f t="shared" si="17"/>
        <v>2825171.8272951357</v>
      </c>
    </row>
    <row r="25" spans="1:28">
      <c r="A25" s="68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6">
        <f t="shared" si="0"/>
        <v>79780997.249366075</v>
      </c>
      <c r="I25" s="271" t="s">
        <v>8</v>
      </c>
      <c r="J25" s="262">
        <f t="shared" si="12"/>
        <v>2847114.17</v>
      </c>
      <c r="K25" s="262">
        <f t="shared" si="13"/>
        <v>0</v>
      </c>
      <c r="L25" s="262">
        <f t="shared" si="14"/>
        <v>999271.4828422555</v>
      </c>
      <c r="M25" s="221">
        <f t="shared" si="15"/>
        <v>4692979.16</v>
      </c>
      <c r="N25" s="218">
        <f t="shared" si="5"/>
        <v>8539364.8128422555</v>
      </c>
      <c r="P25" s="271" t="s">
        <v>8</v>
      </c>
      <c r="Q25" s="262">
        <v>2870724.84</v>
      </c>
      <c r="R25" s="262">
        <v>0</v>
      </c>
      <c r="S25" s="262">
        <v>2974219.0796211474</v>
      </c>
      <c r="T25" s="221">
        <v>5180272.6433373308</v>
      </c>
      <c r="U25" s="218">
        <f t="shared" si="16"/>
        <v>11025216.562958479</v>
      </c>
      <c r="W25" s="271" t="s">
        <v>8</v>
      </c>
      <c r="X25" s="279">
        <f t="shared" si="7"/>
        <v>23610.669999999925</v>
      </c>
      <c r="Y25" s="279">
        <f t="shared" si="8"/>
        <v>0</v>
      </c>
      <c r="Z25" s="279">
        <f t="shared" si="9"/>
        <v>1974947.596778892</v>
      </c>
      <c r="AA25" s="280">
        <f t="shared" si="10"/>
        <v>487293.48333733063</v>
      </c>
      <c r="AB25" s="281">
        <f t="shared" si="17"/>
        <v>2485851.7501162225</v>
      </c>
    </row>
    <row r="26" spans="1:28">
      <c r="A26" s="68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6">
        <f t="shared" si="0"/>
        <v>16304996.182256903</v>
      </c>
      <c r="I26" s="271" t="s">
        <v>10</v>
      </c>
      <c r="J26" s="262">
        <f t="shared" si="12"/>
        <v>4591180.75</v>
      </c>
      <c r="K26" s="262">
        <f t="shared" si="13"/>
        <v>8058789.1666300381</v>
      </c>
      <c r="L26" s="262">
        <f t="shared" si="14"/>
        <v>3912786.6144030662</v>
      </c>
      <c r="M26" s="221">
        <f t="shared" si="15"/>
        <v>23776311.68</v>
      </c>
      <c r="N26" s="218">
        <f t="shared" si="5"/>
        <v>40339068.211033106</v>
      </c>
      <c r="P26" s="271" t="s">
        <v>10</v>
      </c>
      <c r="Q26" s="262">
        <v>3644327.85</v>
      </c>
      <c r="R26" s="262">
        <v>6928203.5499999998</v>
      </c>
      <c r="S26" s="262">
        <v>3660359.1323029641</v>
      </c>
      <c r="T26" s="221">
        <v>15368248.397203868</v>
      </c>
      <c r="U26" s="218">
        <f t="shared" si="16"/>
        <v>29601138.929506831</v>
      </c>
      <c r="W26" s="271" t="s">
        <v>10</v>
      </c>
      <c r="X26" s="279">
        <f t="shared" si="7"/>
        <v>-946852.89999999991</v>
      </c>
      <c r="Y26" s="279">
        <f t="shared" si="8"/>
        <v>-1130585.6166300382</v>
      </c>
      <c r="Z26" s="279">
        <f t="shared" si="9"/>
        <v>-252427.48210010212</v>
      </c>
      <c r="AA26" s="280">
        <f t="shared" si="10"/>
        <v>-8408063.2827961314</v>
      </c>
      <c r="AB26" s="281">
        <f t="shared" si="17"/>
        <v>-10737929.281526271</v>
      </c>
    </row>
    <row r="27" spans="1:28">
      <c r="A27" s="68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6">
        <f t="shared" si="0"/>
        <v>7253992.4376310967</v>
      </c>
      <c r="I27" s="271" t="s">
        <v>11</v>
      </c>
      <c r="J27" s="262">
        <f t="shared" si="12"/>
        <v>3564282.4</v>
      </c>
      <c r="K27" s="262">
        <f t="shared" si="13"/>
        <v>0</v>
      </c>
      <c r="L27" s="262">
        <f t="shared" si="14"/>
        <v>2197322.3439074308</v>
      </c>
      <c r="M27" s="221">
        <f t="shared" si="15"/>
        <v>5389365.4900000002</v>
      </c>
      <c r="N27" s="218">
        <f t="shared" si="5"/>
        <v>11150970.233907431</v>
      </c>
      <c r="P27" s="271" t="s">
        <v>11</v>
      </c>
      <c r="Q27" s="262">
        <v>3612033.9</v>
      </c>
      <c r="R27" s="262">
        <v>0</v>
      </c>
      <c r="S27" s="262">
        <v>3693123.3659876306</v>
      </c>
      <c r="T27" s="221">
        <v>6302080.6875453042</v>
      </c>
      <c r="U27" s="218">
        <f t="shared" si="16"/>
        <v>13607237.953532934</v>
      </c>
      <c r="W27" s="271" t="s">
        <v>11</v>
      </c>
      <c r="X27" s="279">
        <f t="shared" si="7"/>
        <v>47751.5</v>
      </c>
      <c r="Y27" s="279">
        <f t="shared" si="8"/>
        <v>0</v>
      </c>
      <c r="Z27" s="279">
        <f t="shared" si="9"/>
        <v>1495801.0220801998</v>
      </c>
      <c r="AA27" s="280">
        <f t="shared" si="10"/>
        <v>912715.19754530396</v>
      </c>
      <c r="AB27" s="281">
        <f t="shared" si="17"/>
        <v>2456267.7196255038</v>
      </c>
    </row>
    <row r="28" spans="1:28">
      <c r="A28" s="68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6">
        <f t="shared" si="0"/>
        <v>13424820.384952717</v>
      </c>
      <c r="I28" s="271" t="s">
        <v>12</v>
      </c>
      <c r="J28" s="262">
        <f t="shared" si="12"/>
        <v>5286075.2300000004</v>
      </c>
      <c r="K28" s="262">
        <f t="shared" si="13"/>
        <v>0</v>
      </c>
      <c r="L28" s="262">
        <f t="shared" si="14"/>
        <v>5073628.5276064463</v>
      </c>
      <c r="M28" s="221">
        <f t="shared" si="15"/>
        <v>5879618.4400000004</v>
      </c>
      <c r="N28" s="218">
        <f t="shared" si="5"/>
        <v>16239322.197606448</v>
      </c>
      <c r="P28" s="271" t="s">
        <v>12</v>
      </c>
      <c r="Q28" s="262">
        <v>5383135.2000000002</v>
      </c>
      <c r="R28" s="262">
        <v>0</v>
      </c>
      <c r="S28" s="262">
        <v>5567521.0863518687</v>
      </c>
      <c r="T28" s="221">
        <v>7215552.9521146528</v>
      </c>
      <c r="U28" s="218">
        <f t="shared" si="16"/>
        <v>18166209.238466524</v>
      </c>
      <c r="W28" s="271" t="s">
        <v>12</v>
      </c>
      <c r="X28" s="279">
        <f t="shared" si="7"/>
        <v>97059.969999999739</v>
      </c>
      <c r="Y28" s="279">
        <f t="shared" si="8"/>
        <v>0</v>
      </c>
      <c r="Z28" s="279">
        <f t="shared" si="9"/>
        <v>493892.5587454224</v>
      </c>
      <c r="AA28" s="280">
        <f t="shared" si="10"/>
        <v>1335934.5121146524</v>
      </c>
      <c r="AB28" s="281">
        <f t="shared" si="17"/>
        <v>1926887.0408600746</v>
      </c>
    </row>
    <row r="29" spans="1:28">
      <c r="A29" s="68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6">
        <f t="shared" si="0"/>
        <v>40040246.6858624</v>
      </c>
      <c r="I29" s="271" t="s">
        <v>13</v>
      </c>
      <c r="J29" s="262">
        <f t="shared" si="12"/>
        <v>4314119.53</v>
      </c>
      <c r="K29" s="262">
        <f t="shared" si="13"/>
        <v>7442204.1708095567</v>
      </c>
      <c r="L29" s="262">
        <f t="shared" si="14"/>
        <v>3449947.5918254661</v>
      </c>
      <c r="M29" s="221">
        <f t="shared" si="15"/>
        <v>17012903.190000001</v>
      </c>
      <c r="N29" s="218">
        <f t="shared" si="5"/>
        <v>32219174.482635025</v>
      </c>
      <c r="P29" s="271" t="s">
        <v>13</v>
      </c>
      <c r="Q29" s="262">
        <v>4021820.05</v>
      </c>
      <c r="R29" s="262">
        <v>7149681.4699999997</v>
      </c>
      <c r="S29" s="262">
        <v>3150866.5058017666</v>
      </c>
      <c r="T29" s="221">
        <v>16676727.674164966</v>
      </c>
      <c r="U29" s="218">
        <f t="shared" si="16"/>
        <v>30999095.699966732</v>
      </c>
      <c r="W29" s="271" t="s">
        <v>13</v>
      </c>
      <c r="X29" s="279">
        <f t="shared" si="7"/>
        <v>-292299.48000000045</v>
      </c>
      <c r="Y29" s="279">
        <f t="shared" si="8"/>
        <v>-292522.70080955699</v>
      </c>
      <c r="Z29" s="279">
        <f t="shared" si="9"/>
        <v>-299081.08602369949</v>
      </c>
      <c r="AA29" s="280">
        <f t="shared" si="10"/>
        <v>-336175.51583503559</v>
      </c>
      <c r="AB29" s="281">
        <f t="shared" si="17"/>
        <v>-1220078.7826682925</v>
      </c>
    </row>
    <row r="30" spans="1:28">
      <c r="A30" s="68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6">
        <f t="shared" si="0"/>
        <v>82727870.7849188</v>
      </c>
      <c r="I30" s="271" t="s">
        <v>14</v>
      </c>
      <c r="J30" s="262">
        <f t="shared" si="12"/>
        <v>12411050.140000001</v>
      </c>
      <c r="K30" s="262">
        <f t="shared" si="13"/>
        <v>0</v>
      </c>
      <c r="L30" s="262">
        <f t="shared" si="14"/>
        <v>16976111.196089759</v>
      </c>
      <c r="M30" s="221">
        <f t="shared" si="15"/>
        <v>10830983.9</v>
      </c>
      <c r="N30" s="218">
        <f t="shared" si="5"/>
        <v>40218145.236089759</v>
      </c>
      <c r="P30" s="271" t="s">
        <v>14</v>
      </c>
      <c r="Q30" s="262">
        <v>12654853.73</v>
      </c>
      <c r="R30" s="262">
        <v>0</v>
      </c>
      <c r="S30" s="262">
        <v>18476531.852501161</v>
      </c>
      <c r="T30" s="221">
        <v>14122982.113210045</v>
      </c>
      <c r="U30" s="218">
        <f t="shared" si="16"/>
        <v>45254367.69571121</v>
      </c>
      <c r="W30" s="271" t="s">
        <v>14</v>
      </c>
      <c r="X30" s="279">
        <f t="shared" si="7"/>
        <v>243803.58999999985</v>
      </c>
      <c r="Y30" s="279">
        <f t="shared" si="8"/>
        <v>0</v>
      </c>
      <c r="Z30" s="279">
        <f t="shared" si="9"/>
        <v>1500420.6564114019</v>
      </c>
      <c r="AA30" s="280">
        <f t="shared" si="10"/>
        <v>3291998.2132100444</v>
      </c>
      <c r="AB30" s="281">
        <f t="shared" si="17"/>
        <v>5036222.4596214462</v>
      </c>
    </row>
    <row r="31" spans="1:28">
      <c r="A31" s="68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6">
        <f t="shared" si="0"/>
        <v>8222745.674964238</v>
      </c>
      <c r="I31" s="271" t="s">
        <v>15</v>
      </c>
      <c r="J31" s="262">
        <f t="shared" si="12"/>
        <v>3547003.56</v>
      </c>
      <c r="K31" s="262">
        <f t="shared" si="13"/>
        <v>0</v>
      </c>
      <c r="L31" s="262">
        <f t="shared" si="14"/>
        <v>2168457.5281603355</v>
      </c>
      <c r="M31" s="221">
        <f t="shared" si="15"/>
        <v>4257430.12</v>
      </c>
      <c r="N31" s="218">
        <f t="shared" si="5"/>
        <v>9972891.2081603371</v>
      </c>
      <c r="P31" s="271" t="s">
        <v>15</v>
      </c>
      <c r="Q31" s="262">
        <v>3579153.56</v>
      </c>
      <c r="R31" s="262">
        <v>0</v>
      </c>
      <c r="S31" s="262">
        <v>2627805.8082002969</v>
      </c>
      <c r="T31" s="221">
        <v>4484336.1714675697</v>
      </c>
      <c r="U31" s="218">
        <f t="shared" si="16"/>
        <v>10691295.539667867</v>
      </c>
      <c r="W31" s="271" t="s">
        <v>15</v>
      </c>
      <c r="X31" s="279">
        <f t="shared" si="7"/>
        <v>32150</v>
      </c>
      <c r="Y31" s="279">
        <f t="shared" si="8"/>
        <v>0</v>
      </c>
      <c r="Z31" s="279">
        <f t="shared" si="9"/>
        <v>459348.28003996145</v>
      </c>
      <c r="AA31" s="280">
        <f t="shared" si="10"/>
        <v>226906.05146756954</v>
      </c>
      <c r="AB31" s="281">
        <f t="shared" si="17"/>
        <v>718404.33150753099</v>
      </c>
    </row>
    <row r="32" spans="1:28">
      <c r="A32" s="68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6">
        <f t="shared" si="0"/>
        <v>13020666.235880656</v>
      </c>
      <c r="I32" s="271" t="s">
        <v>16</v>
      </c>
      <c r="J32" s="262">
        <f t="shared" si="12"/>
        <v>2748931.17</v>
      </c>
      <c r="K32" s="262">
        <f t="shared" si="13"/>
        <v>0</v>
      </c>
      <c r="L32" s="262">
        <f t="shared" si="14"/>
        <v>835253.84726699162</v>
      </c>
      <c r="M32" s="221">
        <f t="shared" si="15"/>
        <v>4616317.99</v>
      </c>
      <c r="N32" s="218">
        <f t="shared" si="5"/>
        <v>8200503.0072669918</v>
      </c>
      <c r="P32" s="271" t="s">
        <v>16</v>
      </c>
      <c r="Q32" s="262">
        <v>2756671.43</v>
      </c>
      <c r="R32" s="262">
        <v>0</v>
      </c>
      <c r="S32" s="262">
        <v>904930.12946649513</v>
      </c>
      <c r="T32" s="221">
        <v>4849072.1731425952</v>
      </c>
      <c r="U32" s="218">
        <f t="shared" si="16"/>
        <v>8510673.7326090895</v>
      </c>
      <c r="W32" s="271" t="s">
        <v>16</v>
      </c>
      <c r="X32" s="279">
        <f t="shared" si="7"/>
        <v>7740.2600000002421</v>
      </c>
      <c r="Y32" s="279">
        <f t="shared" si="8"/>
        <v>0</v>
      </c>
      <c r="Z32" s="279">
        <f t="shared" si="9"/>
        <v>69676.282199503505</v>
      </c>
      <c r="AA32" s="280">
        <f t="shared" si="10"/>
        <v>232754.18314259499</v>
      </c>
      <c r="AB32" s="281">
        <f t="shared" si="17"/>
        <v>310170.72534209874</v>
      </c>
    </row>
    <row r="33" spans="1:28">
      <c r="A33" s="68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6">
        <f t="shared" si="0"/>
        <v>8940390.1838691328</v>
      </c>
      <c r="I33" s="271" t="s">
        <v>17</v>
      </c>
      <c r="J33" s="262">
        <f t="shared" si="12"/>
        <v>9749997.0600000005</v>
      </c>
      <c r="K33" s="262">
        <f t="shared" si="13"/>
        <v>0</v>
      </c>
      <c r="L33" s="262">
        <f t="shared" si="14"/>
        <v>12530742.812994475</v>
      </c>
      <c r="M33" s="221">
        <f t="shared" si="15"/>
        <v>11742400.09</v>
      </c>
      <c r="N33" s="218">
        <f t="shared" si="5"/>
        <v>34023139.962994471</v>
      </c>
      <c r="P33" s="271" t="s">
        <v>17</v>
      </c>
      <c r="Q33" s="262">
        <v>9990382.3499999996</v>
      </c>
      <c r="R33" s="262">
        <v>0</v>
      </c>
      <c r="S33" s="262">
        <v>13746468.436023457</v>
      </c>
      <c r="T33" s="221">
        <v>16206339.909596281</v>
      </c>
      <c r="U33" s="218">
        <f t="shared" si="16"/>
        <v>39943190.69561974</v>
      </c>
      <c r="W33" s="271" t="s">
        <v>17</v>
      </c>
      <c r="X33" s="279">
        <f t="shared" si="7"/>
        <v>240385.28999999911</v>
      </c>
      <c r="Y33" s="279">
        <f t="shared" si="8"/>
        <v>0</v>
      </c>
      <c r="Z33" s="279">
        <f t="shared" si="9"/>
        <v>1215725.6230289824</v>
      </c>
      <c r="AA33" s="280">
        <f t="shared" si="10"/>
        <v>4463939.8195962813</v>
      </c>
      <c r="AB33" s="281">
        <f t="shared" si="17"/>
        <v>5920050.7326252628</v>
      </c>
    </row>
    <row r="34" spans="1:28">
      <c r="A34" s="68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6">
        <f t="shared" si="0"/>
        <v>10256030.16766124</v>
      </c>
      <c r="I34" s="271" t="s">
        <v>19</v>
      </c>
      <c r="J34" s="262">
        <f t="shared" si="12"/>
        <v>3396546.93</v>
      </c>
      <c r="K34" s="262">
        <f t="shared" si="13"/>
        <v>0</v>
      </c>
      <c r="L34" s="262">
        <f t="shared" si="14"/>
        <v>1917115.2532814068</v>
      </c>
      <c r="M34" s="221">
        <f t="shared" si="15"/>
        <v>5042213.4000000004</v>
      </c>
      <c r="N34" s="218">
        <f t="shared" si="5"/>
        <v>10355875.583281407</v>
      </c>
      <c r="P34" s="271" t="s">
        <v>19</v>
      </c>
      <c r="Q34" s="262">
        <v>3428899.93</v>
      </c>
      <c r="R34" s="262">
        <v>0</v>
      </c>
      <c r="S34" s="262">
        <v>2314156.6694885492</v>
      </c>
      <c r="T34" s="221">
        <v>5626028.1148718223</v>
      </c>
      <c r="U34" s="218">
        <f t="shared" si="16"/>
        <v>11369084.714360371</v>
      </c>
      <c r="W34" s="271" t="s">
        <v>19</v>
      </c>
      <c r="X34" s="279">
        <f t="shared" si="7"/>
        <v>32353</v>
      </c>
      <c r="Y34" s="279">
        <f t="shared" si="8"/>
        <v>0</v>
      </c>
      <c r="Z34" s="279">
        <f t="shared" si="9"/>
        <v>397041.41620714241</v>
      </c>
      <c r="AA34" s="280">
        <f t="shared" si="10"/>
        <v>583814.71487182193</v>
      </c>
      <c r="AB34" s="281">
        <f t="shared" si="17"/>
        <v>1013209.1310789643</v>
      </c>
    </row>
    <row r="35" spans="1:28">
      <c r="A35" s="68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6">
        <f t="shared" si="0"/>
        <v>9990350.7476035319</v>
      </c>
      <c r="I35" s="271" t="s">
        <v>21</v>
      </c>
      <c r="J35" s="262">
        <f t="shared" si="12"/>
        <v>5014460.3</v>
      </c>
      <c r="K35" s="262">
        <f t="shared" si="13"/>
        <v>0</v>
      </c>
      <c r="L35" s="262">
        <f t="shared" si="14"/>
        <v>4619887.6922569042</v>
      </c>
      <c r="M35" s="221">
        <f t="shared" si="15"/>
        <v>6670648.1900000004</v>
      </c>
      <c r="N35" s="218">
        <f t="shared" si="5"/>
        <v>16304996.182256903</v>
      </c>
      <c r="P35" s="271" t="s">
        <v>21</v>
      </c>
      <c r="Q35" s="262">
        <v>5110801.75</v>
      </c>
      <c r="R35" s="262">
        <v>0</v>
      </c>
      <c r="S35" s="262">
        <v>5084065.160310776</v>
      </c>
      <c r="T35" s="221">
        <v>8390780.4269991964</v>
      </c>
      <c r="U35" s="218">
        <f t="shared" si="16"/>
        <v>18585647.337309971</v>
      </c>
      <c r="W35" s="271" t="s">
        <v>21</v>
      </c>
      <c r="X35" s="279">
        <f t="shared" si="7"/>
        <v>96341.450000000186</v>
      </c>
      <c r="Y35" s="279">
        <f t="shared" si="8"/>
        <v>0</v>
      </c>
      <c r="Z35" s="279">
        <f t="shared" si="9"/>
        <v>464177.46805387177</v>
      </c>
      <c r="AA35" s="280">
        <f t="shared" si="10"/>
        <v>1720132.236999196</v>
      </c>
      <c r="AB35" s="281">
        <f t="shared" si="17"/>
        <v>2280651.155053068</v>
      </c>
    </row>
    <row r="36" spans="1:28">
      <c r="A36" s="68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6">
        <f t="shared" si="0"/>
        <v>69341002.660094678</v>
      </c>
      <c r="I36" s="271" t="s">
        <v>22</v>
      </c>
      <c r="J36" s="262">
        <f t="shared" si="12"/>
        <v>2497137.23</v>
      </c>
      <c r="K36" s="262">
        <f t="shared" si="13"/>
        <v>0</v>
      </c>
      <c r="L36" s="262">
        <f t="shared" si="14"/>
        <v>414624.57763109758</v>
      </c>
      <c r="M36" s="221">
        <f t="shared" si="15"/>
        <v>4342230.63</v>
      </c>
      <c r="N36" s="218">
        <f t="shared" si="5"/>
        <v>7253992.4376310976</v>
      </c>
      <c r="P36" s="271" t="s">
        <v>22</v>
      </c>
      <c r="Q36" s="262">
        <v>2489961.59</v>
      </c>
      <c r="R36" s="262">
        <v>0</v>
      </c>
      <c r="S36" s="262">
        <v>2579267.2832715013</v>
      </c>
      <c r="T36" s="221">
        <v>4309832.6979241073</v>
      </c>
      <c r="U36" s="218">
        <f t="shared" si="16"/>
        <v>9379061.571195608</v>
      </c>
      <c r="W36" s="271" t="s">
        <v>22</v>
      </c>
      <c r="X36" s="279">
        <f t="shared" si="7"/>
        <v>-7175.6400000001304</v>
      </c>
      <c r="Y36" s="279">
        <f t="shared" si="8"/>
        <v>0</v>
      </c>
      <c r="Z36" s="279">
        <f t="shared" si="9"/>
        <v>2164642.7056404036</v>
      </c>
      <c r="AA36" s="280">
        <f t="shared" si="10"/>
        <v>-32397.932075892575</v>
      </c>
      <c r="AB36" s="281">
        <f t="shared" si="17"/>
        <v>2125069.1335645108</v>
      </c>
    </row>
    <row r="37" spans="1:28">
      <c r="A37" s="68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6">
        <f t="shared" si="0"/>
        <v>12396270.237375572</v>
      </c>
      <c r="I37" s="271" t="s">
        <v>23</v>
      </c>
      <c r="J37" s="262">
        <f t="shared" si="12"/>
        <v>4490733.6500000004</v>
      </c>
      <c r="K37" s="262">
        <f t="shared" si="13"/>
        <v>0</v>
      </c>
      <c r="L37" s="262">
        <f t="shared" si="14"/>
        <v>3744986.7349527162</v>
      </c>
      <c r="M37" s="221">
        <f t="shared" si="15"/>
        <v>5189100</v>
      </c>
      <c r="N37" s="218">
        <f t="shared" si="5"/>
        <v>13424820.384952717</v>
      </c>
      <c r="P37" s="271" t="s">
        <v>23</v>
      </c>
      <c r="Q37" s="262">
        <v>4542437.33</v>
      </c>
      <c r="R37" s="262">
        <v>0</v>
      </c>
      <c r="S37" s="262">
        <v>4075084.6434160983</v>
      </c>
      <c r="T37" s="221">
        <v>5783912.209982574</v>
      </c>
      <c r="U37" s="218">
        <f t="shared" si="16"/>
        <v>14401434.183398671</v>
      </c>
      <c r="W37" s="271" t="s">
        <v>23</v>
      </c>
      <c r="X37" s="279">
        <f t="shared" si="7"/>
        <v>51703.679999999702</v>
      </c>
      <c r="Y37" s="279">
        <f t="shared" si="8"/>
        <v>0</v>
      </c>
      <c r="Z37" s="279">
        <f t="shared" si="9"/>
        <v>330097.90846338216</v>
      </c>
      <c r="AA37" s="280">
        <f t="shared" si="10"/>
        <v>594812.20998257399</v>
      </c>
      <c r="AB37" s="281">
        <f t="shared" si="17"/>
        <v>976613.79844595585</v>
      </c>
    </row>
    <row r="38" spans="1:28">
      <c r="A38" s="68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6">
        <f t="shared" ref="F38:F56" si="18">SUM(B38:E38)</f>
        <v>41766528.133140698</v>
      </c>
      <c r="I38" s="271" t="s">
        <v>24</v>
      </c>
      <c r="J38" s="262">
        <f t="shared" si="12"/>
        <v>4649174.22</v>
      </c>
      <c r="K38" s="262">
        <f t="shared" si="13"/>
        <v>8045943.4176237639</v>
      </c>
      <c r="L38" s="262">
        <f t="shared" si="14"/>
        <v>4009666.4382386375</v>
      </c>
      <c r="M38" s="221">
        <f t="shared" si="15"/>
        <v>23335462.609999999</v>
      </c>
      <c r="N38" s="218">
        <f t="shared" si="5"/>
        <v>40040246.6858624</v>
      </c>
      <c r="P38" s="271" t="s">
        <v>24</v>
      </c>
      <c r="Q38" s="262">
        <v>4272366.3099999996</v>
      </c>
      <c r="R38" s="262">
        <v>7698938.29</v>
      </c>
      <c r="S38" s="262">
        <v>4282795.5591065371</v>
      </c>
      <c r="T38" s="221">
        <v>23971150.933050621</v>
      </c>
      <c r="U38" s="218">
        <f t="shared" si="16"/>
        <v>40225251.092157155</v>
      </c>
      <c r="W38" s="271" t="s">
        <v>24</v>
      </c>
      <c r="X38" s="279">
        <f t="shared" si="7"/>
        <v>-376807.91000000015</v>
      </c>
      <c r="Y38" s="279">
        <f t="shared" si="8"/>
        <v>-347005.12762376387</v>
      </c>
      <c r="Z38" s="279">
        <f t="shared" si="9"/>
        <v>273129.12086789962</v>
      </c>
      <c r="AA38" s="280">
        <f t="shared" si="10"/>
        <v>635688.3230506219</v>
      </c>
      <c r="AB38" s="281">
        <f t="shared" si="17"/>
        <v>185004.4062947575</v>
      </c>
    </row>
    <row r="39" spans="1:28">
      <c r="A39" s="68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6">
        <f t="shared" si="18"/>
        <v>11931617.731947402</v>
      </c>
      <c r="I39" s="271" t="s">
        <v>26</v>
      </c>
      <c r="J39" s="262">
        <f t="shared" si="12"/>
        <v>2849191.32</v>
      </c>
      <c r="K39" s="262">
        <f t="shared" si="13"/>
        <v>0</v>
      </c>
      <c r="L39" s="262">
        <f t="shared" si="14"/>
        <v>1002741.4149642385</v>
      </c>
      <c r="M39" s="221">
        <f t="shared" si="15"/>
        <v>4370812.9400000004</v>
      </c>
      <c r="N39" s="218">
        <f t="shared" si="5"/>
        <v>8222745.6749642389</v>
      </c>
      <c r="P39" s="271" t="s">
        <v>26</v>
      </c>
      <c r="Q39" s="262">
        <v>2859897.23</v>
      </c>
      <c r="R39" s="262">
        <v>0</v>
      </c>
      <c r="S39" s="262">
        <v>2416180.5686493949</v>
      </c>
      <c r="T39" s="221">
        <v>4523510.420630387</v>
      </c>
      <c r="U39" s="218">
        <f t="shared" si="16"/>
        <v>9799588.219279781</v>
      </c>
      <c r="W39" s="271" t="s">
        <v>26</v>
      </c>
      <c r="X39" s="279">
        <f t="shared" si="7"/>
        <v>10705.910000000149</v>
      </c>
      <c r="Y39" s="279">
        <f t="shared" si="8"/>
        <v>0</v>
      </c>
      <c r="Z39" s="279">
        <f t="shared" si="9"/>
        <v>1413439.1536851563</v>
      </c>
      <c r="AA39" s="280">
        <f t="shared" si="10"/>
        <v>152697.48063038662</v>
      </c>
      <c r="AB39" s="281">
        <f t="shared" si="17"/>
        <v>1576842.544315543</v>
      </c>
    </row>
    <row r="40" spans="1:28">
      <c r="A40" s="68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6">
        <f t="shared" si="18"/>
        <v>10952012.288587023</v>
      </c>
      <c r="I40" s="271" t="s">
        <v>27</v>
      </c>
      <c r="J40" s="262">
        <f t="shared" si="12"/>
        <v>3644488.65</v>
      </c>
      <c r="K40" s="262">
        <f t="shared" si="13"/>
        <v>0</v>
      </c>
      <c r="L40" s="262">
        <f t="shared" si="14"/>
        <v>2331309.2858806569</v>
      </c>
      <c r="M40" s="221">
        <f t="shared" si="15"/>
        <v>7044868.2999999998</v>
      </c>
      <c r="N40" s="218">
        <f t="shared" si="5"/>
        <v>13020666.235880658</v>
      </c>
      <c r="P40" s="271" t="s">
        <v>27</v>
      </c>
      <c r="Q40" s="262">
        <v>3663423.1</v>
      </c>
      <c r="R40" s="262">
        <v>0</v>
      </c>
      <c r="S40" s="262">
        <v>2514627.6235656175</v>
      </c>
      <c r="T40" s="221">
        <v>8106173.5713390261</v>
      </c>
      <c r="U40" s="218">
        <f t="shared" si="16"/>
        <v>14284224.294904644</v>
      </c>
      <c r="W40" s="271" t="s">
        <v>27</v>
      </c>
      <c r="X40" s="279">
        <f t="shared" si="7"/>
        <v>18934.450000000186</v>
      </c>
      <c r="Y40" s="279">
        <f t="shared" si="8"/>
        <v>0</v>
      </c>
      <c r="Z40" s="279">
        <f t="shared" si="9"/>
        <v>183318.33768496057</v>
      </c>
      <c r="AA40" s="280">
        <f t="shared" si="10"/>
        <v>1061305.2713390263</v>
      </c>
      <c r="AB40" s="281">
        <f t="shared" si="17"/>
        <v>1263558.059023987</v>
      </c>
    </row>
    <row r="41" spans="1:28">
      <c r="A41" s="68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6">
        <f t="shared" si="18"/>
        <v>12124386.552491684</v>
      </c>
      <c r="I41" s="271" t="s">
        <v>28</v>
      </c>
      <c r="J41" s="262">
        <f t="shared" si="12"/>
        <v>3158532.89</v>
      </c>
      <c r="K41" s="262">
        <f t="shared" si="13"/>
        <v>0</v>
      </c>
      <c r="L41" s="262">
        <f t="shared" si="14"/>
        <v>1519505.7138691328</v>
      </c>
      <c r="M41" s="221">
        <f t="shared" si="15"/>
        <v>4262351.58</v>
      </c>
      <c r="N41" s="218">
        <f t="shared" si="5"/>
        <v>8940390.1838691328</v>
      </c>
      <c r="P41" s="271" t="s">
        <v>28</v>
      </c>
      <c r="Q41" s="262">
        <v>3180167.38</v>
      </c>
      <c r="R41" s="262">
        <v>0</v>
      </c>
      <c r="S41" s="262">
        <v>2212342.7648131964</v>
      </c>
      <c r="T41" s="221">
        <v>4448426.443068319</v>
      </c>
      <c r="U41" s="218">
        <f t="shared" si="16"/>
        <v>9840936.5878815167</v>
      </c>
      <c r="W41" s="271" t="s">
        <v>28</v>
      </c>
      <c r="X41" s="279">
        <f t="shared" si="7"/>
        <v>21634.489999999758</v>
      </c>
      <c r="Y41" s="279">
        <f t="shared" si="8"/>
        <v>0</v>
      </c>
      <c r="Z41" s="279">
        <f t="shared" si="9"/>
        <v>692837.05094406358</v>
      </c>
      <c r="AA41" s="280">
        <f t="shared" si="10"/>
        <v>186074.86306831893</v>
      </c>
      <c r="AB41" s="281">
        <f t="shared" si="17"/>
        <v>900546.40401238226</v>
      </c>
    </row>
    <row r="42" spans="1:28">
      <c r="A42" s="68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6">
        <f t="shared" si="18"/>
        <v>13034452.097696923</v>
      </c>
      <c r="I42" s="271" t="s">
        <v>29</v>
      </c>
      <c r="J42" s="262">
        <f t="shared" si="12"/>
        <v>3251421.63</v>
      </c>
      <c r="K42" s="262">
        <f t="shared" si="13"/>
        <v>0</v>
      </c>
      <c r="L42" s="262">
        <f t="shared" si="14"/>
        <v>1674679.1176612398</v>
      </c>
      <c r="M42" s="221">
        <f t="shared" si="15"/>
        <v>5329929.42</v>
      </c>
      <c r="N42" s="218">
        <f t="shared" si="5"/>
        <v>10256030.167661238</v>
      </c>
      <c r="P42" s="271" t="s">
        <v>29</v>
      </c>
      <c r="Q42" s="262">
        <v>3282604.13</v>
      </c>
      <c r="R42" s="262">
        <v>0</v>
      </c>
      <c r="S42" s="262">
        <v>1838584.382485369</v>
      </c>
      <c r="T42" s="221">
        <v>6053977.1095141228</v>
      </c>
      <c r="U42" s="218">
        <f t="shared" si="16"/>
        <v>11175165.621999491</v>
      </c>
      <c r="W42" s="271" t="s">
        <v>29</v>
      </c>
      <c r="X42" s="279">
        <f t="shared" si="7"/>
        <v>31182.5</v>
      </c>
      <c r="Y42" s="279">
        <f t="shared" si="8"/>
        <v>0</v>
      </c>
      <c r="Z42" s="279">
        <f t="shared" si="9"/>
        <v>163905.26482412918</v>
      </c>
      <c r="AA42" s="280">
        <f t="shared" si="10"/>
        <v>724047.6895141229</v>
      </c>
      <c r="AB42" s="281">
        <f t="shared" si="17"/>
        <v>919135.45433825208</v>
      </c>
    </row>
    <row r="43" spans="1:28">
      <c r="A43" s="68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6">
        <f t="shared" si="18"/>
        <v>32792296.319768399</v>
      </c>
      <c r="I43" s="271" t="s">
        <v>30</v>
      </c>
      <c r="J43" s="262">
        <f t="shared" si="12"/>
        <v>3416176.19</v>
      </c>
      <c r="K43" s="262">
        <f t="shared" si="13"/>
        <v>0</v>
      </c>
      <c r="L43" s="262">
        <f t="shared" si="14"/>
        <v>1949906.5176035317</v>
      </c>
      <c r="M43" s="221">
        <f t="shared" si="15"/>
        <v>4624268.04</v>
      </c>
      <c r="N43" s="218">
        <f t="shared" si="5"/>
        <v>9990350.7476035319</v>
      </c>
      <c r="P43" s="271" t="s">
        <v>30</v>
      </c>
      <c r="Q43" s="262">
        <v>3449773.37</v>
      </c>
      <c r="R43" s="262">
        <v>0</v>
      </c>
      <c r="S43" s="262">
        <v>2135349.105516287</v>
      </c>
      <c r="T43" s="221">
        <v>5059782.1497001778</v>
      </c>
      <c r="U43" s="218">
        <f t="shared" si="16"/>
        <v>10644904.625216465</v>
      </c>
      <c r="W43" s="271" t="s">
        <v>30</v>
      </c>
      <c r="X43" s="279">
        <f t="shared" si="7"/>
        <v>33597.180000000168</v>
      </c>
      <c r="Y43" s="279">
        <f t="shared" si="8"/>
        <v>0</v>
      </c>
      <c r="Z43" s="279">
        <f t="shared" si="9"/>
        <v>185442.58791275532</v>
      </c>
      <c r="AA43" s="280">
        <f t="shared" si="10"/>
        <v>435514.1097001778</v>
      </c>
      <c r="AB43" s="281">
        <f t="shared" si="17"/>
        <v>654553.87761293328</v>
      </c>
    </row>
    <row r="44" spans="1:28">
      <c r="A44" s="68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6">
        <f t="shared" si="18"/>
        <v>200522418.15699717</v>
      </c>
      <c r="I44" s="271" t="s">
        <v>32</v>
      </c>
      <c r="J44" s="262">
        <f t="shared" si="12"/>
        <v>4171574.47</v>
      </c>
      <c r="K44" s="262">
        <f t="shared" si="13"/>
        <v>0</v>
      </c>
      <c r="L44" s="262">
        <f t="shared" si="14"/>
        <v>3211821.8273755731</v>
      </c>
      <c r="M44" s="221">
        <f t="shared" si="15"/>
        <v>5012873.9400000004</v>
      </c>
      <c r="N44" s="218">
        <f t="shared" si="5"/>
        <v>12396270.237375572</v>
      </c>
      <c r="P44" s="271" t="s">
        <v>32</v>
      </c>
      <c r="Q44" s="262">
        <v>4217740.58</v>
      </c>
      <c r="R44" s="262">
        <v>0</v>
      </c>
      <c r="S44" s="262">
        <v>4879372.4781305455</v>
      </c>
      <c r="T44" s="221">
        <v>5554505.4326881915</v>
      </c>
      <c r="U44" s="218">
        <f t="shared" si="16"/>
        <v>14651618.490818737</v>
      </c>
      <c r="W44" s="271" t="s">
        <v>32</v>
      </c>
      <c r="X44" s="279">
        <f t="shared" si="7"/>
        <v>46166.10999999987</v>
      </c>
      <c r="Y44" s="279">
        <f t="shared" si="8"/>
        <v>0</v>
      </c>
      <c r="Z44" s="279">
        <f t="shared" si="9"/>
        <v>1667550.6507549724</v>
      </c>
      <c r="AA44" s="280">
        <f t="shared" si="10"/>
        <v>541631.49268819112</v>
      </c>
      <c r="AB44" s="281">
        <f t="shared" si="17"/>
        <v>2255348.2534431634</v>
      </c>
    </row>
    <row r="45" spans="1:28">
      <c r="A45" s="68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6">
        <f t="shared" si="18"/>
        <v>7608852.3304030271</v>
      </c>
      <c r="I45" s="271" t="s">
        <v>33</v>
      </c>
      <c r="J45" s="262">
        <f t="shared" si="12"/>
        <v>9547650.5700000003</v>
      </c>
      <c r="K45" s="262">
        <f t="shared" si="13"/>
        <v>0</v>
      </c>
      <c r="L45" s="262">
        <f t="shared" si="14"/>
        <v>12192716.9831407</v>
      </c>
      <c r="M45" s="221">
        <f t="shared" si="15"/>
        <v>20026160.579999998</v>
      </c>
      <c r="N45" s="218">
        <f t="shared" si="5"/>
        <v>41766528.133140698</v>
      </c>
      <c r="P45" s="271" t="s">
        <v>33</v>
      </c>
      <c r="Q45" s="262">
        <v>9783762.1400000006</v>
      </c>
      <c r="R45" s="262">
        <v>0</v>
      </c>
      <c r="S45" s="262">
        <v>14166911.147800267</v>
      </c>
      <c r="T45" s="221">
        <v>27698343.32120087</v>
      </c>
      <c r="U45" s="218">
        <f t="shared" si="16"/>
        <v>51649016.609001137</v>
      </c>
      <c r="W45" s="271" t="s">
        <v>33</v>
      </c>
      <c r="X45" s="279">
        <f t="shared" si="7"/>
        <v>236111.5700000003</v>
      </c>
      <c r="Y45" s="279">
        <f t="shared" si="8"/>
        <v>0</v>
      </c>
      <c r="Z45" s="279">
        <f t="shared" si="9"/>
        <v>1974194.1646595672</v>
      </c>
      <c r="AA45" s="280">
        <f t="shared" si="10"/>
        <v>7672182.7412008718</v>
      </c>
      <c r="AB45" s="281">
        <f t="shared" si="17"/>
        <v>9882488.4758604392</v>
      </c>
    </row>
    <row r="46" spans="1:28">
      <c r="A46" s="68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6">
        <f t="shared" si="18"/>
        <v>53058395.370215394</v>
      </c>
      <c r="I46" s="271" t="s">
        <v>34</v>
      </c>
      <c r="J46" s="262">
        <f t="shared" si="12"/>
        <v>4014025.97</v>
      </c>
      <c r="K46" s="262">
        <f t="shared" si="13"/>
        <v>0</v>
      </c>
      <c r="L46" s="262">
        <f t="shared" si="14"/>
        <v>2948632.3719474021</v>
      </c>
      <c r="M46" s="221">
        <f t="shared" si="15"/>
        <v>4968959.3899999997</v>
      </c>
      <c r="N46" s="218">
        <f t="shared" si="5"/>
        <v>11931617.731947403</v>
      </c>
      <c r="P46" s="271" t="s">
        <v>34</v>
      </c>
      <c r="Q46" s="262">
        <v>4067941.47</v>
      </c>
      <c r="R46" s="262">
        <v>0</v>
      </c>
      <c r="S46" s="262">
        <v>3232742.8847484374</v>
      </c>
      <c r="T46" s="221">
        <v>5670841.0817171661</v>
      </c>
      <c r="U46" s="218">
        <f t="shared" si="16"/>
        <v>12971525.436465602</v>
      </c>
      <c r="W46" s="271" t="s">
        <v>34</v>
      </c>
      <c r="X46" s="279">
        <f t="shared" si="7"/>
        <v>53915.5</v>
      </c>
      <c r="Y46" s="279">
        <f t="shared" si="8"/>
        <v>0</v>
      </c>
      <c r="Z46" s="279">
        <f t="shared" si="9"/>
        <v>284110.51280103531</v>
      </c>
      <c r="AA46" s="280">
        <f t="shared" si="10"/>
        <v>701881.69171716645</v>
      </c>
      <c r="AB46" s="281">
        <f t="shared" si="17"/>
        <v>1039907.7045182018</v>
      </c>
    </row>
    <row r="47" spans="1:28">
      <c r="A47" s="68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6">
        <f t="shared" si="18"/>
        <v>9511770.0064971875</v>
      </c>
      <c r="I47" s="271" t="s">
        <v>35</v>
      </c>
      <c r="J47" s="262">
        <f t="shared" si="12"/>
        <v>3904924.6</v>
      </c>
      <c r="K47" s="262">
        <f t="shared" si="13"/>
        <v>0</v>
      </c>
      <c r="L47" s="262">
        <f t="shared" si="14"/>
        <v>2766375.2885870226</v>
      </c>
      <c r="M47" s="221">
        <f t="shared" si="15"/>
        <v>4280712.4000000004</v>
      </c>
      <c r="N47" s="218">
        <f t="shared" si="5"/>
        <v>10952012.288587023</v>
      </c>
      <c r="P47" s="271" t="s">
        <v>35</v>
      </c>
      <c r="Q47" s="262">
        <v>3929934.02</v>
      </c>
      <c r="R47" s="262">
        <v>0</v>
      </c>
      <c r="S47" s="262">
        <v>3099472.9192519151</v>
      </c>
      <c r="T47" s="221">
        <v>4283419.7572006918</v>
      </c>
      <c r="U47" s="218">
        <f t="shared" si="16"/>
        <v>11312826.696452606</v>
      </c>
      <c r="W47" s="271" t="s">
        <v>35</v>
      </c>
      <c r="X47" s="279">
        <f t="shared" si="7"/>
        <v>25009.419999999925</v>
      </c>
      <c r="Y47" s="279">
        <f t="shared" si="8"/>
        <v>0</v>
      </c>
      <c r="Z47" s="279">
        <f t="shared" si="9"/>
        <v>333097.63066489249</v>
      </c>
      <c r="AA47" s="280">
        <f t="shared" si="10"/>
        <v>2707.3572006914765</v>
      </c>
      <c r="AB47" s="281">
        <f t="shared" si="17"/>
        <v>360814.4078655839</v>
      </c>
    </row>
    <row r="48" spans="1:28">
      <c r="A48" s="68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6">
        <f t="shared" si="18"/>
        <v>10470437.772391934</v>
      </c>
      <c r="I48" s="271" t="s">
        <v>36</v>
      </c>
      <c r="J48" s="262">
        <f t="shared" si="12"/>
        <v>3906670.95</v>
      </c>
      <c r="K48" s="262">
        <f t="shared" si="13"/>
        <v>0</v>
      </c>
      <c r="L48" s="262">
        <f t="shared" si="14"/>
        <v>2769292.6124916826</v>
      </c>
      <c r="M48" s="221">
        <f t="shared" si="15"/>
        <v>5448422.9900000002</v>
      </c>
      <c r="N48" s="218">
        <f t="shared" si="5"/>
        <v>12124386.552491684</v>
      </c>
      <c r="P48" s="271" t="s">
        <v>36</v>
      </c>
      <c r="Q48" s="262">
        <v>3942363.2</v>
      </c>
      <c r="R48" s="262">
        <v>0</v>
      </c>
      <c r="S48" s="262">
        <v>3009811.9212916601</v>
      </c>
      <c r="T48" s="221">
        <v>6076235.2056293599</v>
      </c>
      <c r="U48" s="218">
        <f t="shared" si="16"/>
        <v>13028410.32692102</v>
      </c>
      <c r="W48" s="271" t="s">
        <v>36</v>
      </c>
      <c r="X48" s="279">
        <f t="shared" si="7"/>
        <v>35692.25</v>
      </c>
      <c r="Y48" s="279">
        <f t="shared" si="8"/>
        <v>0</v>
      </c>
      <c r="Z48" s="279">
        <f t="shared" si="9"/>
        <v>240519.30879997741</v>
      </c>
      <c r="AA48" s="280">
        <f t="shared" si="10"/>
        <v>627812.21562935971</v>
      </c>
      <c r="AB48" s="281">
        <f t="shared" si="17"/>
        <v>904023.77442933712</v>
      </c>
    </row>
    <row r="49" spans="1:28">
      <c r="A49" s="68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6">
        <f t="shared" si="18"/>
        <v>19851989.225443441</v>
      </c>
      <c r="I49" s="271" t="s">
        <v>37</v>
      </c>
      <c r="J49" s="262">
        <f t="shared" si="12"/>
        <v>4361143.1900000004</v>
      </c>
      <c r="K49" s="262">
        <f t="shared" si="13"/>
        <v>0</v>
      </c>
      <c r="L49" s="262">
        <f t="shared" si="14"/>
        <v>3528502.0276969215</v>
      </c>
      <c r="M49" s="221">
        <f t="shared" si="15"/>
        <v>5144806.88</v>
      </c>
      <c r="N49" s="218">
        <f t="shared" si="5"/>
        <v>13034452.097696923</v>
      </c>
      <c r="P49" s="271" t="s">
        <v>37</v>
      </c>
      <c r="Q49" s="262">
        <v>4401463.3600000003</v>
      </c>
      <c r="R49" s="262">
        <v>0</v>
      </c>
      <c r="S49" s="262">
        <v>3824822.6770570739</v>
      </c>
      <c r="T49" s="221">
        <v>5580621.5987967364</v>
      </c>
      <c r="U49" s="218">
        <f t="shared" si="16"/>
        <v>13806907.63585381</v>
      </c>
      <c r="W49" s="271" t="s">
        <v>37</v>
      </c>
      <c r="X49" s="279">
        <f t="shared" si="7"/>
        <v>40320.169999999925</v>
      </c>
      <c r="Y49" s="279">
        <f t="shared" si="8"/>
        <v>0</v>
      </c>
      <c r="Z49" s="279">
        <f t="shared" si="9"/>
        <v>296320.64936015243</v>
      </c>
      <c r="AA49" s="280">
        <f t="shared" si="10"/>
        <v>435814.71879673656</v>
      </c>
      <c r="AB49" s="281">
        <f t="shared" si="17"/>
        <v>772455.53815688891</v>
      </c>
    </row>
    <row r="50" spans="1:28">
      <c r="A50" s="68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6">
        <f t="shared" si="18"/>
        <v>28085257.975511674</v>
      </c>
      <c r="I50" s="271" t="s">
        <v>38</v>
      </c>
      <c r="J50" s="262">
        <f t="shared" si="12"/>
        <v>7409009.3399999999</v>
      </c>
      <c r="K50" s="262">
        <f t="shared" si="13"/>
        <v>0</v>
      </c>
      <c r="L50" s="262">
        <f t="shared" si="14"/>
        <v>8620053.1497683991</v>
      </c>
      <c r="M50" s="221">
        <f t="shared" si="15"/>
        <v>16763233.83</v>
      </c>
      <c r="N50" s="218">
        <f t="shared" si="5"/>
        <v>32792296.319768399</v>
      </c>
      <c r="P50" s="271" t="s">
        <v>38</v>
      </c>
      <c r="Q50" s="262">
        <v>7532728.4699999997</v>
      </c>
      <c r="R50" s="262">
        <v>0</v>
      </c>
      <c r="S50" s="262">
        <v>17905596.968442116</v>
      </c>
      <c r="T50" s="221">
        <v>22052503.047917143</v>
      </c>
      <c r="U50" s="218">
        <f t="shared" si="16"/>
        <v>47490828.486359254</v>
      </c>
      <c r="W50" s="271" t="s">
        <v>38</v>
      </c>
      <c r="X50" s="279">
        <f t="shared" si="7"/>
        <v>123719.12999999989</v>
      </c>
      <c r="Y50" s="279">
        <f t="shared" si="8"/>
        <v>0</v>
      </c>
      <c r="Z50" s="279">
        <f t="shared" si="9"/>
        <v>9285543.8186737169</v>
      </c>
      <c r="AA50" s="280">
        <f t="shared" si="10"/>
        <v>5289269.2179171424</v>
      </c>
      <c r="AB50" s="281">
        <f t="shared" si="17"/>
        <v>14698532.16659086</v>
      </c>
    </row>
    <row r="51" spans="1:28">
      <c r="A51" s="68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6">
        <f t="shared" si="18"/>
        <v>63715084.624581367</v>
      </c>
      <c r="I51" s="271" t="s">
        <v>40</v>
      </c>
      <c r="J51" s="262">
        <f t="shared" si="12"/>
        <v>2693950.85</v>
      </c>
      <c r="K51" s="262">
        <f t="shared" si="13"/>
        <v>0</v>
      </c>
      <c r="L51" s="262">
        <f t="shared" si="14"/>
        <v>743407.59040302725</v>
      </c>
      <c r="M51" s="221">
        <f t="shared" si="15"/>
        <v>4171493.89</v>
      </c>
      <c r="N51" s="218">
        <f t="shared" si="5"/>
        <v>7608852.3304030281</v>
      </c>
      <c r="P51" s="271" t="s">
        <v>40</v>
      </c>
      <c r="Q51" s="262">
        <v>2704054.81</v>
      </c>
      <c r="R51" s="262">
        <v>0</v>
      </c>
      <c r="S51" s="262">
        <v>3555590.9773309566</v>
      </c>
      <c r="T51" s="221">
        <v>4288168.1510386094</v>
      </c>
      <c r="U51" s="218">
        <f t="shared" si="16"/>
        <v>10547813.938369567</v>
      </c>
      <c r="W51" s="271" t="s">
        <v>40</v>
      </c>
      <c r="X51" s="279">
        <f t="shared" si="7"/>
        <v>10103.959999999963</v>
      </c>
      <c r="Y51" s="279">
        <f t="shared" si="8"/>
        <v>0</v>
      </c>
      <c r="Z51" s="279">
        <f t="shared" si="9"/>
        <v>2812183.3869279292</v>
      </c>
      <c r="AA51" s="280">
        <f t="shared" si="10"/>
        <v>116674.26103860931</v>
      </c>
      <c r="AB51" s="281">
        <f t="shared" si="17"/>
        <v>2938961.6079665385</v>
      </c>
    </row>
    <row r="52" spans="1:28">
      <c r="A52" s="68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6">
        <f t="shared" si="18"/>
        <v>90087854.222574413</v>
      </c>
      <c r="I52" s="271" t="s">
        <v>41</v>
      </c>
      <c r="J52" s="262">
        <f t="shared" si="12"/>
        <v>5887553.7999999998</v>
      </c>
      <c r="K52" s="262">
        <f t="shared" si="13"/>
        <v>9149143.0140880179</v>
      </c>
      <c r="L52" s="262">
        <f t="shared" si="14"/>
        <v>6078416.3761273762</v>
      </c>
      <c r="M52" s="221">
        <f t="shared" si="15"/>
        <v>31943282.18</v>
      </c>
      <c r="N52" s="218">
        <f t="shared" si="5"/>
        <v>53058395.370215394</v>
      </c>
      <c r="P52" s="271" t="s">
        <v>41</v>
      </c>
      <c r="Q52" s="262">
        <v>5162583.18</v>
      </c>
      <c r="R52" s="262">
        <v>8397289.0500000007</v>
      </c>
      <c r="S52" s="262">
        <v>5175989.3842794793</v>
      </c>
      <c r="T52" s="221">
        <v>29869249.628973708</v>
      </c>
      <c r="U52" s="218">
        <f t="shared" si="16"/>
        <v>48605111.243253186</v>
      </c>
      <c r="W52" s="271" t="s">
        <v>41</v>
      </c>
      <c r="X52" s="279">
        <f t="shared" si="7"/>
        <v>-724970.62000000011</v>
      </c>
      <c r="Y52" s="279">
        <f t="shared" si="8"/>
        <v>-751853.96408801712</v>
      </c>
      <c r="Z52" s="279">
        <f t="shared" si="9"/>
        <v>-902426.99184789695</v>
      </c>
      <c r="AA52" s="280">
        <f t="shared" si="10"/>
        <v>-2074032.5510262921</v>
      </c>
      <c r="AB52" s="281">
        <f t="shared" si="17"/>
        <v>-4453284.1269622063</v>
      </c>
    </row>
    <row r="53" spans="1:28">
      <c r="A53" s="68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6">
        <f t="shared" si="18"/>
        <v>60029009.831484094</v>
      </c>
      <c r="I53" s="271" t="s">
        <v>42</v>
      </c>
      <c r="J53" s="262">
        <f t="shared" si="12"/>
        <v>3088758.18</v>
      </c>
      <c r="K53" s="262">
        <f t="shared" si="13"/>
        <v>0</v>
      </c>
      <c r="L53" s="262">
        <f t="shared" si="14"/>
        <v>1402944.986497188</v>
      </c>
      <c r="M53" s="221">
        <f t="shared" si="15"/>
        <v>5020066.84</v>
      </c>
      <c r="N53" s="218">
        <f t="shared" si="5"/>
        <v>9511770.0064971875</v>
      </c>
      <c r="P53" s="271" t="s">
        <v>42</v>
      </c>
      <c r="Q53" s="262">
        <v>3098262.64</v>
      </c>
      <c r="R53" s="262">
        <v>0</v>
      </c>
      <c r="S53" s="262">
        <v>2047968.1588161183</v>
      </c>
      <c r="T53" s="221">
        <v>5326285.7538532885</v>
      </c>
      <c r="U53" s="218">
        <f t="shared" si="16"/>
        <v>10472516.552669406</v>
      </c>
      <c r="W53" s="271" t="s">
        <v>42</v>
      </c>
      <c r="X53" s="279">
        <f t="shared" si="7"/>
        <v>9504.4599999999627</v>
      </c>
      <c r="Y53" s="279">
        <f t="shared" si="8"/>
        <v>0</v>
      </c>
      <c r="Z53" s="279">
        <f t="shared" si="9"/>
        <v>645023.17231893027</v>
      </c>
      <c r="AA53" s="280">
        <f t="shared" si="10"/>
        <v>306218.91385328863</v>
      </c>
      <c r="AB53" s="281">
        <f t="shared" si="17"/>
        <v>960746.54617221886</v>
      </c>
    </row>
    <row r="54" spans="1:28">
      <c r="A54" s="68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6">
        <f t="shared" si="18"/>
        <v>29759688.969663061</v>
      </c>
      <c r="I54" s="271" t="s">
        <v>43</v>
      </c>
      <c r="J54" s="262">
        <f t="shared" si="12"/>
        <v>3661228.77</v>
      </c>
      <c r="K54" s="262">
        <f t="shared" si="13"/>
        <v>0</v>
      </c>
      <c r="L54" s="262">
        <f t="shared" si="14"/>
        <v>2359274.1523919348</v>
      </c>
      <c r="M54" s="221">
        <f t="shared" si="15"/>
        <v>4449934.8499999996</v>
      </c>
      <c r="N54" s="218">
        <f t="shared" si="5"/>
        <v>10470437.772391934</v>
      </c>
      <c r="P54" s="271" t="s">
        <v>43</v>
      </c>
      <c r="Q54" s="262">
        <v>3697671.94</v>
      </c>
      <c r="R54" s="262">
        <v>0</v>
      </c>
      <c r="S54" s="262">
        <v>2575427.3718657605</v>
      </c>
      <c r="T54" s="221">
        <v>4783484.9832563614</v>
      </c>
      <c r="U54" s="218">
        <f t="shared" si="16"/>
        <v>11056584.295122121</v>
      </c>
      <c r="W54" s="271" t="s">
        <v>43</v>
      </c>
      <c r="X54" s="279">
        <f t="shared" si="7"/>
        <v>36443.169999999925</v>
      </c>
      <c r="Y54" s="279">
        <f t="shared" si="8"/>
        <v>0</v>
      </c>
      <c r="Z54" s="279">
        <f t="shared" si="9"/>
        <v>216153.21947382577</v>
      </c>
      <c r="AA54" s="280">
        <f t="shared" si="10"/>
        <v>333550.13325636182</v>
      </c>
      <c r="AB54" s="281">
        <f t="shared" si="17"/>
        <v>586146.52273018751</v>
      </c>
    </row>
    <row r="55" spans="1:28">
      <c r="A55" s="68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6">
        <f t="shared" si="18"/>
        <v>8582382.5927432682</v>
      </c>
      <c r="I55" s="271" t="s">
        <v>44</v>
      </c>
      <c r="J55" s="262">
        <f t="shared" si="12"/>
        <v>4882532.88</v>
      </c>
      <c r="K55" s="262">
        <f t="shared" si="13"/>
        <v>0</v>
      </c>
      <c r="L55" s="262">
        <f t="shared" si="14"/>
        <v>4399499.0154434396</v>
      </c>
      <c r="M55" s="221">
        <f t="shared" si="15"/>
        <v>10569957.33</v>
      </c>
      <c r="N55" s="218">
        <f t="shared" si="5"/>
        <v>19851989.225443438</v>
      </c>
      <c r="P55" s="271" t="s">
        <v>44</v>
      </c>
      <c r="Q55" s="262">
        <v>5020702.67</v>
      </c>
      <c r="R55" s="262">
        <v>0</v>
      </c>
      <c r="S55" s="262">
        <v>4924118.101341052</v>
      </c>
      <c r="T55" s="221">
        <v>14522440.744824842</v>
      </c>
      <c r="U55" s="218">
        <f t="shared" si="16"/>
        <v>24467261.516165894</v>
      </c>
      <c r="W55" s="271" t="s">
        <v>44</v>
      </c>
      <c r="X55" s="279">
        <f t="shared" si="7"/>
        <v>138169.79000000004</v>
      </c>
      <c r="Y55" s="279">
        <f t="shared" si="8"/>
        <v>0</v>
      </c>
      <c r="Z55" s="279">
        <f t="shared" si="9"/>
        <v>524619.08589761239</v>
      </c>
      <c r="AA55" s="280">
        <f t="shared" si="10"/>
        <v>3952483.4148248415</v>
      </c>
      <c r="AB55" s="281">
        <f t="shared" si="17"/>
        <v>4615272.290722454</v>
      </c>
    </row>
    <row r="56" spans="1:28">
      <c r="A56" s="68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6">
        <f t="shared" si="18"/>
        <v>8318879.6265732152</v>
      </c>
      <c r="I56" s="271" t="s">
        <v>50</v>
      </c>
      <c r="J56" s="262">
        <f t="shared" si="12"/>
        <v>3012708.19</v>
      </c>
      <c r="K56" s="262">
        <f t="shared" si="13"/>
        <v>0</v>
      </c>
      <c r="L56" s="262">
        <f t="shared" si="14"/>
        <v>1275901.212743267</v>
      </c>
      <c r="M56" s="221">
        <f t="shared" si="15"/>
        <v>4293773.1900000004</v>
      </c>
      <c r="N56" s="218">
        <f t="shared" si="5"/>
        <v>8582382.5927432664</v>
      </c>
      <c r="P56" s="271" t="s">
        <v>50</v>
      </c>
      <c r="Q56" s="262">
        <v>3030910.95</v>
      </c>
      <c r="R56" s="262">
        <v>0</v>
      </c>
      <c r="S56" s="262">
        <v>1539148.4687656499</v>
      </c>
      <c r="T56" s="221">
        <v>4484336.1714675697</v>
      </c>
      <c r="U56" s="218">
        <f t="shared" si="16"/>
        <v>9054395.5902332198</v>
      </c>
      <c r="W56" s="271" t="s">
        <v>50</v>
      </c>
      <c r="X56" s="279">
        <f t="shared" si="7"/>
        <v>18202.760000000242</v>
      </c>
      <c r="Y56" s="279">
        <f t="shared" si="8"/>
        <v>0</v>
      </c>
      <c r="Z56" s="279">
        <f t="shared" si="9"/>
        <v>263247.25602238299</v>
      </c>
      <c r="AA56" s="280">
        <f t="shared" si="10"/>
        <v>190562.98146756925</v>
      </c>
      <c r="AB56" s="281">
        <f t="shared" si="17"/>
        <v>472012.99748995248</v>
      </c>
    </row>
    <row r="57" spans="1:28" ht="13.8" thickBot="1">
      <c r="A57" s="69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71" t="s">
        <v>51</v>
      </c>
      <c r="J57" s="262">
        <f t="shared" si="12"/>
        <v>2770789.26</v>
      </c>
      <c r="K57" s="262">
        <f t="shared" si="13"/>
        <v>0</v>
      </c>
      <c r="L57" s="262">
        <f t="shared" si="14"/>
        <v>871768.44657321565</v>
      </c>
      <c r="M57" s="221">
        <f t="shared" si="15"/>
        <v>4676321.92</v>
      </c>
      <c r="N57" s="218">
        <f t="shared" si="5"/>
        <v>8318879.6265732152</v>
      </c>
      <c r="P57" s="271" t="s">
        <v>51</v>
      </c>
      <c r="Q57" s="262">
        <v>2796166.36</v>
      </c>
      <c r="R57" s="262">
        <v>0</v>
      </c>
      <c r="S57" s="262">
        <v>3547664.2987005324</v>
      </c>
      <c r="T57" s="221">
        <v>5210840.4286689237</v>
      </c>
      <c r="U57" s="218">
        <f t="shared" si="16"/>
        <v>11554671.087369457</v>
      </c>
      <c r="W57" s="271" t="s">
        <v>51</v>
      </c>
      <c r="X57" s="279">
        <f t="shared" si="7"/>
        <v>25377.100000000093</v>
      </c>
      <c r="Y57" s="279">
        <f t="shared" si="8"/>
        <v>0</v>
      </c>
      <c r="Z57" s="279">
        <f t="shared" si="9"/>
        <v>2675895.8521273169</v>
      </c>
      <c r="AA57" s="280">
        <f t="shared" si="10"/>
        <v>534518.50866892375</v>
      </c>
      <c r="AB57" s="281">
        <f t="shared" si="17"/>
        <v>3235791.4607962407</v>
      </c>
    </row>
    <row r="58" spans="1:28" ht="14.4" thickTop="1" thickBot="1">
      <c r="I58" s="272" t="s">
        <v>144</v>
      </c>
      <c r="J58" s="273">
        <f>SUM(J19:J57)</f>
        <v>175698263.61000001</v>
      </c>
      <c r="K58" s="273">
        <f>SUM(K19:K57)</f>
        <v>32696079.769151375</v>
      </c>
      <c r="L58" s="273">
        <f>SUM(L19:L57)</f>
        <v>146989396.99609599</v>
      </c>
      <c r="M58" s="274">
        <f>SUM(M19:M57)</f>
        <v>323580003.32669193</v>
      </c>
      <c r="N58" s="269">
        <f>SUM(N19:N57)</f>
        <v>678963743.70193923</v>
      </c>
      <c r="P58" s="272" t="s">
        <v>144</v>
      </c>
      <c r="Q58" s="273">
        <f>SUM(Q19:Q57)</f>
        <v>175540561.06999999</v>
      </c>
      <c r="R58" s="273">
        <f>SUM(R19:R57)</f>
        <v>30174112.359999999</v>
      </c>
      <c r="S58" s="273">
        <f>SUM(S19:S57)</f>
        <v>187348055.52167648</v>
      </c>
      <c r="T58" s="274">
        <f>SUM(T19:T57)</f>
        <v>358359035.66975993</v>
      </c>
      <c r="U58" s="269">
        <f>SUM(U19:U57)</f>
        <v>751421764.62143636</v>
      </c>
      <c r="W58" s="272" t="s">
        <v>144</v>
      </c>
      <c r="X58" s="282">
        <f>SUM(X19:X57)</f>
        <v>-157702.5400000019</v>
      </c>
      <c r="Y58" s="282">
        <f>SUM(Y19:Y57)</f>
        <v>-2521967.4091513762</v>
      </c>
      <c r="Z58" s="282">
        <f>SUM(Z19:Z57)</f>
        <v>40358658.525580481</v>
      </c>
      <c r="AA58" s="283">
        <f>SUM(AA19:AA57)</f>
        <v>34779032.343068078</v>
      </c>
      <c r="AB58" s="284">
        <f>SUM(AB19:AB57)</f>
        <v>72458020.919497177</v>
      </c>
    </row>
    <row r="59" spans="1:28" ht="13.8" thickBot="1">
      <c r="I59" s="272" t="s">
        <v>52</v>
      </c>
      <c r="J59" s="273">
        <f>J58+J18</f>
        <v>439245659.00999999</v>
      </c>
      <c r="K59" s="273">
        <f>K58+K18</f>
        <v>155027879.64432001</v>
      </c>
      <c r="L59" s="273">
        <f>L58+L18</f>
        <v>367473492.49023998</v>
      </c>
      <c r="M59" s="274">
        <f>M58+M18</f>
        <v>622950008.32026482</v>
      </c>
      <c r="N59" s="269">
        <f>N58+N18</f>
        <v>1584697039.4648247</v>
      </c>
      <c r="P59" s="272" t="s">
        <v>52</v>
      </c>
      <c r="Q59" s="273">
        <f>Q58+Q18</f>
        <v>438851402.67999995</v>
      </c>
      <c r="R59" s="273">
        <f>R58+R18</f>
        <v>154888730.36000001</v>
      </c>
      <c r="S59" s="273">
        <f>S58+S18</f>
        <v>410729830.90047014</v>
      </c>
      <c r="T59" s="274">
        <f>T58+T18</f>
        <v>709897589.17439985</v>
      </c>
      <c r="U59" s="269">
        <f>U58+U18</f>
        <v>1714367553.1148696</v>
      </c>
      <c r="W59" s="272" t="s">
        <v>52</v>
      </c>
      <c r="X59" s="282">
        <f>X58+X18</f>
        <v>-394256.33000000473</v>
      </c>
      <c r="Y59" s="282">
        <f>Y58+Y18</f>
        <v>-139149.2843200285</v>
      </c>
      <c r="Z59" s="282">
        <f>Z58+Z18</f>
        <v>43256338.410230063</v>
      </c>
      <c r="AA59" s="283">
        <f>AA58+AA18</f>
        <v>86947580.854135126</v>
      </c>
      <c r="AB59" s="284">
        <f>AB58+AB18</f>
        <v>129670513.65004513</v>
      </c>
    </row>
  </sheetData>
  <mergeCells count="16">
    <mergeCell ref="A1:F1"/>
    <mergeCell ref="A2:F2"/>
    <mergeCell ref="A3:F3"/>
    <mergeCell ref="A4:F4"/>
    <mergeCell ref="I1:N1"/>
    <mergeCell ref="I2:N2"/>
    <mergeCell ref="I3:N3"/>
    <mergeCell ref="I4:N4"/>
    <mergeCell ref="P1:U1"/>
    <mergeCell ref="P2:U2"/>
    <mergeCell ref="P3:U3"/>
    <mergeCell ref="P4:U4"/>
    <mergeCell ref="W1:AB1"/>
    <mergeCell ref="W2:AB2"/>
    <mergeCell ref="W3:AB3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B35" activePane="bottomRight" state="frozen"/>
      <selection pane="topRight" activeCell="B1" sqref="B1"/>
      <selection pane="bottomLeft" activeCell="A5" sqref="A5"/>
      <selection pane="bottomRight" activeCell="F5" sqref="F5:F55"/>
    </sheetView>
  </sheetViews>
  <sheetFormatPr baseColWidth="10" defaultColWidth="11.44140625" defaultRowHeight="13.2"/>
  <cols>
    <col min="1" max="1" width="34" style="1" customWidth="1"/>
    <col min="2" max="2" width="16.109375" style="93" customWidth="1"/>
    <col min="3" max="3" width="18.88671875" style="93" customWidth="1"/>
    <col min="4" max="4" width="16.109375" style="93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7">
        <v>1</v>
      </c>
      <c r="B1" s="167">
        <v>2</v>
      </c>
      <c r="C1" s="167"/>
      <c r="D1" s="167">
        <v>3</v>
      </c>
      <c r="E1" s="167">
        <v>4</v>
      </c>
      <c r="F1" s="167">
        <v>5</v>
      </c>
      <c r="G1" s="167">
        <v>6</v>
      </c>
      <c r="H1" s="167">
        <v>7</v>
      </c>
      <c r="I1" s="167">
        <v>8</v>
      </c>
      <c r="J1" s="167">
        <v>9</v>
      </c>
      <c r="K1" s="167">
        <v>10</v>
      </c>
      <c r="L1" s="167">
        <v>11</v>
      </c>
      <c r="M1" s="167">
        <v>12</v>
      </c>
      <c r="N1" s="167">
        <v>13</v>
      </c>
      <c r="O1" s="167">
        <v>14</v>
      </c>
      <c r="P1" s="167">
        <v>15</v>
      </c>
      <c r="Q1" s="167">
        <v>16</v>
      </c>
      <c r="R1" s="167">
        <v>17</v>
      </c>
      <c r="S1" s="167">
        <v>18</v>
      </c>
      <c r="T1" s="167">
        <v>19</v>
      </c>
      <c r="U1" s="167">
        <v>20</v>
      </c>
      <c r="V1" s="167">
        <v>21</v>
      </c>
      <c r="W1" s="167">
        <v>22</v>
      </c>
      <c r="X1" s="167">
        <v>23</v>
      </c>
      <c r="Y1" s="167">
        <v>24</v>
      </c>
      <c r="Z1" s="167">
        <v>25</v>
      </c>
      <c r="AA1" s="167">
        <v>26</v>
      </c>
      <c r="AB1" s="167">
        <v>27</v>
      </c>
      <c r="AC1" s="167">
        <v>28</v>
      </c>
      <c r="AD1" s="167">
        <v>29</v>
      </c>
      <c r="AE1" s="167">
        <v>30</v>
      </c>
      <c r="AF1" s="167">
        <v>31</v>
      </c>
      <c r="AG1" s="167">
        <v>32</v>
      </c>
      <c r="AH1" s="167">
        <v>33</v>
      </c>
      <c r="AI1" s="167">
        <v>34</v>
      </c>
      <c r="AJ1" s="167">
        <v>35</v>
      </c>
      <c r="AK1" s="167">
        <v>36</v>
      </c>
      <c r="AL1" s="167">
        <v>37</v>
      </c>
      <c r="AM1" s="167">
        <v>38</v>
      </c>
      <c r="AN1" s="167">
        <v>39</v>
      </c>
      <c r="AO1" s="167">
        <v>40</v>
      </c>
      <c r="AP1" s="167">
        <v>41</v>
      </c>
      <c r="AQ1" s="167">
        <v>42</v>
      </c>
    </row>
    <row r="2" spans="1:43">
      <c r="A2" s="333" t="s">
        <v>62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B2" s="72"/>
      <c r="AC2" s="72"/>
      <c r="AD2" s="72"/>
      <c r="AE2" s="72"/>
      <c r="AF2" s="72"/>
      <c r="AG2" s="72"/>
      <c r="AH2" s="72"/>
      <c r="AI2" s="72"/>
      <c r="AJ2" s="91"/>
      <c r="AK2" s="91"/>
      <c r="AL2" s="91"/>
      <c r="AM2" s="91"/>
      <c r="AN2" s="91"/>
      <c r="AO2" s="91"/>
      <c r="AP2" s="91"/>
      <c r="AQ2" s="91"/>
    </row>
    <row r="3" spans="1:43" s="34" customFormat="1" ht="21" customHeight="1" thickBot="1">
      <c r="B3" s="93"/>
      <c r="C3" s="93"/>
      <c r="D3" s="93"/>
      <c r="E3" s="334" t="s">
        <v>74</v>
      </c>
      <c r="F3" s="334"/>
      <c r="G3" s="334"/>
      <c r="H3" s="334"/>
      <c r="I3" s="334"/>
      <c r="J3" s="334"/>
      <c r="K3" s="336" t="s">
        <v>75</v>
      </c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  <c r="W3" s="40"/>
      <c r="X3" s="335" t="s">
        <v>85</v>
      </c>
      <c r="Y3" s="335"/>
      <c r="Z3" s="335"/>
      <c r="AA3" s="41" t="s">
        <v>196</v>
      </c>
      <c r="AB3" s="332" t="s">
        <v>112</v>
      </c>
      <c r="AC3" s="332"/>
      <c r="AD3" s="332"/>
      <c r="AE3" s="332"/>
      <c r="AF3" s="332"/>
      <c r="AG3" s="332"/>
      <c r="AH3" s="332"/>
      <c r="AI3" s="332"/>
      <c r="AJ3" s="332"/>
      <c r="AK3" s="332"/>
      <c r="AL3" s="332"/>
      <c r="AM3" s="332"/>
      <c r="AN3" s="332"/>
      <c r="AO3" s="332"/>
      <c r="AP3" s="331" t="s">
        <v>110</v>
      </c>
      <c r="AQ3" s="331"/>
    </row>
    <row r="4" spans="1:43" ht="60" customHeight="1" thickTop="1">
      <c r="A4" s="15" t="s">
        <v>63</v>
      </c>
      <c r="B4" s="94" t="s">
        <v>104</v>
      </c>
      <c r="C4" s="244" t="s">
        <v>171</v>
      </c>
      <c r="D4" s="94" t="s">
        <v>105</v>
      </c>
      <c r="E4" s="75" t="s">
        <v>192</v>
      </c>
      <c r="F4" s="75" t="s">
        <v>193</v>
      </c>
      <c r="G4" s="294" t="s">
        <v>202</v>
      </c>
      <c r="H4" s="296" t="s">
        <v>203</v>
      </c>
      <c r="I4" s="16" t="s">
        <v>204</v>
      </c>
      <c r="J4" s="16" t="s">
        <v>205</v>
      </c>
      <c r="K4" s="28" t="s">
        <v>77</v>
      </c>
      <c r="L4" s="16" t="s">
        <v>79</v>
      </c>
      <c r="M4" s="16" t="s">
        <v>78</v>
      </c>
      <c r="N4" s="16" t="s">
        <v>76</v>
      </c>
      <c r="O4" s="16" t="s">
        <v>93</v>
      </c>
      <c r="P4" s="16" t="s">
        <v>80</v>
      </c>
      <c r="Q4" s="16" t="s">
        <v>81</v>
      </c>
      <c r="R4" s="16" t="s">
        <v>82</v>
      </c>
      <c r="S4" s="16" t="s">
        <v>83</v>
      </c>
      <c r="T4" s="16" t="s">
        <v>94</v>
      </c>
      <c r="U4" s="16" t="s">
        <v>86</v>
      </c>
      <c r="V4" s="16" t="s">
        <v>87</v>
      </c>
      <c r="W4" s="16" t="s">
        <v>95</v>
      </c>
      <c r="X4" s="78" t="s">
        <v>84</v>
      </c>
      <c r="Y4" s="87" t="s">
        <v>195</v>
      </c>
      <c r="Z4" s="79" t="s">
        <v>206</v>
      </c>
      <c r="AA4" s="31" t="s">
        <v>194</v>
      </c>
      <c r="AB4" s="88" t="s">
        <v>207</v>
      </c>
      <c r="AC4" s="84" t="s">
        <v>88</v>
      </c>
      <c r="AD4" s="85" t="s">
        <v>89</v>
      </c>
      <c r="AE4" s="85" t="s">
        <v>90</v>
      </c>
      <c r="AF4" s="84" t="s">
        <v>91</v>
      </c>
      <c r="AG4" s="84" t="s">
        <v>96</v>
      </c>
      <c r="AH4" s="84" t="s">
        <v>92</v>
      </c>
      <c r="AI4" s="84" t="s">
        <v>97</v>
      </c>
      <c r="AJ4" s="84" t="s">
        <v>146</v>
      </c>
      <c r="AK4" s="84" t="s">
        <v>147</v>
      </c>
      <c r="AL4" s="84" t="s">
        <v>148</v>
      </c>
      <c r="AM4" s="84" t="s">
        <v>149</v>
      </c>
      <c r="AN4" s="84" t="s">
        <v>130</v>
      </c>
      <c r="AO4" s="84" t="s">
        <v>131</v>
      </c>
      <c r="AP4" s="99" t="s">
        <v>116</v>
      </c>
      <c r="AQ4" s="86" t="s">
        <v>118</v>
      </c>
    </row>
    <row r="5" spans="1:43">
      <c r="A5" s="17" t="s">
        <v>1</v>
      </c>
      <c r="B5" s="95" t="s">
        <v>106</v>
      </c>
      <c r="C5" s="95" t="s">
        <v>106</v>
      </c>
      <c r="D5" s="95" t="s">
        <v>107</v>
      </c>
      <c r="E5" s="18">
        <v>110684</v>
      </c>
      <c r="F5" s="18">
        <v>558823</v>
      </c>
      <c r="G5" s="295">
        <v>145672.85</v>
      </c>
      <c r="H5" s="295">
        <v>626624</v>
      </c>
      <c r="I5" s="14">
        <f t="shared" ref="I5:I55" si="0">G5/H5</f>
        <v>0.23247250344704321</v>
      </c>
      <c r="J5" s="14">
        <f t="shared" ref="J5:J36" si="1">(G5-E5)/E5</f>
        <v>0.3161147952730296</v>
      </c>
      <c r="K5" s="29">
        <v>334</v>
      </c>
      <c r="L5" s="30">
        <v>78</v>
      </c>
      <c r="M5" s="30">
        <v>539</v>
      </c>
      <c r="N5" s="30">
        <v>28</v>
      </c>
      <c r="O5" s="61">
        <f t="shared" ref="O5:O36" si="2">0.25*(K5/$K$56)+0.25*(L5/$L$56)+0.25*(M5/$M$56)+0.25*(N5/$N$56)</f>
        <v>9.9915696601149016E-4</v>
      </c>
      <c r="P5" s="30">
        <v>194.999999997044</v>
      </c>
      <c r="Q5" s="30">
        <v>51</v>
      </c>
      <c r="R5" s="30">
        <v>69</v>
      </c>
      <c r="S5" s="30">
        <v>52</v>
      </c>
      <c r="T5" s="61">
        <f t="shared" ref="T5:T36" si="3">0.25*(P5/$P$56)+0.25*(Q5/$Q$56)+0.25*(R5/$R$56)+0.25*(S5/$S$56)</f>
        <v>1.4146606123147524E-3</v>
      </c>
      <c r="U5" s="14">
        <f>IFERROR((T5-O5)/O5,0)</f>
        <v>0.415854225549666</v>
      </c>
      <c r="V5" s="14">
        <f>IF(U5&lt;0,U5*-1,0)</f>
        <v>0</v>
      </c>
      <c r="W5" s="14">
        <f t="shared" ref="W5:W36" si="4">IFERROR(V5/$V$56,0)</f>
        <v>0</v>
      </c>
      <c r="X5" s="80">
        <v>47.45</v>
      </c>
      <c r="Y5" s="18">
        <v>2974</v>
      </c>
      <c r="Z5" s="81">
        <v>2918</v>
      </c>
      <c r="AA5" s="74">
        <v>1718741.9791512869</v>
      </c>
      <c r="AB5" s="89">
        <f>(G5/F5)*G5</f>
        <v>37973.704065728321</v>
      </c>
      <c r="AC5" s="36">
        <f t="shared" ref="AC5:AC36" si="5">AB5/$AB$56</f>
        <v>2.3846074066165529E-5</v>
      </c>
      <c r="AD5" s="32">
        <f>0.85*Y5/$Y$56</f>
        <v>4.3701708825155477E-4</v>
      </c>
      <c r="AE5" s="32">
        <f>0.15*X5/$X$56</f>
        <v>1.1082971790469467E-4</v>
      </c>
      <c r="AF5" s="36">
        <f>AD5+AE5</f>
        <v>5.4784680615624945E-4</v>
      </c>
      <c r="AG5" s="32">
        <f>0.85*T5</f>
        <v>1.2024615204675394E-3</v>
      </c>
      <c r="AH5" s="32">
        <f>0.15*W5</f>
        <v>0</v>
      </c>
      <c r="AI5" s="36">
        <f>AH5+AG5</f>
        <v>1.2024615204675394E-3</v>
      </c>
      <c r="AJ5" s="128">
        <f>IF('Datos Mun'!B5="AMM",Y5,0)</f>
        <v>0</v>
      </c>
      <c r="AK5" s="36">
        <f>AJ5/$AJ$56</f>
        <v>0</v>
      </c>
      <c r="AL5" s="128">
        <f>IF('Datos Mun'!B5="AMM",0,Y5)</f>
        <v>2974</v>
      </c>
      <c r="AM5" s="36">
        <f>AL5/$AL$56</f>
        <v>3.3592259548210087E-3</v>
      </c>
      <c r="AN5" s="128">
        <f>IF(D5="Zona de Crec",Y5,0)</f>
        <v>0</v>
      </c>
      <c r="AO5" s="36">
        <f>AN5/$AN$56</f>
        <v>0</v>
      </c>
      <c r="AP5" s="100">
        <f>IF('Datos Mun'!B5="AMM",'Art 14 F I'!F7,'Art 14 F I'!M7)</f>
        <v>2.193923538863691E-3</v>
      </c>
      <c r="AQ5" s="38">
        <f>IF('Datos Mun'!D5="Zona de Crec",'Art 14 F I'!T7,0)</f>
        <v>0</v>
      </c>
    </row>
    <row r="6" spans="1:43">
      <c r="A6" s="17" t="s">
        <v>2</v>
      </c>
      <c r="B6" s="95" t="s">
        <v>106</v>
      </c>
      <c r="C6" s="95" t="s">
        <v>106</v>
      </c>
      <c r="D6" s="95" t="s">
        <v>107</v>
      </c>
      <c r="E6" s="18">
        <v>953414</v>
      </c>
      <c r="F6" s="18">
        <v>2588435</v>
      </c>
      <c r="G6" s="295">
        <v>768052</v>
      </c>
      <c r="H6" s="295">
        <v>2597546</v>
      </c>
      <c r="I6" s="14">
        <f t="shared" si="0"/>
        <v>0.29568369530318234</v>
      </c>
      <c r="J6" s="14">
        <f t="shared" si="1"/>
        <v>-0.19441921347913918</v>
      </c>
      <c r="K6" s="8">
        <v>768</v>
      </c>
      <c r="L6" s="9">
        <v>191</v>
      </c>
      <c r="M6" s="9">
        <v>961</v>
      </c>
      <c r="N6" s="9">
        <v>102</v>
      </c>
      <c r="O6" s="14">
        <f t="shared" si="2"/>
        <v>2.3625109877890441E-3</v>
      </c>
      <c r="P6" s="9">
        <v>468.99999999269994</v>
      </c>
      <c r="Q6" s="9">
        <v>120</v>
      </c>
      <c r="R6" s="9">
        <v>175</v>
      </c>
      <c r="S6" s="9">
        <v>44</v>
      </c>
      <c r="T6" s="14">
        <f t="shared" si="3"/>
        <v>1.9352079794187835E-3</v>
      </c>
      <c r="U6" s="14">
        <f t="shared" ref="U6:U55" si="6">IFERROR((T6-O6)/O6,0)</f>
        <v>-0.1808681570493571</v>
      </c>
      <c r="V6" s="14">
        <f t="shared" ref="V6:V55" si="7">IF(U6&lt;0,U6*-1,0)</f>
        <v>0.1808681570493571</v>
      </c>
      <c r="W6" s="14">
        <f t="shared" si="4"/>
        <v>3.3703048799913031E-2</v>
      </c>
      <c r="X6" s="80">
        <v>978.99</v>
      </c>
      <c r="Y6" s="18">
        <v>3382</v>
      </c>
      <c r="Z6" s="81">
        <v>2599</v>
      </c>
      <c r="AA6" s="74">
        <v>2900632.6783973104</v>
      </c>
      <c r="AB6" s="89">
        <f t="shared" ref="AB6:AB55" si="8">(G6/F6)*G6</f>
        <v>227899.82159258393</v>
      </c>
      <c r="AC6" s="36">
        <f t="shared" si="5"/>
        <v>1.4311261329566678E-4</v>
      </c>
      <c r="AD6" s="32">
        <f t="shared" ref="AD6:AD55" si="9">0.85*Y6/$Y$56</f>
        <v>4.9697101293435045E-4</v>
      </c>
      <c r="AE6" s="32">
        <f t="shared" ref="AE6:AE55" si="10">0.15*X6/$X$56</f>
        <v>2.2866424769550481E-3</v>
      </c>
      <c r="AF6" s="36">
        <f t="shared" ref="AF6:AF55" si="11">AD6+AE6</f>
        <v>2.7836134898893985E-3</v>
      </c>
      <c r="AG6" s="32">
        <f t="shared" ref="AG6:AG55" si="12">0.85*T6</f>
        <v>1.644926782505966E-3</v>
      </c>
      <c r="AH6" s="32">
        <f t="shared" ref="AH6:AH55" si="13">0.15*W6</f>
        <v>5.0554573199869546E-3</v>
      </c>
      <c r="AI6" s="36">
        <f t="shared" ref="AI6:AI55" si="14">AH6+AG6</f>
        <v>6.7003841024929206E-3</v>
      </c>
      <c r="AJ6" s="128">
        <f>IF('Datos Mun'!B6="AMM",Y6,0)</f>
        <v>0</v>
      </c>
      <c r="AK6" s="36">
        <f t="shared" ref="AK6:AK55" si="15">AJ6/$AJ$56</f>
        <v>0</v>
      </c>
      <c r="AL6" s="128">
        <f>IF('Datos Mun'!B6="AMM",0,Y6)</f>
        <v>3382</v>
      </c>
      <c r="AM6" s="36">
        <f t="shared" ref="AM6:AM55" si="16">AL6/$AL$56</f>
        <v>3.8200747071972601E-3</v>
      </c>
      <c r="AN6" s="128">
        <f t="shared" ref="AN6:AN55" si="17">IF(D6="Zona de Crec",Y6,0)</f>
        <v>0</v>
      </c>
      <c r="AO6" s="36">
        <f t="shared" ref="AO6:AO55" si="18">AN6/$AN$56</f>
        <v>0</v>
      </c>
      <c r="AP6" s="100">
        <f>IF('Datos Mun'!B6="AMM",'Art 14 F I'!F8,'Art 14 F I'!M8)</f>
        <v>1.1921644139385958E-2</v>
      </c>
      <c r="AQ6" s="38">
        <f>IF('Datos Mun'!D6="Zona de Crec",'Art 14 F I'!T8,0)</f>
        <v>0</v>
      </c>
    </row>
    <row r="7" spans="1:43">
      <c r="A7" s="17" t="s">
        <v>3</v>
      </c>
      <c r="B7" s="95" t="s">
        <v>106</v>
      </c>
      <c r="C7" s="95" t="s">
        <v>106</v>
      </c>
      <c r="D7" s="95" t="s">
        <v>107</v>
      </c>
      <c r="E7" s="18">
        <v>293401</v>
      </c>
      <c r="F7" s="18">
        <v>1115974</v>
      </c>
      <c r="G7" s="295">
        <v>272877</v>
      </c>
      <c r="H7" s="295">
        <v>1129316</v>
      </c>
      <c r="I7" s="14">
        <f t="shared" si="0"/>
        <v>0.24163033198856654</v>
      </c>
      <c r="J7" s="14">
        <f t="shared" si="1"/>
        <v>-6.9952045153220344E-2</v>
      </c>
      <c r="K7" s="8">
        <v>363</v>
      </c>
      <c r="L7" s="9">
        <v>91</v>
      </c>
      <c r="M7" s="9">
        <v>728</v>
      </c>
      <c r="N7" s="9">
        <v>81</v>
      </c>
      <c r="O7" s="14">
        <f t="shared" si="2"/>
        <v>1.5329909308086662E-3</v>
      </c>
      <c r="P7" s="9">
        <v>209.00000000199</v>
      </c>
      <c r="Q7" s="9">
        <v>60</v>
      </c>
      <c r="R7" s="9">
        <v>193</v>
      </c>
      <c r="S7" s="9">
        <v>19</v>
      </c>
      <c r="T7" s="14">
        <f t="shared" si="3"/>
        <v>1.107137155609233E-3</v>
      </c>
      <c r="U7" s="14">
        <f t="shared" si="6"/>
        <v>-0.27779275574369616</v>
      </c>
      <c r="V7" s="14">
        <f t="shared" si="7"/>
        <v>0.27779275574369616</v>
      </c>
      <c r="W7" s="14">
        <f t="shared" si="4"/>
        <v>5.1764019470476444E-2</v>
      </c>
      <c r="X7" s="80">
        <v>696.75</v>
      </c>
      <c r="Y7" s="18">
        <v>1407</v>
      </c>
      <c r="Z7" s="81">
        <v>1506</v>
      </c>
      <c r="AA7" s="74">
        <v>2086699.1551099622</v>
      </c>
      <c r="AB7" s="89">
        <f t="shared" si="8"/>
        <v>66723.648695220501</v>
      </c>
      <c r="AC7" s="36">
        <f t="shared" si="5"/>
        <v>4.1899970200352918E-5</v>
      </c>
      <c r="AD7" s="32">
        <f t="shared" si="9"/>
        <v>2.0675287261934686E-4</v>
      </c>
      <c r="AE7" s="32">
        <f t="shared" si="10"/>
        <v>1.6274100305605059E-3</v>
      </c>
      <c r="AF7" s="36">
        <f t="shared" si="11"/>
        <v>1.8341629031798528E-3</v>
      </c>
      <c r="AG7" s="32">
        <f t="shared" si="12"/>
        <v>9.4106658226784804E-4</v>
      </c>
      <c r="AH7" s="32">
        <f t="shared" si="13"/>
        <v>7.7646029205714661E-3</v>
      </c>
      <c r="AI7" s="36">
        <f t="shared" si="14"/>
        <v>8.7056695028393145E-3</v>
      </c>
      <c r="AJ7" s="128">
        <f>IF('Datos Mun'!B7="AMM",Y7,0)</f>
        <v>0</v>
      </c>
      <c r="AK7" s="36">
        <f t="shared" si="15"/>
        <v>0</v>
      </c>
      <c r="AL7" s="128">
        <f>IF('Datos Mun'!B7="AMM",0,Y7)</f>
        <v>1407</v>
      </c>
      <c r="AM7" s="36">
        <f t="shared" si="16"/>
        <v>1.5892504769445728E-3</v>
      </c>
      <c r="AN7" s="128">
        <f t="shared" si="17"/>
        <v>0</v>
      </c>
      <c r="AO7" s="36">
        <f t="shared" si="18"/>
        <v>0</v>
      </c>
      <c r="AP7" s="100">
        <f>IF('Datos Mun'!B7="AMM",'Art 14 F I'!F9,'Art 14 F I'!M9)</f>
        <v>1.2962976039372671E-2</v>
      </c>
      <c r="AQ7" s="38">
        <f>IF('Datos Mun'!D7="Zona de Crec",'Art 14 F I'!T9,0)</f>
        <v>0</v>
      </c>
    </row>
    <row r="8" spans="1:43">
      <c r="A8" s="17" t="s">
        <v>4</v>
      </c>
      <c r="B8" s="95" t="s">
        <v>106</v>
      </c>
      <c r="C8" s="95" t="s">
        <v>106</v>
      </c>
      <c r="D8" s="95" t="s">
        <v>107</v>
      </c>
      <c r="E8" s="18">
        <v>18200124</v>
      </c>
      <c r="F8" s="18">
        <v>37146815</v>
      </c>
      <c r="G8" s="295">
        <v>23142962</v>
      </c>
      <c r="H8" s="295">
        <v>54890194.010000005</v>
      </c>
      <c r="I8" s="14">
        <f t="shared" si="0"/>
        <v>0.42162288578873974</v>
      </c>
      <c r="J8" s="14">
        <f t="shared" si="1"/>
        <v>0.27158265515114072</v>
      </c>
      <c r="K8" s="8">
        <v>3420</v>
      </c>
      <c r="L8" s="9">
        <v>773</v>
      </c>
      <c r="M8" s="9">
        <v>6993</v>
      </c>
      <c r="N8" s="9">
        <v>216</v>
      </c>
      <c r="O8" s="14">
        <f t="shared" si="2"/>
        <v>1.080919807213418E-2</v>
      </c>
      <c r="P8" s="9">
        <v>2055.0000000045479</v>
      </c>
      <c r="Q8" s="9">
        <v>629</v>
      </c>
      <c r="R8" s="9">
        <v>1238</v>
      </c>
      <c r="S8" s="9">
        <v>59</v>
      </c>
      <c r="T8" s="14">
        <f t="shared" si="3"/>
        <v>7.3516705304182165E-3</v>
      </c>
      <c r="U8" s="14">
        <f t="shared" si="6"/>
        <v>-0.31986901513345156</v>
      </c>
      <c r="V8" s="14">
        <f t="shared" si="7"/>
        <v>0.31986901513345156</v>
      </c>
      <c r="W8" s="14">
        <f t="shared" si="4"/>
        <v>5.9604527422043294E-2</v>
      </c>
      <c r="X8" s="80">
        <v>190.52</v>
      </c>
      <c r="Y8" s="18">
        <v>35289</v>
      </c>
      <c r="Z8" s="81">
        <v>38297</v>
      </c>
      <c r="AA8" s="74">
        <v>8518240.6165178325</v>
      </c>
      <c r="AB8" s="89">
        <f t="shared" si="8"/>
        <v>14418374.499494614</v>
      </c>
      <c r="AC8" s="36">
        <f t="shared" si="5"/>
        <v>9.0542030251656077E-3</v>
      </c>
      <c r="AD8" s="32">
        <f t="shared" si="9"/>
        <v>5.1855736473803348E-3</v>
      </c>
      <c r="AE8" s="32">
        <f t="shared" si="10"/>
        <v>4.4500058704325448E-4</v>
      </c>
      <c r="AF8" s="36">
        <f t="shared" si="11"/>
        <v>5.6305742344235892E-3</v>
      </c>
      <c r="AG8" s="32">
        <f t="shared" si="12"/>
        <v>6.2489199508554841E-3</v>
      </c>
      <c r="AH8" s="32">
        <f t="shared" si="13"/>
        <v>8.9406791133064944E-3</v>
      </c>
      <c r="AI8" s="36">
        <f t="shared" si="14"/>
        <v>1.5189599064161979E-2</v>
      </c>
      <c r="AJ8" s="128">
        <f>IF('Datos Mun'!B8="AMM",Y8,0)</f>
        <v>0</v>
      </c>
      <c r="AK8" s="36">
        <f t="shared" si="15"/>
        <v>0</v>
      </c>
      <c r="AL8" s="128">
        <f>IF('Datos Mun'!B8="AMM",0,Y8)</f>
        <v>35289</v>
      </c>
      <c r="AM8" s="36">
        <f t="shared" si="16"/>
        <v>3.9860028486778269E-2</v>
      </c>
      <c r="AN8" s="128">
        <f t="shared" si="17"/>
        <v>0</v>
      </c>
      <c r="AO8" s="36">
        <f t="shared" si="18"/>
        <v>0</v>
      </c>
      <c r="AP8" s="100">
        <f>IF('Datos Mun'!B8="AMM",'Art 14 F I'!F10,'Art 14 F I'!M10)</f>
        <v>4.7500725259650448E-2</v>
      </c>
      <c r="AQ8" s="38">
        <f>IF('Datos Mun'!D8="Zona de Crec",'Art 14 F I'!T10,0)</f>
        <v>0</v>
      </c>
    </row>
    <row r="9" spans="1:43">
      <c r="A9" s="17" t="s">
        <v>5</v>
      </c>
      <c r="B9" s="95" t="s">
        <v>106</v>
      </c>
      <c r="C9" s="95" t="s">
        <v>106</v>
      </c>
      <c r="D9" s="95" t="s">
        <v>107</v>
      </c>
      <c r="E9" s="18">
        <v>1756976</v>
      </c>
      <c r="F9" s="18">
        <v>10240869</v>
      </c>
      <c r="G9" s="295">
        <v>2531264</v>
      </c>
      <c r="H9" s="295">
        <v>10678636</v>
      </c>
      <c r="I9" s="14">
        <f t="shared" si="0"/>
        <v>0.23704001147712123</v>
      </c>
      <c r="J9" s="14">
        <f t="shared" si="1"/>
        <v>0.44069355529045362</v>
      </c>
      <c r="K9" s="8">
        <v>3207</v>
      </c>
      <c r="L9" s="9">
        <v>706</v>
      </c>
      <c r="M9" s="9">
        <v>5696</v>
      </c>
      <c r="N9" s="9">
        <v>1464</v>
      </c>
      <c r="O9" s="14">
        <f t="shared" si="2"/>
        <v>1.749446911165152E-2</v>
      </c>
      <c r="P9" s="9">
        <v>2802.0000000077798</v>
      </c>
      <c r="Q9" s="9">
        <v>510</v>
      </c>
      <c r="R9" s="9">
        <v>1865</v>
      </c>
      <c r="S9" s="9">
        <v>534</v>
      </c>
      <c r="T9" s="14">
        <f t="shared" si="3"/>
        <v>1.7457626250445064E-2</v>
      </c>
      <c r="U9" s="14">
        <f t="shared" si="6"/>
        <v>-2.1059719486953626E-3</v>
      </c>
      <c r="V9" s="14">
        <f t="shared" si="7"/>
        <v>2.1059719486953626E-3</v>
      </c>
      <c r="W9" s="14">
        <f t="shared" si="4"/>
        <v>3.9242770267603632E-4</v>
      </c>
      <c r="X9" s="80">
        <v>4572.87</v>
      </c>
      <c r="Y9" s="18">
        <v>18030</v>
      </c>
      <c r="Z9" s="81">
        <v>19976</v>
      </c>
      <c r="AA9" s="74">
        <v>6137628.4181850413</v>
      </c>
      <c r="AB9" s="89">
        <f t="shared" si="8"/>
        <v>625659.5448780763</v>
      </c>
      <c r="AC9" s="36">
        <f t="shared" si="5"/>
        <v>3.9289092845780761E-4</v>
      </c>
      <c r="AD9" s="32">
        <f t="shared" si="9"/>
        <v>2.6494344657617798E-3</v>
      </c>
      <c r="AE9" s="32">
        <f t="shared" si="10"/>
        <v>1.0680925018226366E-2</v>
      </c>
      <c r="AF9" s="36">
        <f t="shared" si="11"/>
        <v>1.3330359483988145E-2</v>
      </c>
      <c r="AG9" s="32">
        <f t="shared" si="12"/>
        <v>1.4838982312878304E-2</v>
      </c>
      <c r="AH9" s="32">
        <f t="shared" si="13"/>
        <v>5.8864155401405446E-5</v>
      </c>
      <c r="AI9" s="36">
        <f t="shared" si="14"/>
        <v>1.4897846468279709E-2</v>
      </c>
      <c r="AJ9" s="128">
        <f>IF('Datos Mun'!B9="AMM",Y9,0)</f>
        <v>0</v>
      </c>
      <c r="AK9" s="36">
        <f t="shared" si="15"/>
        <v>0</v>
      </c>
      <c r="AL9" s="128">
        <f>IF('Datos Mun'!B9="AMM",0,Y9)</f>
        <v>18030</v>
      </c>
      <c r="AM9" s="36">
        <f t="shared" si="16"/>
        <v>2.0365448542509344E-2</v>
      </c>
      <c r="AN9" s="128">
        <f t="shared" si="17"/>
        <v>0</v>
      </c>
      <c r="AO9" s="36">
        <f t="shared" si="18"/>
        <v>0</v>
      </c>
      <c r="AP9" s="100">
        <f>IF('Datos Mun'!B9="AMM",'Art 14 F I'!F11,'Art 14 F I'!M11)</f>
        <v>3.5402922137440403E-2</v>
      </c>
      <c r="AQ9" s="38">
        <f>IF('Datos Mun'!D9="Zona de Crec",'Art 14 F I'!T11,0)</f>
        <v>0</v>
      </c>
    </row>
    <row r="10" spans="1:43">
      <c r="A10" s="17" t="s">
        <v>6</v>
      </c>
      <c r="B10" s="95" t="s">
        <v>108</v>
      </c>
      <c r="C10" s="95" t="s">
        <v>108</v>
      </c>
      <c r="D10" s="95" t="s">
        <v>109</v>
      </c>
      <c r="E10" s="18">
        <v>292840828.44000006</v>
      </c>
      <c r="F10" s="18">
        <v>679461530</v>
      </c>
      <c r="G10" s="295">
        <v>299493654.98000002</v>
      </c>
      <c r="H10" s="295">
        <v>683317463.73000002</v>
      </c>
      <c r="I10" s="14">
        <f t="shared" si="0"/>
        <v>0.43829357637834249</v>
      </c>
      <c r="J10" s="14">
        <f t="shared" si="1"/>
        <v>2.2718234255245096E-2</v>
      </c>
      <c r="K10" s="8">
        <v>27572</v>
      </c>
      <c r="L10" s="9">
        <v>4134</v>
      </c>
      <c r="M10" s="9">
        <v>4960</v>
      </c>
      <c r="N10" s="9">
        <v>1244</v>
      </c>
      <c r="O10" s="14">
        <f t="shared" si="2"/>
        <v>3.9529532272485512E-2</v>
      </c>
      <c r="P10" s="9">
        <v>34239.000000084088</v>
      </c>
      <c r="Q10" s="9">
        <v>3826</v>
      </c>
      <c r="R10" s="9">
        <v>1071</v>
      </c>
      <c r="S10" s="9">
        <v>267</v>
      </c>
      <c r="T10" s="14">
        <f t="shared" si="3"/>
        <v>4.7025042297749592E-2</v>
      </c>
      <c r="U10" s="14">
        <f t="shared" si="6"/>
        <v>0.18961797912497236</v>
      </c>
      <c r="V10" s="14">
        <f t="shared" si="7"/>
        <v>0</v>
      </c>
      <c r="W10" s="14">
        <f t="shared" si="4"/>
        <v>0</v>
      </c>
      <c r="X10" s="80">
        <v>238.03</v>
      </c>
      <c r="Y10" s="18">
        <v>656464</v>
      </c>
      <c r="Z10" s="81">
        <v>665734</v>
      </c>
      <c r="AA10" s="74">
        <v>19810827.893906925</v>
      </c>
      <c r="AB10" s="89">
        <f t="shared" si="8"/>
        <v>132011078.49811494</v>
      </c>
      <c r="AC10" s="36">
        <f t="shared" si="5"/>
        <v>8.2898048343445538E-2</v>
      </c>
      <c r="AD10" s="32">
        <f t="shared" si="9"/>
        <v>9.6464689247467608E-2</v>
      </c>
      <c r="AE10" s="32">
        <f t="shared" si="10"/>
        <v>5.5597044789998872E-4</v>
      </c>
      <c r="AF10" s="36">
        <f t="shared" si="11"/>
        <v>9.7020659695367592E-2</v>
      </c>
      <c r="AG10" s="32">
        <f t="shared" si="12"/>
        <v>3.9971285953087153E-2</v>
      </c>
      <c r="AH10" s="32">
        <f t="shared" si="13"/>
        <v>0</v>
      </c>
      <c r="AI10" s="36">
        <f t="shared" si="14"/>
        <v>3.9971285953087153E-2</v>
      </c>
      <c r="AJ10" s="128">
        <f>IF('Datos Mun'!B10="AMM",Y10,0)</f>
        <v>656464</v>
      </c>
      <c r="AK10" s="36">
        <f t="shared" si="15"/>
        <v>0.13399633689240861</v>
      </c>
      <c r="AL10" s="128">
        <f>IF('Datos Mun'!B10="AMM",0,Y10)</f>
        <v>0</v>
      </c>
      <c r="AM10" s="36">
        <f t="shared" si="16"/>
        <v>0</v>
      </c>
      <c r="AN10" s="128">
        <f t="shared" si="17"/>
        <v>656464</v>
      </c>
      <c r="AO10" s="36">
        <f t="shared" si="18"/>
        <v>0.21943487323890931</v>
      </c>
      <c r="AP10" s="100">
        <f>IF('Datos Mun'!B10="AMM",'Art 14 F I'!F12,'Art 14 F I'!M12)</f>
        <v>9.5202490072544749E-2</v>
      </c>
      <c r="AQ10" s="38">
        <f>IF('Datos Mun'!D10="Zona de Crec",'Art 14 F I'!T12,0)</f>
        <v>0.2680969319079935</v>
      </c>
    </row>
    <row r="11" spans="1:43">
      <c r="A11" s="17" t="s">
        <v>7</v>
      </c>
      <c r="B11" s="95" t="s">
        <v>106</v>
      </c>
      <c r="C11" s="95" t="s">
        <v>106</v>
      </c>
      <c r="D11" s="95" t="s">
        <v>107</v>
      </c>
      <c r="E11" s="18">
        <v>785811.45</v>
      </c>
      <c r="F11" s="18">
        <v>1835394</v>
      </c>
      <c r="G11" s="295">
        <v>788778.4</v>
      </c>
      <c r="H11" s="295">
        <v>1836204</v>
      </c>
      <c r="I11" s="14">
        <f t="shared" si="0"/>
        <v>0.42957013490875745</v>
      </c>
      <c r="J11" s="14">
        <f t="shared" si="1"/>
        <v>3.7756512710524514E-3</v>
      </c>
      <c r="K11" s="8">
        <v>3888</v>
      </c>
      <c r="L11" s="9">
        <v>1372</v>
      </c>
      <c r="M11" s="9">
        <v>11340</v>
      </c>
      <c r="N11" s="9">
        <v>3122</v>
      </c>
      <c r="O11" s="14">
        <f t="shared" si="2"/>
        <v>3.4598234920911047E-2</v>
      </c>
      <c r="P11" s="9">
        <v>3560.0000000065597</v>
      </c>
      <c r="Q11" s="9">
        <v>1140</v>
      </c>
      <c r="R11" s="9">
        <v>7405</v>
      </c>
      <c r="S11" s="9">
        <v>920</v>
      </c>
      <c r="T11" s="14">
        <f t="shared" si="3"/>
        <v>3.8484178834662916E-2</v>
      </c>
      <c r="U11" s="14">
        <f t="shared" si="6"/>
        <v>0.11231624742229894</v>
      </c>
      <c r="V11" s="14">
        <f t="shared" si="7"/>
        <v>0</v>
      </c>
      <c r="W11" s="14">
        <f t="shared" si="4"/>
        <v>0</v>
      </c>
      <c r="X11" s="80">
        <v>2664.8</v>
      </c>
      <c r="Y11" s="18">
        <v>14992</v>
      </c>
      <c r="Z11" s="81">
        <v>17800</v>
      </c>
      <c r="AA11" s="74">
        <v>8224675.0942434939</v>
      </c>
      <c r="AB11" s="89">
        <f t="shared" si="8"/>
        <v>338985.17937105609</v>
      </c>
      <c r="AC11" s="36">
        <f t="shared" si="5"/>
        <v>2.1287008716934795E-4</v>
      </c>
      <c r="AD11" s="32">
        <f t="shared" si="9"/>
        <v>2.2030128403050801E-3</v>
      </c>
      <c r="AE11" s="32">
        <f t="shared" si="10"/>
        <v>6.224215643254591E-3</v>
      </c>
      <c r="AF11" s="36">
        <f t="shared" si="11"/>
        <v>8.4272284835596716E-3</v>
      </c>
      <c r="AG11" s="32">
        <f t="shared" si="12"/>
        <v>3.2711552009463477E-2</v>
      </c>
      <c r="AH11" s="32">
        <f t="shared" si="13"/>
        <v>0</v>
      </c>
      <c r="AI11" s="36">
        <f t="shared" si="14"/>
        <v>3.2711552009463477E-2</v>
      </c>
      <c r="AJ11" s="128">
        <f>IF('Datos Mun'!B11="AMM",Y11,0)</f>
        <v>0</v>
      </c>
      <c r="AK11" s="36">
        <f t="shared" si="15"/>
        <v>0</v>
      </c>
      <c r="AL11" s="128">
        <f>IF('Datos Mun'!B11="AMM",0,Y11)</f>
        <v>14992</v>
      </c>
      <c r="AM11" s="36">
        <f t="shared" si="16"/>
        <v>1.6933932587315591E-2</v>
      </c>
      <c r="AN11" s="128">
        <f t="shared" si="17"/>
        <v>0</v>
      </c>
      <c r="AO11" s="36">
        <f t="shared" si="18"/>
        <v>0</v>
      </c>
      <c r="AP11" s="100">
        <f>IF('Datos Mun'!B11="AMM",'Art 14 F I'!F13,'Art 14 F I'!M13)</f>
        <v>5.0717105781676958E-2</v>
      </c>
      <c r="AQ11" s="38">
        <f>IF('Datos Mun'!D11="Zona de Crec",'Art 14 F I'!T13,0)</f>
        <v>0</v>
      </c>
    </row>
    <row r="12" spans="1:43">
      <c r="A12" s="17" t="s">
        <v>8</v>
      </c>
      <c r="B12" s="95" t="s">
        <v>106</v>
      </c>
      <c r="C12" s="95" t="s">
        <v>106</v>
      </c>
      <c r="D12" s="95" t="s">
        <v>107</v>
      </c>
      <c r="E12" s="18">
        <v>927656</v>
      </c>
      <c r="F12" s="18">
        <v>2443492</v>
      </c>
      <c r="G12" s="295">
        <v>799410</v>
      </c>
      <c r="H12" s="295">
        <v>2185720</v>
      </c>
      <c r="I12" s="14">
        <f t="shared" si="0"/>
        <v>0.36574218106619327</v>
      </c>
      <c r="J12" s="14">
        <f t="shared" si="1"/>
        <v>-0.13824736755866399</v>
      </c>
      <c r="K12" s="8">
        <v>739</v>
      </c>
      <c r="L12" s="9">
        <v>153</v>
      </c>
      <c r="M12" s="9">
        <v>789</v>
      </c>
      <c r="N12" s="9">
        <v>57</v>
      </c>
      <c r="O12" s="14">
        <f t="shared" si="2"/>
        <v>1.8214399438062257E-3</v>
      </c>
      <c r="P12" s="9">
        <v>518.99999999744</v>
      </c>
      <c r="Q12" s="9">
        <v>104</v>
      </c>
      <c r="R12" s="9">
        <v>89</v>
      </c>
      <c r="S12" s="9">
        <v>41</v>
      </c>
      <c r="T12" s="14">
        <f t="shared" si="3"/>
        <v>1.6906448867138209E-3</v>
      </c>
      <c r="U12" s="14">
        <f t="shared" si="6"/>
        <v>-7.1808602604313709E-2</v>
      </c>
      <c r="V12" s="14">
        <f t="shared" si="7"/>
        <v>7.1808602604313709E-2</v>
      </c>
      <c r="W12" s="14">
        <f t="shared" si="4"/>
        <v>1.3380845347842557E-2</v>
      </c>
      <c r="X12" s="80">
        <v>465.62</v>
      </c>
      <c r="Y12" s="18">
        <v>3661</v>
      </c>
      <c r="Z12" s="81">
        <v>4384</v>
      </c>
      <c r="AA12" s="74">
        <v>2974219.0794317215</v>
      </c>
      <c r="AB12" s="89">
        <f t="shared" si="8"/>
        <v>261534.04557903195</v>
      </c>
      <c r="AC12" s="36">
        <f t="shared" si="5"/>
        <v>1.6423365523960225E-4</v>
      </c>
      <c r="AD12" s="32">
        <f t="shared" si="9"/>
        <v>5.3796891731302686E-4</v>
      </c>
      <c r="AE12" s="32">
        <f t="shared" si="10"/>
        <v>1.0875560221450776E-3</v>
      </c>
      <c r="AF12" s="36">
        <f t="shared" si="11"/>
        <v>1.6255249394581043E-3</v>
      </c>
      <c r="AG12" s="32">
        <f t="shared" si="12"/>
        <v>1.4370481537067476E-3</v>
      </c>
      <c r="AH12" s="32">
        <f t="shared" si="13"/>
        <v>2.0071268021763836E-3</v>
      </c>
      <c r="AI12" s="36">
        <f t="shared" si="14"/>
        <v>3.4441749558831313E-3</v>
      </c>
      <c r="AJ12" s="128">
        <f>IF('Datos Mun'!B12="AMM",Y12,0)</f>
        <v>0</v>
      </c>
      <c r="AK12" s="36">
        <f t="shared" si="15"/>
        <v>0</v>
      </c>
      <c r="AL12" s="128">
        <f>IF('Datos Mun'!B12="AMM",0,Y12)</f>
        <v>3661</v>
      </c>
      <c r="AM12" s="36">
        <f t="shared" si="16"/>
        <v>4.1352139275721966E-3</v>
      </c>
      <c r="AN12" s="128">
        <f t="shared" si="17"/>
        <v>0</v>
      </c>
      <c r="AO12" s="36">
        <f t="shared" si="18"/>
        <v>0</v>
      </c>
      <c r="AP12" s="100">
        <f>IF('Datos Mun'!B12="AMM",'Art 14 F I'!F14,'Art 14 F I'!M14)</f>
        <v>6.5868537110246907E-3</v>
      </c>
      <c r="AQ12" s="38">
        <f>IF('Datos Mun'!D12="Zona de Crec",'Art 14 F I'!T14,0)</f>
        <v>0</v>
      </c>
    </row>
    <row r="13" spans="1:43">
      <c r="A13" s="17" t="s">
        <v>9</v>
      </c>
      <c r="B13" s="95" t="s">
        <v>108</v>
      </c>
      <c r="C13" s="95" t="s">
        <v>106</v>
      </c>
      <c r="D13" s="95" t="s">
        <v>109</v>
      </c>
      <c r="E13" s="18">
        <v>28519495.5</v>
      </c>
      <c r="F13" s="18">
        <v>96076042</v>
      </c>
      <c r="G13" s="295">
        <v>27527682</v>
      </c>
      <c r="H13" s="295">
        <v>110141115</v>
      </c>
      <c r="I13" s="14">
        <f t="shared" si="0"/>
        <v>0.24993102711916435</v>
      </c>
      <c r="J13" s="14">
        <f t="shared" si="1"/>
        <v>-3.4776684601591216E-2</v>
      </c>
      <c r="K13" s="8">
        <v>6662</v>
      </c>
      <c r="L13" s="9">
        <v>2055</v>
      </c>
      <c r="M13" s="9">
        <v>14558</v>
      </c>
      <c r="N13" s="9">
        <v>683</v>
      </c>
      <c r="O13" s="14">
        <f t="shared" si="2"/>
        <v>2.4992050690700995E-2</v>
      </c>
      <c r="P13" s="9">
        <v>5056.9999999440479</v>
      </c>
      <c r="Q13" s="9">
        <v>1587</v>
      </c>
      <c r="R13" s="9">
        <v>3489</v>
      </c>
      <c r="S13" s="9">
        <v>461</v>
      </c>
      <c r="T13" s="14">
        <f t="shared" si="3"/>
        <v>2.4875384301981683E-2</v>
      </c>
      <c r="U13" s="14">
        <f t="shared" si="6"/>
        <v>-4.6681398882853836E-3</v>
      </c>
      <c r="V13" s="14">
        <f t="shared" si="7"/>
        <v>4.6681398882853836E-3</v>
      </c>
      <c r="W13" s="14">
        <f t="shared" si="4"/>
        <v>8.6986315903450563E-4</v>
      </c>
      <c r="X13" s="80">
        <v>1140.97</v>
      </c>
      <c r="Y13" s="18">
        <v>122337</v>
      </c>
      <c r="Z13" s="81">
        <v>105145</v>
      </c>
      <c r="AA13" s="74">
        <v>6080772.1412531286</v>
      </c>
      <c r="AB13" s="89">
        <f t="shared" si="8"/>
        <v>7887224.1249605604</v>
      </c>
      <c r="AC13" s="36">
        <f t="shared" si="5"/>
        <v>4.9528834567919003E-3</v>
      </c>
      <c r="AD13" s="32">
        <f t="shared" si="9"/>
        <v>1.7976919813527389E-2</v>
      </c>
      <c r="AE13" s="32">
        <f t="shared" si="10"/>
        <v>2.6649817331447726E-3</v>
      </c>
      <c r="AF13" s="36">
        <f t="shared" si="11"/>
        <v>2.0641901546672163E-2</v>
      </c>
      <c r="AG13" s="32">
        <f t="shared" si="12"/>
        <v>2.114407665668443E-2</v>
      </c>
      <c r="AH13" s="32">
        <f t="shared" si="13"/>
        <v>1.3047947385517585E-4</v>
      </c>
      <c r="AI13" s="36">
        <f t="shared" si="14"/>
        <v>2.1274556130539607E-2</v>
      </c>
      <c r="AJ13" s="128">
        <f>IF('Datos Mun'!B13="AMM",Y13,0)</f>
        <v>122337</v>
      </c>
      <c r="AK13" s="36">
        <f t="shared" si="15"/>
        <v>2.4971224418104562E-2</v>
      </c>
      <c r="AL13" s="128">
        <f>IF('Datos Mun'!B13="AMM",0,Y13)</f>
        <v>0</v>
      </c>
      <c r="AM13" s="36">
        <f t="shared" si="16"/>
        <v>0</v>
      </c>
      <c r="AN13" s="128">
        <f t="shared" si="17"/>
        <v>122337</v>
      </c>
      <c r="AO13" s="36">
        <f t="shared" si="18"/>
        <v>4.0893337772411664E-2</v>
      </c>
      <c r="AP13" s="100">
        <f>IF('Datos Mun'!B13="AMM",'Art 14 F I'!F15,'Art 14 F I'!M15)</f>
        <v>1.6293922256937415E-2</v>
      </c>
      <c r="AQ13" s="38">
        <f>IF('Datos Mun'!D13="Zona de Crec",'Art 14 F I'!T15,0)</f>
        <v>4.5884835181344369E-2</v>
      </c>
    </row>
    <row r="14" spans="1:43">
      <c r="A14" s="17" t="s">
        <v>10</v>
      </c>
      <c r="B14" s="95" t="s">
        <v>106</v>
      </c>
      <c r="C14" s="95" t="s">
        <v>106</v>
      </c>
      <c r="D14" s="95" t="s">
        <v>109</v>
      </c>
      <c r="E14" s="18">
        <v>6103961.7199999997</v>
      </c>
      <c r="F14" s="18">
        <v>25918809</v>
      </c>
      <c r="G14" s="295">
        <v>4946842.92</v>
      </c>
      <c r="H14" s="295">
        <v>32779189</v>
      </c>
      <c r="I14" s="14">
        <f t="shared" si="0"/>
        <v>0.15091413396469328</v>
      </c>
      <c r="J14" s="14">
        <f t="shared" si="1"/>
        <v>-0.1895684889714544</v>
      </c>
      <c r="K14" s="8">
        <v>981</v>
      </c>
      <c r="L14" s="9">
        <v>219</v>
      </c>
      <c r="M14" s="9">
        <v>1075</v>
      </c>
      <c r="N14" s="9">
        <v>108</v>
      </c>
      <c r="O14" s="14">
        <f t="shared" si="2"/>
        <v>2.6902734400869759E-3</v>
      </c>
      <c r="P14" s="9">
        <v>716.99999998365001</v>
      </c>
      <c r="Q14" s="9">
        <v>253</v>
      </c>
      <c r="R14" s="9">
        <v>273</v>
      </c>
      <c r="S14" s="9">
        <v>153</v>
      </c>
      <c r="T14" s="14">
        <f t="shared" si="3"/>
        <v>4.7685085778216962E-3</v>
      </c>
      <c r="U14" s="14">
        <f t="shared" si="6"/>
        <v>0.77249959307762084</v>
      </c>
      <c r="V14" s="14">
        <f t="shared" si="7"/>
        <v>0</v>
      </c>
      <c r="W14" s="14">
        <f t="shared" si="4"/>
        <v>0</v>
      </c>
      <c r="X14" s="80">
        <v>102.38</v>
      </c>
      <c r="Y14" s="18">
        <v>104478</v>
      </c>
      <c r="Z14" s="81">
        <v>47326</v>
      </c>
      <c r="AA14" s="74">
        <v>3660359.1184544452</v>
      </c>
      <c r="AB14" s="89">
        <f t="shared" si="8"/>
        <v>944150.43820702273</v>
      </c>
      <c r="AC14" s="36">
        <f t="shared" si="5"/>
        <v>5.9289136609158675E-4</v>
      </c>
      <c r="AD14" s="32">
        <f t="shared" si="9"/>
        <v>1.5352613095610606E-2</v>
      </c>
      <c r="AE14" s="32">
        <f t="shared" si="10"/>
        <v>2.3913059049699976E-4</v>
      </c>
      <c r="AF14" s="36">
        <f t="shared" si="11"/>
        <v>1.5591743686107605E-2</v>
      </c>
      <c r="AG14" s="32">
        <f t="shared" si="12"/>
        <v>4.0532322911484417E-3</v>
      </c>
      <c r="AH14" s="32">
        <f t="shared" si="13"/>
        <v>0</v>
      </c>
      <c r="AI14" s="36">
        <f t="shared" si="14"/>
        <v>4.0532322911484417E-3</v>
      </c>
      <c r="AJ14" s="128">
        <f>IF('Datos Mun'!B14="AMM",Y14,0)</f>
        <v>0</v>
      </c>
      <c r="AK14" s="36">
        <f t="shared" si="15"/>
        <v>0</v>
      </c>
      <c r="AL14" s="128">
        <f>IF('Datos Mun'!B14="AMM",0,Y14)</f>
        <v>104478</v>
      </c>
      <c r="AM14" s="36">
        <f t="shared" si="16"/>
        <v>0.11801116654599508</v>
      </c>
      <c r="AN14" s="128">
        <f t="shared" si="17"/>
        <v>104478</v>
      </c>
      <c r="AO14" s="36">
        <f t="shared" si="18"/>
        <v>3.4923646515657776E-2</v>
      </c>
      <c r="AP14" s="100">
        <f>IF('Datos Mun'!B14="AMM",'Art 14 F I'!F16,'Art 14 F I'!M16)</f>
        <v>2.5417730699558033E-2</v>
      </c>
      <c r="AQ14" s="38">
        <f>IF('Datos Mun'!D14="Zona de Crec",'Art 14 F I'!T16,0)</f>
        <v>1.844413159860258E-2</v>
      </c>
    </row>
    <row r="15" spans="1:43">
      <c r="A15" s="17" t="s">
        <v>11</v>
      </c>
      <c r="B15" s="95" t="s">
        <v>106</v>
      </c>
      <c r="C15" s="95" t="s">
        <v>106</v>
      </c>
      <c r="D15" s="95" t="s">
        <v>107</v>
      </c>
      <c r="E15" s="18">
        <v>826855</v>
      </c>
      <c r="F15" s="18">
        <v>2065528</v>
      </c>
      <c r="G15" s="295">
        <v>1221813</v>
      </c>
      <c r="H15" s="295">
        <v>2853628</v>
      </c>
      <c r="I15" s="14">
        <f t="shared" si="0"/>
        <v>0.42816127399927389</v>
      </c>
      <c r="J15" s="14">
        <f t="shared" si="1"/>
        <v>0.47766295178719365</v>
      </c>
      <c r="K15" s="8">
        <v>1343</v>
      </c>
      <c r="L15" s="9">
        <v>344</v>
      </c>
      <c r="M15" s="9">
        <v>1532</v>
      </c>
      <c r="N15" s="9">
        <v>359</v>
      </c>
      <c r="O15" s="14">
        <f t="shared" si="2"/>
        <v>5.2022887779602407E-3</v>
      </c>
      <c r="P15" s="9">
        <v>655.00000000354908</v>
      </c>
      <c r="Q15" s="9">
        <v>319</v>
      </c>
      <c r="R15" s="9">
        <v>345</v>
      </c>
      <c r="S15" s="9">
        <v>110</v>
      </c>
      <c r="T15" s="14">
        <f t="shared" si="3"/>
        <v>4.3080466935839033E-3</v>
      </c>
      <c r="U15" s="14">
        <f t="shared" si="6"/>
        <v>-0.17189397254624528</v>
      </c>
      <c r="V15" s="14">
        <f t="shared" si="7"/>
        <v>0.17189397254624528</v>
      </c>
      <c r="W15" s="14">
        <f t="shared" si="4"/>
        <v>3.2030795468082691E-2</v>
      </c>
      <c r="X15" s="80">
        <v>1006.89</v>
      </c>
      <c r="Y15" s="18">
        <v>7340</v>
      </c>
      <c r="Z15" s="81">
        <v>8324</v>
      </c>
      <c r="AA15" s="74">
        <v>3693123.3689814457</v>
      </c>
      <c r="AB15" s="89">
        <f t="shared" si="8"/>
        <v>722733.85157160775</v>
      </c>
      <c r="AC15" s="36">
        <f t="shared" si="5"/>
        <v>4.5384998326396719E-4</v>
      </c>
      <c r="AD15" s="32">
        <f t="shared" si="9"/>
        <v>1.0785828607150006E-3</v>
      </c>
      <c r="AE15" s="32">
        <f t="shared" si="10"/>
        <v>2.3518089496534882E-3</v>
      </c>
      <c r="AF15" s="36">
        <f t="shared" si="11"/>
        <v>3.430391810368489E-3</v>
      </c>
      <c r="AG15" s="32">
        <f t="shared" si="12"/>
        <v>3.6618396895463177E-3</v>
      </c>
      <c r="AH15" s="32">
        <f t="shared" si="13"/>
        <v>4.8046193202124039E-3</v>
      </c>
      <c r="AI15" s="36">
        <f t="shared" si="14"/>
        <v>8.4664590097587207E-3</v>
      </c>
      <c r="AJ15" s="128">
        <f>IF('Datos Mun'!B15="AMM",Y15,0)</f>
        <v>0</v>
      </c>
      <c r="AK15" s="36">
        <f t="shared" si="15"/>
        <v>0</v>
      </c>
      <c r="AL15" s="128">
        <f>IF('Datos Mun'!B15="AMM",0,Y15)</f>
        <v>7340</v>
      </c>
      <c r="AM15" s="36">
        <f t="shared" si="16"/>
        <v>8.2907594177492275E-3</v>
      </c>
      <c r="AN15" s="128">
        <f t="shared" si="17"/>
        <v>0</v>
      </c>
      <c r="AO15" s="36">
        <f t="shared" si="18"/>
        <v>0</v>
      </c>
      <c r="AP15" s="100">
        <f>IF('Datos Mun'!B15="AMM",'Art 14 F I'!F17,'Art 14 F I'!M17)</f>
        <v>1.5624136795196747E-2</v>
      </c>
      <c r="AQ15" s="38">
        <f>IF('Datos Mun'!D15="Zona de Crec",'Art 14 F I'!T17,0)</f>
        <v>0</v>
      </c>
    </row>
    <row r="16" spans="1:43">
      <c r="A16" s="17" t="s">
        <v>12</v>
      </c>
      <c r="B16" s="95" t="s">
        <v>106</v>
      </c>
      <c r="C16" s="95" t="s">
        <v>106</v>
      </c>
      <c r="D16" s="95" t="s">
        <v>107</v>
      </c>
      <c r="E16" s="18">
        <v>1648610</v>
      </c>
      <c r="F16" s="18">
        <v>4522487</v>
      </c>
      <c r="G16" s="295">
        <v>1408205</v>
      </c>
      <c r="H16" s="295">
        <v>4729640</v>
      </c>
      <c r="I16" s="14">
        <f t="shared" si="0"/>
        <v>0.29774041998968209</v>
      </c>
      <c r="J16" s="14">
        <f t="shared" si="1"/>
        <v>-0.1458228446994741</v>
      </c>
      <c r="K16" s="8">
        <v>2046</v>
      </c>
      <c r="L16" s="9">
        <v>494</v>
      </c>
      <c r="M16" s="9">
        <v>4758</v>
      </c>
      <c r="N16" s="9">
        <v>898</v>
      </c>
      <c r="O16" s="14">
        <f t="shared" si="2"/>
        <v>1.1896172975626618E-2</v>
      </c>
      <c r="P16" s="9">
        <v>787.99999998764804</v>
      </c>
      <c r="Q16" s="9">
        <v>378</v>
      </c>
      <c r="R16" s="9">
        <v>1925</v>
      </c>
      <c r="S16" s="9">
        <v>123</v>
      </c>
      <c r="T16" s="14">
        <f t="shared" si="3"/>
        <v>8.0591670203057422E-3</v>
      </c>
      <c r="U16" s="14">
        <f t="shared" si="6"/>
        <v>-0.32254120406472697</v>
      </c>
      <c r="V16" s="14">
        <f t="shared" si="7"/>
        <v>0.32254120406472697</v>
      </c>
      <c r="W16" s="14">
        <f t="shared" si="4"/>
        <v>6.0102464236475396E-2</v>
      </c>
      <c r="X16" s="80">
        <v>4292.05</v>
      </c>
      <c r="Y16" s="18">
        <v>9930</v>
      </c>
      <c r="Z16" s="81">
        <v>11962</v>
      </c>
      <c r="AA16" s="74">
        <v>5563132.2810582956</v>
      </c>
      <c r="AB16" s="89">
        <f t="shared" si="8"/>
        <v>438484.69260939833</v>
      </c>
      <c r="AC16" s="36">
        <f t="shared" si="5"/>
        <v>2.7535208150211281E-4</v>
      </c>
      <c r="AD16" s="32">
        <f t="shared" si="9"/>
        <v>1.4591727257356889E-3</v>
      </c>
      <c r="AE16" s="32">
        <f t="shared" si="10"/>
        <v>1.002500928836343E-2</v>
      </c>
      <c r="AF16" s="36">
        <f t="shared" si="11"/>
        <v>1.1484182014099118E-2</v>
      </c>
      <c r="AG16" s="32">
        <f t="shared" si="12"/>
        <v>6.8502919672598804E-3</v>
      </c>
      <c r="AH16" s="32">
        <f t="shared" si="13"/>
        <v>9.0153696354713098E-3</v>
      </c>
      <c r="AI16" s="36">
        <f t="shared" si="14"/>
        <v>1.5865661602731191E-2</v>
      </c>
      <c r="AJ16" s="128">
        <f>IF('Datos Mun'!B16="AMM",Y16,0)</f>
        <v>0</v>
      </c>
      <c r="AK16" s="36">
        <f t="shared" si="15"/>
        <v>0</v>
      </c>
      <c r="AL16" s="128">
        <f>IF('Datos Mun'!B16="AMM",0,Y16)</f>
        <v>9930</v>
      </c>
      <c r="AM16" s="36">
        <f t="shared" si="16"/>
        <v>1.1216245370333765E-2</v>
      </c>
      <c r="AN16" s="128">
        <f t="shared" si="17"/>
        <v>0</v>
      </c>
      <c r="AO16" s="36">
        <f t="shared" si="18"/>
        <v>0</v>
      </c>
      <c r="AP16" s="100">
        <f>IF('Datos Mun'!B16="AMM",'Art 14 F I'!F18,'Art 14 F I'!M18)</f>
        <v>3.4044300533164665E-2</v>
      </c>
      <c r="AQ16" s="38">
        <f>IF('Datos Mun'!D16="Zona de Crec",'Art 14 F I'!T18,0)</f>
        <v>0</v>
      </c>
    </row>
    <row r="17" spans="1:43">
      <c r="A17" s="17" t="s">
        <v>13</v>
      </c>
      <c r="B17" s="95" t="s">
        <v>106</v>
      </c>
      <c r="C17" s="95" t="s">
        <v>106</v>
      </c>
      <c r="D17" s="95" t="s">
        <v>109</v>
      </c>
      <c r="E17" s="18">
        <v>14225141</v>
      </c>
      <c r="F17" s="18">
        <v>45557174</v>
      </c>
      <c r="G17" s="295">
        <v>12990205</v>
      </c>
      <c r="H17" s="295">
        <v>49791403.200000003</v>
      </c>
      <c r="I17" s="14">
        <f t="shared" si="0"/>
        <v>0.26089252692521026</v>
      </c>
      <c r="J17" s="14">
        <f t="shared" si="1"/>
        <v>-8.6813621038975997E-2</v>
      </c>
      <c r="K17" s="8">
        <v>1162</v>
      </c>
      <c r="L17" s="9">
        <v>349</v>
      </c>
      <c r="M17" s="9">
        <v>489</v>
      </c>
      <c r="N17" s="9">
        <v>43</v>
      </c>
      <c r="O17" s="14">
        <f t="shared" si="2"/>
        <v>2.3119536336203231E-3</v>
      </c>
      <c r="P17" s="9">
        <v>2032.9999999577099</v>
      </c>
      <c r="Q17" s="9">
        <v>358</v>
      </c>
      <c r="R17" s="9">
        <v>131</v>
      </c>
      <c r="S17" s="9">
        <v>31</v>
      </c>
      <c r="T17" s="14">
        <f t="shared" si="3"/>
        <v>3.6514914876276086E-3</v>
      </c>
      <c r="U17" s="14">
        <f t="shared" si="6"/>
        <v>0.57939650455259473</v>
      </c>
      <c r="V17" s="14">
        <f t="shared" si="7"/>
        <v>0</v>
      </c>
      <c r="W17" s="14">
        <f t="shared" si="4"/>
        <v>0</v>
      </c>
      <c r="X17" s="80">
        <v>146.56</v>
      </c>
      <c r="Y17" s="18">
        <v>68747</v>
      </c>
      <c r="Z17" s="81">
        <v>50563</v>
      </c>
      <c r="AA17" s="74">
        <v>3096584.7941487241</v>
      </c>
      <c r="AB17" s="89">
        <f t="shared" si="8"/>
        <v>3704036.2938672402</v>
      </c>
      <c r="AC17" s="36">
        <f t="shared" si="5"/>
        <v>2.3259970545522657E-3</v>
      </c>
      <c r="AD17" s="32">
        <f t="shared" si="9"/>
        <v>1.010208936315724E-2</v>
      </c>
      <c r="AE17" s="32">
        <f t="shared" si="10"/>
        <v>3.4232251751553313E-4</v>
      </c>
      <c r="AF17" s="36">
        <f t="shared" si="11"/>
        <v>1.0444411880672773E-2</v>
      </c>
      <c r="AG17" s="32">
        <f t="shared" si="12"/>
        <v>3.1037677644834673E-3</v>
      </c>
      <c r="AH17" s="32">
        <f t="shared" si="13"/>
        <v>0</v>
      </c>
      <c r="AI17" s="36">
        <f t="shared" si="14"/>
        <v>3.1037677644834673E-3</v>
      </c>
      <c r="AJ17" s="128">
        <f>IF('Datos Mun'!B17="AMM",Y17,0)</f>
        <v>0</v>
      </c>
      <c r="AK17" s="36">
        <f t="shared" si="15"/>
        <v>0</v>
      </c>
      <c r="AL17" s="128">
        <f>IF('Datos Mun'!B17="AMM",0,Y17)</f>
        <v>68747</v>
      </c>
      <c r="AM17" s="36">
        <f t="shared" si="16"/>
        <v>7.7651885244142529E-2</v>
      </c>
      <c r="AN17" s="128">
        <f t="shared" si="17"/>
        <v>68747</v>
      </c>
      <c r="AO17" s="36">
        <f t="shared" si="18"/>
        <v>2.2979918518845358E-2</v>
      </c>
      <c r="AP17" s="100">
        <f>IF('Datos Mun'!B17="AMM",'Art 14 F I'!F19,'Art 14 F I'!M19)</f>
        <v>2.2207886021997813E-2</v>
      </c>
      <c r="AQ17" s="38">
        <f>IF('Datos Mun'!D17="Zona de Crec",'Art 14 F I'!T19,0)</f>
        <v>1.611493870786886E-2</v>
      </c>
    </row>
    <row r="18" spans="1:43">
      <c r="A18" s="17" t="s">
        <v>14</v>
      </c>
      <c r="B18" s="95" t="s">
        <v>106</v>
      </c>
      <c r="C18" s="95" t="s">
        <v>106</v>
      </c>
      <c r="D18" s="95" t="s">
        <v>107</v>
      </c>
      <c r="E18" s="18">
        <v>766514</v>
      </c>
      <c r="F18" s="18">
        <v>6492908</v>
      </c>
      <c r="G18" s="295">
        <v>691812</v>
      </c>
      <c r="H18" s="295">
        <v>6711875</v>
      </c>
      <c r="I18" s="14">
        <f t="shared" si="0"/>
        <v>0.10307283732191079</v>
      </c>
      <c r="J18" s="14">
        <f t="shared" si="1"/>
        <v>-9.7456797918889934E-2</v>
      </c>
      <c r="K18" s="8">
        <v>7369</v>
      </c>
      <c r="L18" s="9">
        <v>3474</v>
      </c>
      <c r="M18" s="9">
        <v>27910</v>
      </c>
      <c r="N18" s="9">
        <v>2988</v>
      </c>
      <c r="O18" s="14">
        <f t="shared" si="2"/>
        <v>5.4151178076420683E-2</v>
      </c>
      <c r="P18" s="9">
        <v>7387.0000000238397</v>
      </c>
      <c r="Q18" s="9">
        <v>3170</v>
      </c>
      <c r="R18" s="9">
        <v>23798</v>
      </c>
      <c r="S18" s="9">
        <v>1385</v>
      </c>
      <c r="T18" s="14">
        <f t="shared" si="3"/>
        <v>9.0180106426097695E-2</v>
      </c>
      <c r="U18" s="14">
        <f t="shared" si="6"/>
        <v>0.66533969582030694</v>
      </c>
      <c r="V18" s="14">
        <f t="shared" si="7"/>
        <v>0</v>
      </c>
      <c r="W18" s="14">
        <f t="shared" si="4"/>
        <v>0</v>
      </c>
      <c r="X18" s="80">
        <v>5091.18</v>
      </c>
      <c r="Y18" s="18">
        <v>36088</v>
      </c>
      <c r="Z18" s="81">
        <v>37859</v>
      </c>
      <c r="AA18" s="74">
        <v>18511579.143657368</v>
      </c>
      <c r="AB18" s="89">
        <f t="shared" si="8"/>
        <v>73711.785742844353</v>
      </c>
      <c r="AC18" s="36">
        <f t="shared" si="5"/>
        <v>4.6288260405957263E-5</v>
      </c>
      <c r="AD18" s="32">
        <f t="shared" si="9"/>
        <v>5.3029834165508102E-3</v>
      </c>
      <c r="AE18" s="32">
        <f t="shared" si="10"/>
        <v>1.1891549909420936E-2</v>
      </c>
      <c r="AF18" s="36">
        <f t="shared" si="11"/>
        <v>1.7194533325971748E-2</v>
      </c>
      <c r="AG18" s="32">
        <f t="shared" si="12"/>
        <v>7.6653090462183035E-2</v>
      </c>
      <c r="AH18" s="32">
        <f t="shared" si="13"/>
        <v>0</v>
      </c>
      <c r="AI18" s="36">
        <f t="shared" si="14"/>
        <v>7.6653090462183035E-2</v>
      </c>
      <c r="AJ18" s="128">
        <f>IF('Datos Mun'!B18="AMM",Y18,0)</f>
        <v>0</v>
      </c>
      <c r="AK18" s="36">
        <f t="shared" si="15"/>
        <v>0</v>
      </c>
      <c r="AL18" s="128">
        <f>IF('Datos Mun'!B18="AMM",0,Y18)</f>
        <v>36088</v>
      </c>
      <c r="AM18" s="36">
        <f t="shared" si="16"/>
        <v>4.0762523960181762E-2</v>
      </c>
      <c r="AN18" s="128">
        <f t="shared" si="17"/>
        <v>0</v>
      </c>
      <c r="AO18" s="36">
        <f t="shared" si="18"/>
        <v>0</v>
      </c>
      <c r="AP18" s="100">
        <f>IF('Datos Mun'!B18="AMM",'Art 14 F I'!F20,'Art 14 F I'!M20)</f>
        <v>0.11462600794439014</v>
      </c>
      <c r="AQ18" s="38">
        <f>IF('Datos Mun'!D18="Zona de Crec",'Art 14 F I'!T20,0)</f>
        <v>0</v>
      </c>
    </row>
    <row r="19" spans="1:43">
      <c r="A19" s="17" t="s">
        <v>15</v>
      </c>
      <c r="B19" s="95" t="s">
        <v>106</v>
      </c>
      <c r="C19" s="95" t="s">
        <v>106</v>
      </c>
      <c r="D19" s="95" t="s">
        <v>107</v>
      </c>
      <c r="E19" s="18">
        <v>328496</v>
      </c>
      <c r="F19" s="18">
        <v>1493874</v>
      </c>
      <c r="G19" s="295">
        <v>329170</v>
      </c>
      <c r="H19" s="295">
        <v>1548836</v>
      </c>
      <c r="I19" s="14">
        <f t="shared" si="0"/>
        <v>0.21252734311444207</v>
      </c>
      <c r="J19" s="14">
        <f t="shared" si="1"/>
        <v>2.051775364083581E-3</v>
      </c>
      <c r="K19" s="8">
        <v>381</v>
      </c>
      <c r="L19" s="9">
        <v>111</v>
      </c>
      <c r="M19" s="9">
        <v>881</v>
      </c>
      <c r="N19" s="9">
        <v>100</v>
      </c>
      <c r="O19" s="14">
        <f t="shared" si="2"/>
        <v>1.8361963451452015E-3</v>
      </c>
      <c r="P19" s="9">
        <v>157.99999999728001</v>
      </c>
      <c r="Q19" s="9">
        <v>83</v>
      </c>
      <c r="R19" s="9">
        <v>189</v>
      </c>
      <c r="S19" s="9">
        <v>25</v>
      </c>
      <c r="T19" s="14">
        <f t="shared" si="3"/>
        <v>1.2466935297393157E-3</v>
      </c>
      <c r="U19" s="14">
        <f t="shared" si="6"/>
        <v>-0.32104563162022282</v>
      </c>
      <c r="V19" s="14">
        <f t="shared" si="7"/>
        <v>0.32104563162022282</v>
      </c>
      <c r="W19" s="14">
        <f t="shared" si="4"/>
        <v>5.982377863529921E-2</v>
      </c>
      <c r="X19" s="80">
        <v>720.74</v>
      </c>
      <c r="Y19" s="18">
        <v>1360</v>
      </c>
      <c r="Z19" s="81">
        <v>1845</v>
      </c>
      <c r="AA19" s="74">
        <v>2627805.792300446</v>
      </c>
      <c r="AB19" s="89">
        <f t="shared" si="8"/>
        <v>72531.477822092085</v>
      </c>
      <c r="AC19" s="36">
        <f t="shared" si="5"/>
        <v>4.5547070922560457E-5</v>
      </c>
      <c r="AD19" s="32">
        <f t="shared" si="9"/>
        <v>1.9984641560931893E-4</v>
      </c>
      <c r="AE19" s="32">
        <f t="shared" si="10"/>
        <v>1.683443854217695E-3</v>
      </c>
      <c r="AF19" s="36">
        <f t="shared" si="11"/>
        <v>1.883290269827014E-3</v>
      </c>
      <c r="AG19" s="32">
        <f t="shared" si="12"/>
        <v>1.0596895002784182E-3</v>
      </c>
      <c r="AH19" s="32">
        <f t="shared" si="13"/>
        <v>8.9735667952948808E-3</v>
      </c>
      <c r="AI19" s="36">
        <f t="shared" si="14"/>
        <v>1.0033256295573299E-2</v>
      </c>
      <c r="AJ19" s="128">
        <f>IF('Datos Mun'!B19="AMM",Y19,0)</f>
        <v>0</v>
      </c>
      <c r="AK19" s="36">
        <f t="shared" si="15"/>
        <v>0</v>
      </c>
      <c r="AL19" s="128">
        <f>IF('Datos Mun'!B19="AMM",0,Y19)</f>
        <v>1360</v>
      </c>
      <c r="AM19" s="36">
        <f t="shared" si="16"/>
        <v>1.536162507920838E-3</v>
      </c>
      <c r="AN19" s="128">
        <f t="shared" si="17"/>
        <v>0</v>
      </c>
      <c r="AO19" s="36">
        <f t="shared" si="18"/>
        <v>0</v>
      </c>
      <c r="AP19" s="100">
        <f>IF('Datos Mun'!B19="AMM",'Art 14 F I'!F21,'Art 14 F I'!M21)</f>
        <v>1.4651745627273479E-2</v>
      </c>
      <c r="AQ19" s="38">
        <f>IF('Datos Mun'!D19="Zona de Crec",'Art 14 F I'!T21,0)</f>
        <v>0</v>
      </c>
    </row>
    <row r="20" spans="1:43">
      <c r="A20" s="17" t="s">
        <v>16</v>
      </c>
      <c r="B20" s="95" t="s">
        <v>106</v>
      </c>
      <c r="C20" s="95" t="s">
        <v>106</v>
      </c>
      <c r="D20" s="95" t="s">
        <v>107</v>
      </c>
      <c r="E20" s="18">
        <v>704192</v>
      </c>
      <c r="F20" s="18">
        <v>2353237</v>
      </c>
      <c r="G20" s="295">
        <v>632096</v>
      </c>
      <c r="H20" s="295">
        <v>2192867</v>
      </c>
      <c r="I20" s="14">
        <f t="shared" si="0"/>
        <v>0.28825095183611227</v>
      </c>
      <c r="J20" s="14">
        <f t="shared" si="1"/>
        <v>-0.10238116877215304</v>
      </c>
      <c r="K20" s="8">
        <v>519</v>
      </c>
      <c r="L20" s="9">
        <v>176</v>
      </c>
      <c r="M20" s="9">
        <v>1034</v>
      </c>
      <c r="N20" s="9">
        <v>145</v>
      </c>
      <c r="O20" s="14">
        <f t="shared" si="2"/>
        <v>2.5035278635428637E-3</v>
      </c>
      <c r="P20" s="9">
        <v>277.00000000287605</v>
      </c>
      <c r="Q20" s="9">
        <v>136</v>
      </c>
      <c r="R20" s="9">
        <v>317</v>
      </c>
      <c r="S20" s="9">
        <v>84</v>
      </c>
      <c r="T20" s="14">
        <f t="shared" si="3"/>
        <v>2.8557104435277978E-3</v>
      </c>
      <c r="U20" s="14">
        <f t="shared" si="6"/>
        <v>0.14067451979006276</v>
      </c>
      <c r="V20" s="14">
        <f t="shared" si="7"/>
        <v>0</v>
      </c>
      <c r="W20" s="14">
        <f t="shared" si="4"/>
        <v>0</v>
      </c>
      <c r="X20" s="80">
        <v>615.78</v>
      </c>
      <c r="Y20" s="18">
        <v>3256</v>
      </c>
      <c r="Z20" s="81">
        <v>3294</v>
      </c>
      <c r="AA20" s="74">
        <v>896589.74590828759</v>
      </c>
      <c r="AB20" s="89">
        <f t="shared" si="8"/>
        <v>169785.42884375862</v>
      </c>
      <c r="AC20" s="36">
        <f t="shared" si="5"/>
        <v>1.0661893568654935E-4</v>
      </c>
      <c r="AD20" s="32">
        <f t="shared" si="9"/>
        <v>4.7845583031172234E-4</v>
      </c>
      <c r="AE20" s="32">
        <f t="shared" si="10"/>
        <v>1.4382871167829899E-3</v>
      </c>
      <c r="AF20" s="36">
        <f t="shared" si="11"/>
        <v>1.9167429470947123E-3</v>
      </c>
      <c r="AG20" s="32">
        <f t="shared" si="12"/>
        <v>2.4273538769986279E-3</v>
      </c>
      <c r="AH20" s="32">
        <f t="shared" si="13"/>
        <v>0</v>
      </c>
      <c r="AI20" s="36">
        <f t="shared" si="14"/>
        <v>2.4273538769986279E-3</v>
      </c>
      <c r="AJ20" s="128">
        <f>IF('Datos Mun'!B20="AMM",Y20,0)</f>
        <v>0</v>
      </c>
      <c r="AK20" s="36">
        <f t="shared" si="15"/>
        <v>0</v>
      </c>
      <c r="AL20" s="128">
        <f>IF('Datos Mun'!B20="AMM",0,Y20)</f>
        <v>3256</v>
      </c>
      <c r="AM20" s="36">
        <f t="shared" si="16"/>
        <v>3.6777537689634179E-3</v>
      </c>
      <c r="AN20" s="128">
        <f t="shared" si="17"/>
        <v>0</v>
      </c>
      <c r="AO20" s="36">
        <f t="shared" si="18"/>
        <v>0</v>
      </c>
      <c r="AP20" s="100">
        <f>IF('Datos Mun'!B20="AMM",'Art 14 F I'!F22,'Art 14 F I'!M22)</f>
        <v>5.5608683107940763E-3</v>
      </c>
      <c r="AQ20" s="38">
        <f>IF('Datos Mun'!D20="Zona de Crec",'Art 14 F I'!T22,0)</f>
        <v>0</v>
      </c>
    </row>
    <row r="21" spans="1:43">
      <c r="A21" s="17" t="s">
        <v>17</v>
      </c>
      <c r="B21" s="95" t="s">
        <v>106</v>
      </c>
      <c r="C21" s="95" t="s">
        <v>106</v>
      </c>
      <c r="D21" s="95" t="s">
        <v>107</v>
      </c>
      <c r="E21" s="18">
        <v>1253081</v>
      </c>
      <c r="F21" s="18">
        <v>9897478</v>
      </c>
      <c r="G21" s="295">
        <v>1193413</v>
      </c>
      <c r="H21" s="295">
        <v>10046865</v>
      </c>
      <c r="I21" s="14">
        <f t="shared" si="0"/>
        <v>0.11878461589759591</v>
      </c>
      <c r="J21" s="14">
        <f t="shared" si="1"/>
        <v>-4.7617033535741107E-2</v>
      </c>
      <c r="K21" s="8">
        <v>6824</v>
      </c>
      <c r="L21" s="9">
        <v>2866</v>
      </c>
      <c r="M21" s="9">
        <v>26645</v>
      </c>
      <c r="N21" s="9">
        <v>2369</v>
      </c>
      <c r="O21" s="14">
        <f t="shared" si="2"/>
        <v>4.7204442280875711E-2</v>
      </c>
      <c r="P21" s="9">
        <v>7532.9999999958</v>
      </c>
      <c r="Q21" s="9">
        <v>2466</v>
      </c>
      <c r="R21" s="9">
        <v>13627</v>
      </c>
      <c r="S21" s="9">
        <v>715</v>
      </c>
      <c r="T21" s="14">
        <f t="shared" si="3"/>
        <v>5.5035533032423221E-2</v>
      </c>
      <c r="U21" s="14">
        <f t="shared" si="6"/>
        <v>0.16589732603874402</v>
      </c>
      <c r="V21" s="14">
        <f t="shared" si="7"/>
        <v>0</v>
      </c>
      <c r="W21" s="14">
        <f t="shared" si="4"/>
        <v>0</v>
      </c>
      <c r="X21" s="80">
        <v>7010.79</v>
      </c>
      <c r="Y21" s="18">
        <v>40903</v>
      </c>
      <c r="Z21" s="81">
        <v>44989</v>
      </c>
      <c r="AA21" s="74">
        <v>13770707.582336776</v>
      </c>
      <c r="AB21" s="89">
        <f t="shared" si="8"/>
        <v>143898.73749343015</v>
      </c>
      <c r="AC21" s="36">
        <f t="shared" si="5"/>
        <v>9.0363056138970116E-5</v>
      </c>
      <c r="AD21" s="32">
        <f t="shared" si="9"/>
        <v>6.0105278953440965E-3</v>
      </c>
      <c r="AE21" s="32">
        <f t="shared" si="10"/>
        <v>1.637521344550167E-2</v>
      </c>
      <c r="AF21" s="36">
        <f t="shared" si="11"/>
        <v>2.2385741340845765E-2</v>
      </c>
      <c r="AG21" s="32">
        <f t="shared" si="12"/>
        <v>4.6780203077559736E-2</v>
      </c>
      <c r="AH21" s="32">
        <f t="shared" si="13"/>
        <v>0</v>
      </c>
      <c r="AI21" s="36">
        <f t="shared" si="14"/>
        <v>4.6780203077559736E-2</v>
      </c>
      <c r="AJ21" s="128">
        <f>IF('Datos Mun'!B21="AMM",Y21,0)</f>
        <v>0</v>
      </c>
      <c r="AK21" s="36">
        <f t="shared" si="15"/>
        <v>0</v>
      </c>
      <c r="AL21" s="128">
        <f>IF('Datos Mun'!B21="AMM",0,Y21)</f>
        <v>40903</v>
      </c>
      <c r="AM21" s="36">
        <f t="shared" si="16"/>
        <v>4.6201216956975023E-2</v>
      </c>
      <c r="AN21" s="128">
        <f t="shared" si="17"/>
        <v>0</v>
      </c>
      <c r="AO21" s="36">
        <f t="shared" si="18"/>
        <v>0</v>
      </c>
      <c r="AP21" s="100">
        <f>IF('Datos Mun'!B21="AMM",'Art 14 F I'!F23,'Art 14 F I'!M23)</f>
        <v>8.4616936955885874E-2</v>
      </c>
      <c r="AQ21" s="38">
        <f>IF('Datos Mun'!D21="Zona de Crec",'Art 14 F I'!T23,0)</f>
        <v>0</v>
      </c>
    </row>
    <row r="22" spans="1:43">
      <c r="A22" s="17" t="s">
        <v>18</v>
      </c>
      <c r="B22" s="95" t="s">
        <v>108</v>
      </c>
      <c r="C22" s="95" t="s">
        <v>108</v>
      </c>
      <c r="D22" s="95" t="s">
        <v>109</v>
      </c>
      <c r="E22" s="18">
        <v>89654721.319999993</v>
      </c>
      <c r="F22" s="18">
        <v>377012210</v>
      </c>
      <c r="G22" s="295">
        <v>90011508</v>
      </c>
      <c r="H22" s="295">
        <v>425436337.39000034</v>
      </c>
      <c r="I22" s="14">
        <f t="shared" si="0"/>
        <v>0.21157456495655624</v>
      </c>
      <c r="J22" s="14">
        <f t="shared" si="1"/>
        <v>3.9795637613611757E-3</v>
      </c>
      <c r="K22" s="8">
        <v>3671</v>
      </c>
      <c r="L22" s="9">
        <v>1263</v>
      </c>
      <c r="M22" s="9">
        <v>9334</v>
      </c>
      <c r="N22" s="9">
        <v>932</v>
      </c>
      <c r="O22" s="14">
        <f t="shared" si="2"/>
        <v>1.8673316452561674E-2</v>
      </c>
      <c r="P22" s="9">
        <v>8688.9999999445354</v>
      </c>
      <c r="Q22" s="9">
        <v>1809</v>
      </c>
      <c r="R22" s="9">
        <v>2369</v>
      </c>
      <c r="S22" s="9">
        <v>783</v>
      </c>
      <c r="T22" s="14">
        <f t="shared" si="3"/>
        <v>3.2080092269919827E-2</v>
      </c>
      <c r="U22" s="14">
        <f t="shared" si="6"/>
        <v>0.71796436650217865</v>
      </c>
      <c r="V22" s="14">
        <f t="shared" si="7"/>
        <v>0</v>
      </c>
      <c r="W22" s="14">
        <f t="shared" si="4"/>
        <v>0</v>
      </c>
      <c r="X22" s="80">
        <v>1040.01</v>
      </c>
      <c r="Y22" s="18">
        <v>397205</v>
      </c>
      <c r="Z22" s="81">
        <v>300745</v>
      </c>
      <c r="AA22" s="74">
        <v>6970001.4448454408</v>
      </c>
      <c r="AB22" s="89">
        <f t="shared" si="8"/>
        <v>21490210.018487372</v>
      </c>
      <c r="AC22" s="36">
        <f t="shared" si="5"/>
        <v>1.3495052758384991E-2</v>
      </c>
      <c r="AD22" s="32">
        <f t="shared" si="9"/>
        <v>5.8367643758896706E-2</v>
      </c>
      <c r="AE22" s="32">
        <f t="shared" si="10"/>
        <v>2.4291678591793781E-3</v>
      </c>
      <c r="AF22" s="36">
        <f t="shared" si="11"/>
        <v>6.0796811618076083E-2</v>
      </c>
      <c r="AG22" s="32">
        <f t="shared" si="12"/>
        <v>2.7268078429431852E-2</v>
      </c>
      <c r="AH22" s="32">
        <f t="shared" si="13"/>
        <v>0</v>
      </c>
      <c r="AI22" s="36">
        <f t="shared" si="14"/>
        <v>2.7268078429431852E-2</v>
      </c>
      <c r="AJ22" s="128">
        <f>IF('Datos Mun'!B22="AMM",Y22,0)</f>
        <v>397205</v>
      </c>
      <c r="AK22" s="36">
        <f t="shared" si="15"/>
        <v>8.1076822179661279E-2</v>
      </c>
      <c r="AL22" s="128">
        <f>IF('Datos Mun'!B22="AMM",0,Y22)</f>
        <v>0</v>
      </c>
      <c r="AM22" s="36">
        <f t="shared" si="16"/>
        <v>0</v>
      </c>
      <c r="AN22" s="128">
        <f t="shared" si="17"/>
        <v>397205</v>
      </c>
      <c r="AO22" s="36">
        <f t="shared" si="18"/>
        <v>0.13277289969421169</v>
      </c>
      <c r="AP22" s="100">
        <f>IF('Datos Mun'!B22="AMM",'Art 14 F I'!F24,'Art 14 F I'!M24)</f>
        <v>3.6175543751736171E-2</v>
      </c>
      <c r="AQ22" s="38">
        <f>IF('Datos Mun'!D22="Zona de Crec",'Art 14 F I'!T24,0)</f>
        <v>0.10187288465410421</v>
      </c>
    </row>
    <row r="23" spans="1:43">
      <c r="A23" s="17" t="s">
        <v>19</v>
      </c>
      <c r="B23" s="95" t="s">
        <v>106</v>
      </c>
      <c r="C23" s="95" t="s">
        <v>106</v>
      </c>
      <c r="D23" s="95" t="s">
        <v>107</v>
      </c>
      <c r="E23" s="18">
        <v>1101010</v>
      </c>
      <c r="F23" s="18">
        <v>4942797</v>
      </c>
      <c r="G23" s="295">
        <v>877317</v>
      </c>
      <c r="H23" s="295">
        <v>5541859</v>
      </c>
      <c r="I23" s="14">
        <f t="shared" si="0"/>
        <v>0.15830734776904284</v>
      </c>
      <c r="J23" s="14">
        <f t="shared" si="1"/>
        <v>-0.20317072506153441</v>
      </c>
      <c r="K23" s="8">
        <v>814</v>
      </c>
      <c r="L23" s="9">
        <v>270</v>
      </c>
      <c r="M23" s="9">
        <v>1738</v>
      </c>
      <c r="N23" s="9">
        <v>531</v>
      </c>
      <c r="O23" s="14">
        <f t="shared" si="2"/>
        <v>5.9353068366605382E-3</v>
      </c>
      <c r="P23" s="9">
        <v>320.00000000721394</v>
      </c>
      <c r="Q23" s="9">
        <v>216</v>
      </c>
      <c r="R23" s="9">
        <v>671</v>
      </c>
      <c r="S23" s="9">
        <v>199</v>
      </c>
      <c r="T23" s="14">
        <f t="shared" si="3"/>
        <v>5.9759951440321521E-3</v>
      </c>
      <c r="U23" s="14">
        <f t="shared" si="6"/>
        <v>6.8552997328284624E-3</v>
      </c>
      <c r="V23" s="14">
        <f t="shared" si="7"/>
        <v>0</v>
      </c>
      <c r="W23" s="14">
        <f t="shared" si="4"/>
        <v>0</v>
      </c>
      <c r="X23" s="80">
        <v>1894.8</v>
      </c>
      <c r="Y23" s="18">
        <v>5506</v>
      </c>
      <c r="Z23" s="81">
        <v>6127</v>
      </c>
      <c r="AA23" s="74">
        <v>2314156.6642328231</v>
      </c>
      <c r="AB23" s="89">
        <f t="shared" si="8"/>
        <v>155718.53719442655</v>
      </c>
      <c r="AC23" s="36">
        <f t="shared" si="5"/>
        <v>9.778545082107276E-5</v>
      </c>
      <c r="AD23" s="32">
        <f t="shared" si="9"/>
        <v>8.090840914300808E-4</v>
      </c>
      <c r="AE23" s="32">
        <f t="shared" si="10"/>
        <v>4.4257144254123372E-3</v>
      </c>
      <c r="AF23" s="36">
        <f t="shared" si="11"/>
        <v>5.2347985168424184E-3</v>
      </c>
      <c r="AG23" s="32">
        <f t="shared" si="12"/>
        <v>5.0795958724273293E-3</v>
      </c>
      <c r="AH23" s="32">
        <f t="shared" si="13"/>
        <v>0</v>
      </c>
      <c r="AI23" s="36">
        <f t="shared" si="14"/>
        <v>5.0795958724273293E-3</v>
      </c>
      <c r="AJ23" s="128">
        <f>IF('Datos Mun'!B23="AMM",Y23,0)</f>
        <v>0</v>
      </c>
      <c r="AK23" s="36">
        <f t="shared" si="15"/>
        <v>0</v>
      </c>
      <c r="AL23" s="128">
        <f>IF('Datos Mun'!B23="AMM",0,Y23)</f>
        <v>5506</v>
      </c>
      <c r="AM23" s="36">
        <f t="shared" si="16"/>
        <v>6.219199094567745E-3</v>
      </c>
      <c r="AN23" s="128">
        <f t="shared" si="17"/>
        <v>0</v>
      </c>
      <c r="AO23" s="36">
        <f t="shared" si="18"/>
        <v>0</v>
      </c>
      <c r="AP23" s="100">
        <f>IF('Datos Mun'!B23="AMM",'Art 14 F I'!F25,'Art 14 F I'!M25)</f>
        <v>1.282427928585479E-2</v>
      </c>
      <c r="AQ23" s="38">
        <f>IF('Datos Mun'!D23="Zona de Crec",'Art 14 F I'!T25,0)</f>
        <v>0</v>
      </c>
    </row>
    <row r="24" spans="1:43">
      <c r="A24" s="17" t="s">
        <v>20</v>
      </c>
      <c r="B24" s="95" t="s">
        <v>108</v>
      </c>
      <c r="C24" s="95" t="s">
        <v>108</v>
      </c>
      <c r="D24" s="95" t="s">
        <v>109</v>
      </c>
      <c r="E24" s="18">
        <v>149244141.31999999</v>
      </c>
      <c r="F24" s="18">
        <v>437682929</v>
      </c>
      <c r="G24" s="295">
        <v>130662277.23999999</v>
      </c>
      <c r="H24" s="295">
        <v>449264751.14000052</v>
      </c>
      <c r="I24" s="14">
        <f t="shared" si="0"/>
        <v>0.29083580874850967</v>
      </c>
      <c r="J24" s="14">
        <f t="shared" si="1"/>
        <v>-0.12450648927087812</v>
      </c>
      <c r="K24" s="8">
        <v>25525</v>
      </c>
      <c r="L24" s="9">
        <v>4815</v>
      </c>
      <c r="M24" s="9">
        <v>33044</v>
      </c>
      <c r="N24" s="9">
        <v>5258</v>
      </c>
      <c r="O24" s="14">
        <f t="shared" si="2"/>
        <v>8.6919519735553008E-2</v>
      </c>
      <c r="P24" s="9">
        <v>20136.00000070727</v>
      </c>
      <c r="Q24" s="9">
        <v>4791</v>
      </c>
      <c r="R24" s="9">
        <v>5994</v>
      </c>
      <c r="S24" s="9">
        <v>875</v>
      </c>
      <c r="T24" s="14">
        <f t="shared" si="3"/>
        <v>6.0297942215401121E-2</v>
      </c>
      <c r="U24" s="14">
        <f t="shared" si="6"/>
        <v>-0.30627847002774872</v>
      </c>
      <c r="V24" s="14">
        <f t="shared" si="7"/>
        <v>0.30627847002774872</v>
      </c>
      <c r="W24" s="14">
        <f t="shared" si="4"/>
        <v>5.7072059505151061E-2</v>
      </c>
      <c r="X24" s="80">
        <v>151.27000000000001</v>
      </c>
      <c r="Y24" s="18">
        <v>481213</v>
      </c>
      <c r="Z24" s="81">
        <v>466325</v>
      </c>
      <c r="AA24" s="74">
        <v>13667505.466545394</v>
      </c>
      <c r="AB24" s="89">
        <f t="shared" si="8"/>
        <v>39006846.194685884</v>
      </c>
      <c r="AC24" s="36">
        <f t="shared" si="5"/>
        <v>2.4494848904810584E-2</v>
      </c>
      <c r="AD24" s="32">
        <f t="shared" si="9"/>
        <v>7.0712274407799397E-2</v>
      </c>
      <c r="AE24" s="32">
        <f t="shared" si="10"/>
        <v>3.5332373925064616E-4</v>
      </c>
      <c r="AF24" s="36">
        <f t="shared" si="11"/>
        <v>7.1065598147050046E-2</v>
      </c>
      <c r="AG24" s="32">
        <f t="shared" si="12"/>
        <v>5.1253250883090955E-2</v>
      </c>
      <c r="AH24" s="32">
        <f t="shared" si="13"/>
        <v>8.5608089257726595E-3</v>
      </c>
      <c r="AI24" s="36">
        <f t="shared" si="14"/>
        <v>5.9814059808863618E-2</v>
      </c>
      <c r="AJ24" s="128">
        <f>IF('Datos Mun'!B24="AMM",Y24,0)</f>
        <v>481213</v>
      </c>
      <c r="AK24" s="36">
        <f t="shared" si="15"/>
        <v>9.8224395039189699E-2</v>
      </c>
      <c r="AL24" s="128">
        <f>IF('Datos Mun'!B24="AMM",0,Y24)</f>
        <v>0</v>
      </c>
      <c r="AM24" s="36">
        <f t="shared" si="16"/>
        <v>0</v>
      </c>
      <c r="AN24" s="128">
        <f t="shared" si="17"/>
        <v>481213</v>
      </c>
      <c r="AO24" s="36">
        <f t="shared" si="18"/>
        <v>0.16085408134477333</v>
      </c>
      <c r="AP24" s="100">
        <f>IF('Datos Mun'!B24="AMM",'Art 14 F I'!F26,'Art 14 F I'!M26)</f>
        <v>5.6554447872343816E-2</v>
      </c>
      <c r="AQ24" s="38">
        <f>IF('Datos Mun'!D24="Zona de Crec",'Art 14 F I'!T26,0)</f>
        <v>0.15926131710181485</v>
      </c>
    </row>
    <row r="25" spans="1:43">
      <c r="A25" s="17" t="s">
        <v>21</v>
      </c>
      <c r="B25" s="95" t="s">
        <v>106</v>
      </c>
      <c r="C25" s="95" t="s">
        <v>106</v>
      </c>
      <c r="D25" s="95" t="s">
        <v>107</v>
      </c>
      <c r="E25" s="18">
        <v>4417747</v>
      </c>
      <c r="F25" s="18">
        <v>11203821</v>
      </c>
      <c r="G25" s="295">
        <v>3648762.03</v>
      </c>
      <c r="H25" s="295">
        <v>12500507</v>
      </c>
      <c r="I25" s="14">
        <f t="shared" si="0"/>
        <v>0.29188912337715578</v>
      </c>
      <c r="J25" s="14">
        <f t="shared" si="1"/>
        <v>-0.17406722702771349</v>
      </c>
      <c r="K25" s="8">
        <v>3166</v>
      </c>
      <c r="L25" s="9">
        <v>724</v>
      </c>
      <c r="M25" s="9">
        <v>6502</v>
      </c>
      <c r="N25" s="9">
        <v>971</v>
      </c>
      <c r="O25" s="14">
        <f t="shared" si="2"/>
        <v>1.4976056308358143E-2</v>
      </c>
      <c r="P25" s="9">
        <v>1684.0000000044001</v>
      </c>
      <c r="Q25" s="9">
        <v>572</v>
      </c>
      <c r="R25" s="9">
        <v>3480</v>
      </c>
      <c r="S25" s="9">
        <v>459</v>
      </c>
      <c r="T25" s="14">
        <f t="shared" si="3"/>
        <v>1.8703392153060629E-2</v>
      </c>
      <c r="U25" s="14">
        <f t="shared" si="6"/>
        <v>0.24888634016568562</v>
      </c>
      <c r="V25" s="14">
        <f t="shared" si="7"/>
        <v>0</v>
      </c>
      <c r="W25" s="14">
        <f t="shared" si="4"/>
        <v>0</v>
      </c>
      <c r="X25" s="80">
        <v>2479.16</v>
      </c>
      <c r="Y25" s="18">
        <v>14109</v>
      </c>
      <c r="Z25" s="81">
        <v>16283</v>
      </c>
      <c r="AA25" s="74">
        <v>5035804.9607381914</v>
      </c>
      <c r="AB25" s="89">
        <f t="shared" si="8"/>
        <v>1188296.7740710708</v>
      </c>
      <c r="AC25" s="36">
        <f t="shared" si="5"/>
        <v>7.4620618620815709E-4</v>
      </c>
      <c r="AD25" s="32">
        <f t="shared" si="9"/>
        <v>2.0732596160528533E-3</v>
      </c>
      <c r="AE25" s="32">
        <f t="shared" si="10"/>
        <v>5.7906133496438946E-3</v>
      </c>
      <c r="AF25" s="36">
        <f t="shared" si="11"/>
        <v>7.8638729656967474E-3</v>
      </c>
      <c r="AG25" s="32">
        <f t="shared" si="12"/>
        <v>1.5897883330101534E-2</v>
      </c>
      <c r="AH25" s="32">
        <f t="shared" si="13"/>
        <v>0</v>
      </c>
      <c r="AI25" s="36">
        <f t="shared" si="14"/>
        <v>1.5897883330101534E-2</v>
      </c>
      <c r="AJ25" s="128">
        <f>IF('Datos Mun'!B25="AMM",Y25,0)</f>
        <v>0</v>
      </c>
      <c r="AK25" s="36">
        <f t="shared" si="15"/>
        <v>0</v>
      </c>
      <c r="AL25" s="128">
        <f>IF('Datos Mun'!B25="AMM",0,Y25)</f>
        <v>14109</v>
      </c>
      <c r="AM25" s="36">
        <f t="shared" si="16"/>
        <v>1.5936556488422869E-2</v>
      </c>
      <c r="AN25" s="128">
        <f t="shared" si="17"/>
        <v>0</v>
      </c>
      <c r="AO25" s="36">
        <f t="shared" si="18"/>
        <v>0</v>
      </c>
      <c r="AP25" s="100">
        <f>IF('Datos Mun'!B25="AMM",'Art 14 F I'!F27,'Art 14 F I'!M27)</f>
        <v>3.081518379640313E-2</v>
      </c>
      <c r="AQ25" s="38">
        <f>IF('Datos Mun'!D25="Zona de Crec",'Art 14 F I'!T27,0)</f>
        <v>0</v>
      </c>
    </row>
    <row r="26" spans="1:43">
      <c r="A26" s="17" t="s">
        <v>22</v>
      </c>
      <c r="B26" s="95" t="s">
        <v>106</v>
      </c>
      <c r="C26" s="95" t="s">
        <v>106</v>
      </c>
      <c r="D26" s="95" t="s">
        <v>107</v>
      </c>
      <c r="E26" s="18">
        <v>320606.25</v>
      </c>
      <c r="F26" s="18">
        <v>822645</v>
      </c>
      <c r="G26" s="295">
        <v>218938</v>
      </c>
      <c r="H26" s="295">
        <v>796636</v>
      </c>
      <c r="I26" s="14">
        <f t="shared" si="0"/>
        <v>0.27482815238076108</v>
      </c>
      <c r="J26" s="14">
        <f t="shared" si="1"/>
        <v>-0.31711250170575278</v>
      </c>
      <c r="K26" s="8">
        <v>248</v>
      </c>
      <c r="L26" s="9">
        <v>63</v>
      </c>
      <c r="M26" s="9">
        <v>357</v>
      </c>
      <c r="N26" s="9">
        <v>74</v>
      </c>
      <c r="O26" s="14">
        <f t="shared" si="2"/>
        <v>1.0638412639101531E-3</v>
      </c>
      <c r="P26" s="9">
        <v>138</v>
      </c>
      <c r="Q26" s="9">
        <v>45</v>
      </c>
      <c r="R26" s="9">
        <v>165</v>
      </c>
      <c r="S26" s="9">
        <v>30</v>
      </c>
      <c r="T26" s="14">
        <f t="shared" si="3"/>
        <v>1.1435907453274151E-3</v>
      </c>
      <c r="U26" s="14">
        <f t="shared" si="6"/>
        <v>7.4963703818126448E-2</v>
      </c>
      <c r="V26" s="14">
        <f t="shared" si="7"/>
        <v>0</v>
      </c>
      <c r="W26" s="14">
        <f t="shared" si="4"/>
        <v>0</v>
      </c>
      <c r="X26" s="80">
        <v>388.05</v>
      </c>
      <c r="Y26" s="18">
        <v>1808</v>
      </c>
      <c r="Z26" s="81">
        <v>1194</v>
      </c>
      <c r="AA26" s="74">
        <v>2579267.2849072521</v>
      </c>
      <c r="AB26" s="89">
        <f t="shared" si="8"/>
        <v>58267.962297224192</v>
      </c>
      <c r="AC26" s="36">
        <f t="shared" si="5"/>
        <v>3.6590113574887031E-5</v>
      </c>
      <c r="AD26" s="32">
        <f t="shared" si="9"/>
        <v>2.6567817604532988E-4</v>
      </c>
      <c r="AE26" s="32">
        <f t="shared" si="10"/>
        <v>9.0637454231647541E-4</v>
      </c>
      <c r="AF26" s="36">
        <f t="shared" si="11"/>
        <v>1.1720527183618052E-3</v>
      </c>
      <c r="AG26" s="32">
        <f t="shared" si="12"/>
        <v>9.7205213352830283E-4</v>
      </c>
      <c r="AH26" s="32">
        <f t="shared" si="13"/>
        <v>0</v>
      </c>
      <c r="AI26" s="36">
        <f t="shared" si="14"/>
        <v>9.7205213352830283E-4</v>
      </c>
      <c r="AJ26" s="128">
        <f>IF('Datos Mun'!B26="AMM",Y26,0)</f>
        <v>0</v>
      </c>
      <c r="AK26" s="36">
        <f t="shared" si="15"/>
        <v>0</v>
      </c>
      <c r="AL26" s="128">
        <f>IF('Datos Mun'!B26="AMM",0,Y26)</f>
        <v>1808</v>
      </c>
      <c r="AM26" s="36">
        <f t="shared" si="16"/>
        <v>2.0421925105300553E-3</v>
      </c>
      <c r="AN26" s="128">
        <f t="shared" si="17"/>
        <v>0</v>
      </c>
      <c r="AO26" s="36">
        <f t="shared" si="18"/>
        <v>0</v>
      </c>
      <c r="AP26" s="100">
        <f>IF('Datos Mun'!B26="AMM",'Art 14 F I'!F28,'Art 14 F I'!M28)</f>
        <v>2.7055353964445775E-3</v>
      </c>
      <c r="AQ26" s="38">
        <f>IF('Datos Mun'!D26="Zona de Crec",'Art 14 F I'!T28,0)</f>
        <v>0</v>
      </c>
    </row>
    <row r="27" spans="1:43">
      <c r="A27" s="17" t="s">
        <v>23</v>
      </c>
      <c r="B27" s="95" t="s">
        <v>106</v>
      </c>
      <c r="C27" s="95" t="s">
        <v>106</v>
      </c>
      <c r="D27" s="95" t="s">
        <v>107</v>
      </c>
      <c r="E27" s="18">
        <v>194672</v>
      </c>
      <c r="F27" s="18">
        <v>1482915</v>
      </c>
      <c r="G27" s="295">
        <v>140414</v>
      </c>
      <c r="H27" s="295">
        <v>1746864</v>
      </c>
      <c r="I27" s="14">
        <f t="shared" si="0"/>
        <v>8.0380613487941815E-2</v>
      </c>
      <c r="J27" s="14">
        <f t="shared" si="1"/>
        <v>-0.27871496671324075</v>
      </c>
      <c r="K27" s="8">
        <v>1391</v>
      </c>
      <c r="L27" s="9">
        <v>407</v>
      </c>
      <c r="M27" s="9">
        <v>3581</v>
      </c>
      <c r="N27" s="9">
        <v>1264</v>
      </c>
      <c r="O27" s="14">
        <f t="shared" si="2"/>
        <v>1.2722731945209571E-2</v>
      </c>
      <c r="P27" s="9">
        <v>1108.99999999377</v>
      </c>
      <c r="Q27" s="9">
        <v>288</v>
      </c>
      <c r="R27" s="9">
        <v>3319</v>
      </c>
      <c r="S27" s="9">
        <v>607</v>
      </c>
      <c r="T27" s="14">
        <f t="shared" si="3"/>
        <v>1.9650472199698121E-2</v>
      </c>
      <c r="U27" s="14">
        <f t="shared" si="6"/>
        <v>0.54451671891877107</v>
      </c>
      <c r="V27" s="14">
        <f t="shared" si="7"/>
        <v>0</v>
      </c>
      <c r="W27" s="14">
        <f t="shared" si="4"/>
        <v>0</v>
      </c>
      <c r="X27" s="80">
        <v>1314.52</v>
      </c>
      <c r="Y27" s="18">
        <v>6282</v>
      </c>
      <c r="Z27" s="81">
        <v>6604</v>
      </c>
      <c r="AA27" s="74">
        <v>4083989.3872715947</v>
      </c>
      <c r="AB27" s="89">
        <f t="shared" si="8"/>
        <v>13295.496637366268</v>
      </c>
      <c r="AC27" s="36">
        <f t="shared" si="5"/>
        <v>8.3490774829950728E-6</v>
      </c>
      <c r="AD27" s="32">
        <f t="shared" si="9"/>
        <v>9.2311410504245699E-4</v>
      </c>
      <c r="AE27" s="32">
        <f t="shared" si="10"/>
        <v>3.070345221919478E-3</v>
      </c>
      <c r="AF27" s="36">
        <f t="shared" si="11"/>
        <v>3.9934593269619345E-3</v>
      </c>
      <c r="AG27" s="32">
        <f t="shared" si="12"/>
        <v>1.6702901369743402E-2</v>
      </c>
      <c r="AH27" s="32">
        <f t="shared" si="13"/>
        <v>0</v>
      </c>
      <c r="AI27" s="36">
        <f t="shared" si="14"/>
        <v>1.6702901369743402E-2</v>
      </c>
      <c r="AJ27" s="128">
        <f>IF('Datos Mun'!B27="AMM",Y27,0)</f>
        <v>0</v>
      </c>
      <c r="AK27" s="36">
        <f t="shared" si="15"/>
        <v>0</v>
      </c>
      <c r="AL27" s="128">
        <f>IF('Datos Mun'!B27="AMM",0,Y27)</f>
        <v>6282</v>
      </c>
      <c r="AM27" s="36">
        <f t="shared" si="16"/>
        <v>7.0957153490872824E-3</v>
      </c>
      <c r="AN27" s="128">
        <f t="shared" si="17"/>
        <v>0</v>
      </c>
      <c r="AO27" s="36">
        <f t="shared" si="18"/>
        <v>0</v>
      </c>
      <c r="AP27" s="100">
        <f>IF('Datos Mun'!B27="AMM",'Art 14 F I'!F29,'Art 14 F I'!M29)</f>
        <v>2.5274113113187315E-2</v>
      </c>
      <c r="AQ27" s="38">
        <f>IF('Datos Mun'!D27="Zona de Crec",'Art 14 F I'!T29,0)</f>
        <v>0</v>
      </c>
    </row>
    <row r="28" spans="1:43">
      <c r="A28" s="17" t="s">
        <v>24</v>
      </c>
      <c r="B28" s="95" t="s">
        <v>106</v>
      </c>
      <c r="C28" s="95" t="s">
        <v>106</v>
      </c>
      <c r="D28" s="95" t="s">
        <v>109</v>
      </c>
      <c r="E28" s="18">
        <v>7133102</v>
      </c>
      <c r="F28" s="18">
        <v>59610291</v>
      </c>
      <c r="G28" s="295">
        <v>9156806</v>
      </c>
      <c r="H28" s="295">
        <v>63133792</v>
      </c>
      <c r="I28" s="14">
        <f t="shared" si="0"/>
        <v>0.14503811207791859</v>
      </c>
      <c r="J28" s="14">
        <f t="shared" si="1"/>
        <v>0.28370602298971753</v>
      </c>
      <c r="K28" s="8">
        <v>870</v>
      </c>
      <c r="L28" s="9">
        <v>295</v>
      </c>
      <c r="M28" s="9">
        <v>1873</v>
      </c>
      <c r="N28" s="9">
        <v>57</v>
      </c>
      <c r="O28" s="14">
        <f t="shared" si="2"/>
        <v>3.1127641837955201E-3</v>
      </c>
      <c r="P28" s="9">
        <v>2629.9999999954803</v>
      </c>
      <c r="Q28" s="9">
        <v>513</v>
      </c>
      <c r="R28" s="9">
        <v>350</v>
      </c>
      <c r="S28" s="9">
        <v>123</v>
      </c>
      <c r="T28" s="14">
        <f t="shared" si="3"/>
        <v>6.770433865754372E-3</v>
      </c>
      <c r="U28" s="14">
        <f t="shared" si="6"/>
        <v>1.1750551811794834</v>
      </c>
      <c r="V28" s="14">
        <f t="shared" si="7"/>
        <v>0</v>
      </c>
      <c r="W28" s="14">
        <f t="shared" si="4"/>
        <v>0</v>
      </c>
      <c r="X28" s="80">
        <v>184.87</v>
      </c>
      <c r="Y28" s="18">
        <v>102149</v>
      </c>
      <c r="Z28" s="81">
        <v>91913</v>
      </c>
      <c r="AA28" s="74">
        <v>4282795.5586598059</v>
      </c>
      <c r="AB28" s="89">
        <f t="shared" si="8"/>
        <v>1406587.59947399</v>
      </c>
      <c r="AC28" s="36">
        <f t="shared" si="5"/>
        <v>8.8328470721607565E-4</v>
      </c>
      <c r="AD28" s="32">
        <f t="shared" si="9"/>
        <v>1.5010376108879646E-2</v>
      </c>
      <c r="AE28" s="32">
        <f t="shared" si="10"/>
        <v>4.3180379239285356E-4</v>
      </c>
      <c r="AF28" s="36">
        <f t="shared" si="11"/>
        <v>1.54421799012725E-2</v>
      </c>
      <c r="AG28" s="32">
        <f t="shared" si="12"/>
        <v>5.7548687858912165E-3</v>
      </c>
      <c r="AH28" s="32">
        <f t="shared" si="13"/>
        <v>0</v>
      </c>
      <c r="AI28" s="36">
        <f t="shared" si="14"/>
        <v>5.7548687858912165E-3</v>
      </c>
      <c r="AJ28" s="128">
        <f>IF('Datos Mun'!B28="AMM",Y28,0)</f>
        <v>0</v>
      </c>
      <c r="AK28" s="36">
        <f t="shared" si="15"/>
        <v>0</v>
      </c>
      <c r="AL28" s="128">
        <f>IF('Datos Mun'!B28="AMM",0,Y28)</f>
        <v>102149</v>
      </c>
      <c r="AM28" s="36">
        <f t="shared" si="16"/>
        <v>0.11538048825118065</v>
      </c>
      <c r="AN28" s="128">
        <f t="shared" si="17"/>
        <v>102149</v>
      </c>
      <c r="AO28" s="36">
        <f t="shared" si="18"/>
        <v>3.4145136468231842E-2</v>
      </c>
      <c r="AP28" s="100">
        <f>IF('Datos Mun'!B28="AMM",'Art 14 F I'!F30,'Art 14 F I'!M30)</f>
        <v>2.8020249715118184E-2</v>
      </c>
      <c r="AQ28" s="38">
        <f>IF('Datos Mun'!D28="Zona de Crec",'Art 14 F I'!T30,0)</f>
        <v>2.0332624469120392E-2</v>
      </c>
    </row>
    <row r="29" spans="1:43">
      <c r="A29" s="17" t="s">
        <v>25</v>
      </c>
      <c r="B29" s="95" t="s">
        <v>108</v>
      </c>
      <c r="C29" s="95" t="s">
        <v>108</v>
      </c>
      <c r="D29" s="95" t="s">
        <v>107</v>
      </c>
      <c r="E29" s="18">
        <v>259353547.03000003</v>
      </c>
      <c r="F29" s="18">
        <v>542535324</v>
      </c>
      <c r="G29" s="295">
        <v>215375991.11000001</v>
      </c>
      <c r="H29" s="295">
        <v>516795710.3599999</v>
      </c>
      <c r="I29" s="14">
        <f t="shared" si="0"/>
        <v>0.41675266801260619</v>
      </c>
      <c r="J29" s="14">
        <f t="shared" si="1"/>
        <v>-0.169566047673576</v>
      </c>
      <c r="K29" s="8">
        <v>69698</v>
      </c>
      <c r="L29" s="9">
        <v>12447</v>
      </c>
      <c r="M29" s="9">
        <v>14729</v>
      </c>
      <c r="N29" s="9">
        <v>1417</v>
      </c>
      <c r="O29" s="14">
        <f t="shared" si="2"/>
        <v>9.6205301106005142E-2</v>
      </c>
      <c r="P29" s="9">
        <v>32769.999999791457</v>
      </c>
      <c r="Q29" s="9">
        <v>9468</v>
      </c>
      <c r="R29" s="9">
        <v>3881</v>
      </c>
      <c r="S29" s="9">
        <v>299</v>
      </c>
      <c r="T29" s="14">
        <f t="shared" si="3"/>
        <v>7.1416637155423596E-2</v>
      </c>
      <c r="U29" s="14">
        <f t="shared" si="6"/>
        <v>-0.25766422084441909</v>
      </c>
      <c r="V29" s="14">
        <f t="shared" si="7"/>
        <v>0.25766422084441909</v>
      </c>
      <c r="W29" s="14">
        <f t="shared" si="4"/>
        <v>4.80132597732017E-2</v>
      </c>
      <c r="X29" s="80">
        <v>117.79</v>
      </c>
      <c r="Y29" s="18">
        <v>643143</v>
      </c>
      <c r="Z29" s="81">
        <v>710413</v>
      </c>
      <c r="AA29" s="74">
        <v>23819745.92530071</v>
      </c>
      <c r="AB29" s="89">
        <f t="shared" si="8"/>
        <v>85500087.265497223</v>
      </c>
      <c r="AC29" s="36">
        <f t="shared" si="5"/>
        <v>5.3690875403348902E-2</v>
      </c>
      <c r="AD29" s="32">
        <f t="shared" si="9"/>
        <v>9.4507222995753079E-2</v>
      </c>
      <c r="AE29" s="32">
        <f t="shared" si="10"/>
        <v>2.7512397201251811E-4</v>
      </c>
      <c r="AF29" s="36">
        <f t="shared" si="11"/>
        <v>9.4782346967765593E-2</v>
      </c>
      <c r="AG29" s="32">
        <f t="shared" si="12"/>
        <v>6.0704141582110058E-2</v>
      </c>
      <c r="AH29" s="32">
        <f t="shared" si="13"/>
        <v>7.2019889659802544E-3</v>
      </c>
      <c r="AI29" s="36">
        <f t="shared" si="14"/>
        <v>6.7906130548090318E-2</v>
      </c>
      <c r="AJ29" s="128">
        <f>IF('Datos Mun'!B29="AMM",Y29,0)</f>
        <v>643143</v>
      </c>
      <c r="AK29" s="36">
        <f t="shared" si="15"/>
        <v>0.13127727658789265</v>
      </c>
      <c r="AL29" s="128">
        <f>IF('Datos Mun'!B29="AMM",0,Y29)</f>
        <v>0</v>
      </c>
      <c r="AM29" s="36">
        <f t="shared" si="16"/>
        <v>0</v>
      </c>
      <c r="AN29" s="128">
        <f t="shared" si="17"/>
        <v>0</v>
      </c>
      <c r="AO29" s="36">
        <f t="shared" si="18"/>
        <v>0</v>
      </c>
      <c r="AP29" s="100">
        <f>IF('Datos Mun'!B29="AMM",'Art 14 F I'!F31,'Art 14 F I'!M31)</f>
        <v>8.491536862704703E-2</v>
      </c>
      <c r="AQ29" s="38">
        <f>IF('Datos Mun'!D29="Zona de Crec",'Art 14 F I'!T31,0)</f>
        <v>0</v>
      </c>
    </row>
    <row r="30" spans="1:43">
      <c r="A30" s="17" t="s">
        <v>26</v>
      </c>
      <c r="B30" s="95" t="s">
        <v>106</v>
      </c>
      <c r="C30" s="95" t="s">
        <v>106</v>
      </c>
      <c r="D30" s="95" t="s">
        <v>107</v>
      </c>
      <c r="E30" s="18">
        <v>294751</v>
      </c>
      <c r="F30" s="18">
        <v>1019354</v>
      </c>
      <c r="G30" s="295">
        <v>288216.5</v>
      </c>
      <c r="H30" s="295">
        <v>997290</v>
      </c>
      <c r="I30" s="14">
        <f t="shared" si="0"/>
        <v>0.28899968915761715</v>
      </c>
      <c r="J30" s="14">
        <f t="shared" si="1"/>
        <v>-2.2169560069346669E-2</v>
      </c>
      <c r="K30" s="8">
        <v>525</v>
      </c>
      <c r="L30" s="9">
        <v>111</v>
      </c>
      <c r="M30" s="9">
        <v>654</v>
      </c>
      <c r="N30" s="9">
        <v>69</v>
      </c>
      <c r="O30" s="14">
        <f t="shared" si="2"/>
        <v>1.5525523861855471E-3</v>
      </c>
      <c r="P30" s="9">
        <v>374.99999999594002</v>
      </c>
      <c r="Q30" s="9">
        <v>98</v>
      </c>
      <c r="R30" s="9">
        <v>163</v>
      </c>
      <c r="S30" s="9">
        <v>24</v>
      </c>
      <c r="T30" s="14">
        <f t="shared" si="3"/>
        <v>1.397547272996221E-3</v>
      </c>
      <c r="U30" s="14">
        <f t="shared" si="6"/>
        <v>-9.983889404862975E-2</v>
      </c>
      <c r="V30" s="14">
        <f t="shared" si="7"/>
        <v>9.983889404862975E-2</v>
      </c>
      <c r="W30" s="14">
        <f t="shared" si="4"/>
        <v>1.8604021698148197E-2</v>
      </c>
      <c r="X30" s="80">
        <v>497.27</v>
      </c>
      <c r="Y30" s="18">
        <v>1959</v>
      </c>
      <c r="Z30" s="81">
        <v>1998</v>
      </c>
      <c r="AA30" s="74">
        <v>2416180.5729740933</v>
      </c>
      <c r="AB30" s="89">
        <f t="shared" si="8"/>
        <v>81491.563158873178</v>
      </c>
      <c r="AC30" s="36">
        <f t="shared" si="5"/>
        <v>5.1173671325044735E-5</v>
      </c>
      <c r="AD30" s="32">
        <f t="shared" si="9"/>
        <v>2.8786700601371744E-4</v>
      </c>
      <c r="AE30" s="32">
        <f t="shared" si="10"/>
        <v>1.1614814293459958E-3</v>
      </c>
      <c r="AF30" s="36">
        <f t="shared" si="11"/>
        <v>1.4493484353597132E-3</v>
      </c>
      <c r="AG30" s="32">
        <f t="shared" si="12"/>
        <v>1.1879151820467877E-3</v>
      </c>
      <c r="AH30" s="32">
        <f t="shared" si="13"/>
        <v>2.7906032547222294E-3</v>
      </c>
      <c r="AI30" s="36">
        <f t="shared" si="14"/>
        <v>3.9785184367690171E-3</v>
      </c>
      <c r="AJ30" s="128">
        <f>IF('Datos Mun'!B30="AMM",Y30,0)</f>
        <v>0</v>
      </c>
      <c r="AK30" s="36">
        <f t="shared" si="15"/>
        <v>0</v>
      </c>
      <c r="AL30" s="128">
        <f>IF('Datos Mun'!B30="AMM",0,Y30)</f>
        <v>1959</v>
      </c>
      <c r="AM30" s="36">
        <f t="shared" si="16"/>
        <v>2.2127517301595012E-3</v>
      </c>
      <c r="AN30" s="128">
        <f t="shared" si="17"/>
        <v>0</v>
      </c>
      <c r="AO30" s="36">
        <f t="shared" si="18"/>
        <v>0</v>
      </c>
      <c r="AP30" s="100">
        <f>IF('Datos Mun'!B30="AMM",'Art 14 F I'!F32,'Art 14 F I'!M32)</f>
        <v>6.7479777180857172E-3</v>
      </c>
      <c r="AQ30" s="38">
        <f>IF('Datos Mun'!D30="Zona de Crec",'Art 14 F I'!T32,0)</f>
        <v>0</v>
      </c>
    </row>
    <row r="31" spans="1:43">
      <c r="A31" s="17" t="s">
        <v>27</v>
      </c>
      <c r="B31" s="95" t="s">
        <v>106</v>
      </c>
      <c r="C31" s="95" t="s">
        <v>106</v>
      </c>
      <c r="D31" s="95" t="s">
        <v>107</v>
      </c>
      <c r="E31" s="18">
        <v>501704</v>
      </c>
      <c r="F31" s="18">
        <v>2430155</v>
      </c>
      <c r="G31" s="295">
        <v>518824</v>
      </c>
      <c r="H31" s="295">
        <v>2347113</v>
      </c>
      <c r="I31" s="14">
        <f t="shared" si="0"/>
        <v>0.22104772970027434</v>
      </c>
      <c r="J31" s="14">
        <f t="shared" si="1"/>
        <v>3.4123706408559627E-2</v>
      </c>
      <c r="K31" s="8">
        <v>1777</v>
      </c>
      <c r="L31" s="9">
        <v>482</v>
      </c>
      <c r="M31" s="9">
        <v>1571</v>
      </c>
      <c r="N31" s="9">
        <v>193</v>
      </c>
      <c r="O31" s="14">
        <f t="shared" si="2"/>
        <v>4.8172617237070628E-3</v>
      </c>
      <c r="P31" s="9">
        <v>887.9999999826681</v>
      </c>
      <c r="Q31" s="9">
        <v>349</v>
      </c>
      <c r="R31" s="9">
        <v>145</v>
      </c>
      <c r="S31" s="9">
        <v>79</v>
      </c>
      <c r="T31" s="14">
        <f t="shared" si="3"/>
        <v>3.6229504163855729E-3</v>
      </c>
      <c r="U31" s="14">
        <f t="shared" si="6"/>
        <v>-0.24792327588180588</v>
      </c>
      <c r="V31" s="14">
        <f t="shared" si="7"/>
        <v>0.24792327588180588</v>
      </c>
      <c r="W31" s="14">
        <f t="shared" si="4"/>
        <v>4.6198127973397771E-2</v>
      </c>
      <c r="X31" s="80">
        <v>170.12</v>
      </c>
      <c r="Y31" s="18">
        <v>16086</v>
      </c>
      <c r="Z31" s="81">
        <v>15902</v>
      </c>
      <c r="AA31" s="74">
        <v>2523675.0481478898</v>
      </c>
      <c r="AB31" s="89">
        <f t="shared" si="8"/>
        <v>110765.9153329726</v>
      </c>
      <c r="AC31" s="36">
        <f t="shared" si="5"/>
        <v>6.95568758966686E-5</v>
      </c>
      <c r="AD31" s="32">
        <f t="shared" si="9"/>
        <v>2.3637716481555177E-3</v>
      </c>
      <c r="AE31" s="32">
        <f t="shared" si="10"/>
        <v>3.9735198334977145E-4</v>
      </c>
      <c r="AF31" s="36">
        <f t="shared" si="11"/>
        <v>2.7611236315052893E-3</v>
      </c>
      <c r="AG31" s="32">
        <f t="shared" si="12"/>
        <v>3.0795078539277371E-3</v>
      </c>
      <c r="AH31" s="32">
        <f t="shared" si="13"/>
        <v>6.9297191960096651E-3</v>
      </c>
      <c r="AI31" s="36">
        <f t="shared" si="14"/>
        <v>1.0009227049937402E-2</v>
      </c>
      <c r="AJ31" s="128">
        <f>IF('Datos Mun'!B31="AMM",Y31,0)</f>
        <v>0</v>
      </c>
      <c r="AK31" s="36">
        <f t="shared" si="15"/>
        <v>0</v>
      </c>
      <c r="AL31" s="128">
        <f>IF('Datos Mun'!B31="AMM",0,Y31)</f>
        <v>16086</v>
      </c>
      <c r="AM31" s="36">
        <f t="shared" si="16"/>
        <v>1.8169639781187207E-2</v>
      </c>
      <c r="AN31" s="128">
        <f t="shared" si="17"/>
        <v>0</v>
      </c>
      <c r="AO31" s="36">
        <f t="shared" si="18"/>
        <v>0</v>
      </c>
      <c r="AP31" s="100">
        <f>IF('Datos Mun'!B31="AMM",'Art 14 F I'!F33,'Art 14 F I'!M33)</f>
        <v>1.5752152622786033E-2</v>
      </c>
      <c r="AQ31" s="38">
        <f>IF('Datos Mun'!D31="Zona de Crec",'Art 14 F I'!T33,0)</f>
        <v>0</v>
      </c>
    </row>
    <row r="32" spans="1:43">
      <c r="A32" s="17" t="s">
        <v>28</v>
      </c>
      <c r="B32" s="95" t="s">
        <v>106</v>
      </c>
      <c r="C32" s="95" t="s">
        <v>106</v>
      </c>
      <c r="D32" s="95" t="s">
        <v>107</v>
      </c>
      <c r="E32" s="18">
        <v>314751</v>
      </c>
      <c r="F32" s="18">
        <v>721085</v>
      </c>
      <c r="G32" s="295">
        <v>336929</v>
      </c>
      <c r="H32" s="295">
        <v>702996</v>
      </c>
      <c r="I32" s="14">
        <f t="shared" si="0"/>
        <v>0.47927584225230302</v>
      </c>
      <c r="J32" s="14">
        <f t="shared" si="1"/>
        <v>7.046204777744948E-2</v>
      </c>
      <c r="K32" s="8">
        <v>236</v>
      </c>
      <c r="L32" s="9">
        <v>70</v>
      </c>
      <c r="M32" s="9">
        <v>392</v>
      </c>
      <c r="N32" s="9">
        <v>106</v>
      </c>
      <c r="O32" s="14">
        <f t="shared" si="2"/>
        <v>1.3072873655381025E-3</v>
      </c>
      <c r="P32" s="9">
        <v>156.00000000186</v>
      </c>
      <c r="Q32" s="9">
        <v>60</v>
      </c>
      <c r="R32" s="9">
        <v>117</v>
      </c>
      <c r="S32" s="9">
        <v>25</v>
      </c>
      <c r="T32" s="14">
        <f t="shared" si="3"/>
        <v>1.0204101512400637E-3</v>
      </c>
      <c r="U32" s="14">
        <f t="shared" si="6"/>
        <v>-0.21944464687758616</v>
      </c>
      <c r="V32" s="14">
        <f t="shared" si="7"/>
        <v>0.21944464687758616</v>
      </c>
      <c r="W32" s="14">
        <f t="shared" si="4"/>
        <v>4.0891408212760681E-2</v>
      </c>
      <c r="X32" s="80">
        <v>444.11</v>
      </c>
      <c r="Y32" s="18">
        <v>1386</v>
      </c>
      <c r="Z32" s="81">
        <v>1712</v>
      </c>
      <c r="AA32" s="74">
        <v>2212342.7472197949</v>
      </c>
      <c r="AB32" s="89">
        <f t="shared" si="8"/>
        <v>157431.02552542349</v>
      </c>
      <c r="AC32" s="36">
        <f t="shared" si="5"/>
        <v>9.886082981248519E-5</v>
      </c>
      <c r="AD32" s="32">
        <f t="shared" si="9"/>
        <v>2.0366700884890884E-4</v>
      </c>
      <c r="AE32" s="32">
        <f t="shared" si="10"/>
        <v>1.0373147738388607E-3</v>
      </c>
      <c r="AF32" s="36">
        <f t="shared" si="11"/>
        <v>1.2409817826877696E-3</v>
      </c>
      <c r="AG32" s="32">
        <f t="shared" si="12"/>
        <v>8.6734862855405406E-4</v>
      </c>
      <c r="AH32" s="32">
        <f t="shared" si="13"/>
        <v>6.1337112319141017E-3</v>
      </c>
      <c r="AI32" s="36">
        <f t="shared" si="14"/>
        <v>7.0010598604681555E-3</v>
      </c>
      <c r="AJ32" s="128">
        <f>IF('Datos Mun'!B32="AMM",Y32,0)</f>
        <v>0</v>
      </c>
      <c r="AK32" s="36">
        <f t="shared" si="15"/>
        <v>0</v>
      </c>
      <c r="AL32" s="128">
        <f>IF('Datos Mun'!B32="AMM",0,Y32)</f>
        <v>1386</v>
      </c>
      <c r="AM32" s="36">
        <f t="shared" si="16"/>
        <v>1.5655303205722657E-3</v>
      </c>
      <c r="AN32" s="128">
        <f t="shared" si="17"/>
        <v>0</v>
      </c>
      <c r="AO32" s="36">
        <f t="shared" si="18"/>
        <v>0</v>
      </c>
      <c r="AP32" s="100">
        <f>IF('Datos Mun'!B32="AMM",'Art 14 F I'!F34,'Art 14 F I'!M34)</f>
        <v>1.0298214951762183E-2</v>
      </c>
      <c r="AQ32" s="38">
        <f>IF('Datos Mun'!D32="Zona de Crec",'Art 14 F I'!T34,0)</f>
        <v>0</v>
      </c>
    </row>
    <row r="33" spans="1:43">
      <c r="A33" s="17" t="s">
        <v>29</v>
      </c>
      <c r="B33" s="95" t="s">
        <v>106</v>
      </c>
      <c r="C33" s="95" t="s">
        <v>106</v>
      </c>
      <c r="D33" s="95" t="s">
        <v>107</v>
      </c>
      <c r="E33" s="18">
        <v>586273</v>
      </c>
      <c r="F33" s="18">
        <v>1890448</v>
      </c>
      <c r="G33" s="295">
        <v>629171</v>
      </c>
      <c r="H33" s="295">
        <v>1978005</v>
      </c>
      <c r="I33" s="14">
        <f t="shared" si="0"/>
        <v>0.31808362466222279</v>
      </c>
      <c r="J33" s="14">
        <f t="shared" si="1"/>
        <v>7.3170690105121672E-2</v>
      </c>
      <c r="K33" s="8">
        <v>1201</v>
      </c>
      <c r="L33" s="9">
        <v>234</v>
      </c>
      <c r="M33" s="9">
        <v>2745</v>
      </c>
      <c r="N33" s="9">
        <v>176</v>
      </c>
      <c r="O33" s="14">
        <f t="shared" si="2"/>
        <v>4.5454949869131846E-3</v>
      </c>
      <c r="P33" s="9">
        <v>649.99999999475995</v>
      </c>
      <c r="Q33" s="9">
        <v>185</v>
      </c>
      <c r="R33" s="9">
        <v>941</v>
      </c>
      <c r="S33" s="9">
        <v>42</v>
      </c>
      <c r="T33" s="14">
        <f t="shared" si="3"/>
        <v>3.8184418521229071E-3</v>
      </c>
      <c r="U33" s="14">
        <f t="shared" si="6"/>
        <v>-0.15995026655700142</v>
      </c>
      <c r="V33" s="14">
        <f t="shared" si="7"/>
        <v>0.15995026655700142</v>
      </c>
      <c r="W33" s="14">
        <f t="shared" si="4"/>
        <v>2.9805200247927655E-2</v>
      </c>
      <c r="X33" s="80">
        <v>127.8</v>
      </c>
      <c r="Y33" s="18">
        <v>7026</v>
      </c>
      <c r="Z33" s="81">
        <v>7746</v>
      </c>
      <c r="AA33" s="74">
        <v>1837459.503722325</v>
      </c>
      <c r="AB33" s="89">
        <f t="shared" si="8"/>
        <v>209398.06185676623</v>
      </c>
      <c r="AC33" s="36">
        <f t="shared" si="5"/>
        <v>1.3149419618652597E-4</v>
      </c>
      <c r="AD33" s="32">
        <f t="shared" si="9"/>
        <v>1.0324418500522608E-3</v>
      </c>
      <c r="AE33" s="32">
        <f t="shared" si="10"/>
        <v>2.9850448784446735E-4</v>
      </c>
      <c r="AF33" s="36">
        <f t="shared" si="11"/>
        <v>1.3309463378967281E-3</v>
      </c>
      <c r="AG33" s="32">
        <f t="shared" si="12"/>
        <v>3.2456755743044711E-3</v>
      </c>
      <c r="AH33" s="32">
        <f t="shared" si="13"/>
        <v>4.4707800371891482E-3</v>
      </c>
      <c r="AI33" s="36">
        <f t="shared" si="14"/>
        <v>7.7164556114936193E-3</v>
      </c>
      <c r="AJ33" s="128">
        <f>IF('Datos Mun'!B33="AMM",Y33,0)</f>
        <v>0</v>
      </c>
      <c r="AK33" s="36">
        <f t="shared" si="15"/>
        <v>0</v>
      </c>
      <c r="AL33" s="128">
        <f>IF('Datos Mun'!B33="AMM",0,Y33)</f>
        <v>7026</v>
      </c>
      <c r="AM33" s="36">
        <f t="shared" si="16"/>
        <v>7.9360866034204457E-3</v>
      </c>
      <c r="AN33" s="128">
        <f t="shared" si="17"/>
        <v>0</v>
      </c>
      <c r="AO33" s="36">
        <f t="shared" si="18"/>
        <v>0</v>
      </c>
      <c r="AP33" s="100">
        <f>IF('Datos Mun'!B33="AMM",'Art 14 F I'!F35,'Art 14 F I'!M35)</f>
        <v>1.1360555691496412E-2</v>
      </c>
      <c r="AQ33" s="38">
        <f>IF('Datos Mun'!D33="Zona de Crec",'Art 14 F I'!T35,0)</f>
        <v>0</v>
      </c>
    </row>
    <row r="34" spans="1:43">
      <c r="A34" s="17" t="s">
        <v>30</v>
      </c>
      <c r="B34" s="95" t="s">
        <v>106</v>
      </c>
      <c r="C34" s="95" t="s">
        <v>106</v>
      </c>
      <c r="D34" s="95" t="s">
        <v>107</v>
      </c>
      <c r="E34" s="18">
        <v>107675</v>
      </c>
      <c r="F34" s="18">
        <v>574456</v>
      </c>
      <c r="G34" s="295">
        <v>112915</v>
      </c>
      <c r="H34" s="295">
        <v>579083</v>
      </c>
      <c r="I34" s="14">
        <f t="shared" si="0"/>
        <v>0.19498931932037375</v>
      </c>
      <c r="J34" s="14">
        <f t="shared" si="1"/>
        <v>4.8664964012073368E-2</v>
      </c>
      <c r="K34" s="8">
        <v>779</v>
      </c>
      <c r="L34" s="9">
        <v>226</v>
      </c>
      <c r="M34" s="9">
        <v>2400</v>
      </c>
      <c r="N34" s="9">
        <v>462</v>
      </c>
      <c r="O34" s="14">
        <f t="shared" si="2"/>
        <v>5.8444587616490332E-3</v>
      </c>
      <c r="P34" s="9">
        <v>671.99999999645991</v>
      </c>
      <c r="Q34" s="9">
        <v>188</v>
      </c>
      <c r="R34" s="9">
        <v>1437</v>
      </c>
      <c r="S34" s="9">
        <v>355</v>
      </c>
      <c r="T34" s="14">
        <f t="shared" si="3"/>
        <v>1.0554024016422515E-2</v>
      </c>
      <c r="U34" s="14">
        <f t="shared" si="6"/>
        <v>0.80581717603644487</v>
      </c>
      <c r="V34" s="14">
        <f t="shared" si="7"/>
        <v>0</v>
      </c>
      <c r="W34" s="14">
        <f t="shared" si="4"/>
        <v>0</v>
      </c>
      <c r="X34" s="80">
        <v>561.88</v>
      </c>
      <c r="Y34" s="18">
        <v>3298</v>
      </c>
      <c r="Z34" s="81">
        <v>3979</v>
      </c>
      <c r="AA34" s="74">
        <v>2140203.3870121036</v>
      </c>
      <c r="AB34" s="89">
        <f t="shared" si="8"/>
        <v>22194.558373487263</v>
      </c>
      <c r="AC34" s="36">
        <f t="shared" si="5"/>
        <v>1.3937357333483521E-5</v>
      </c>
      <c r="AD34" s="32">
        <f t="shared" si="9"/>
        <v>4.8462755785259838E-4</v>
      </c>
      <c r="AE34" s="32">
        <f t="shared" si="10"/>
        <v>1.3123920315340322E-3</v>
      </c>
      <c r="AF34" s="36">
        <f t="shared" si="11"/>
        <v>1.7970195893866306E-3</v>
      </c>
      <c r="AG34" s="32">
        <f t="shared" si="12"/>
        <v>8.9709204139591381E-3</v>
      </c>
      <c r="AH34" s="32">
        <f t="shared" si="13"/>
        <v>0</v>
      </c>
      <c r="AI34" s="36">
        <f t="shared" si="14"/>
        <v>8.9709204139591381E-3</v>
      </c>
      <c r="AJ34" s="128">
        <f>IF('Datos Mun'!B34="AMM",Y34,0)</f>
        <v>0</v>
      </c>
      <c r="AK34" s="36">
        <f t="shared" si="15"/>
        <v>0</v>
      </c>
      <c r="AL34" s="128">
        <f>IF('Datos Mun'!B34="AMM",0,Y34)</f>
        <v>3298</v>
      </c>
      <c r="AM34" s="36">
        <f t="shared" si="16"/>
        <v>3.7251940817080321E-3</v>
      </c>
      <c r="AN34" s="128">
        <f t="shared" si="17"/>
        <v>0</v>
      </c>
      <c r="AO34" s="36">
        <f t="shared" si="18"/>
        <v>0</v>
      </c>
      <c r="AP34" s="100">
        <f>IF('Datos Mun'!B34="AMM",'Art 14 F I'!F36,'Art 14 F I'!M36)</f>
        <v>1.3173073290913271E-2</v>
      </c>
      <c r="AQ34" s="38">
        <f>IF('Datos Mun'!D34="Zona de Crec",'Art 14 F I'!T36,0)</f>
        <v>0</v>
      </c>
    </row>
    <row r="35" spans="1:43">
      <c r="A35" s="17" t="s">
        <v>31</v>
      </c>
      <c r="B35" s="95" t="s">
        <v>108</v>
      </c>
      <c r="C35" s="95" t="s">
        <v>108</v>
      </c>
      <c r="D35" s="95" t="s">
        <v>109</v>
      </c>
      <c r="E35" s="18">
        <v>81896056.420000002</v>
      </c>
      <c r="F35" s="18">
        <v>369239404</v>
      </c>
      <c r="G35" s="295">
        <v>99086847.890000001</v>
      </c>
      <c r="H35" s="295">
        <v>512545762.94000041</v>
      </c>
      <c r="I35" s="14">
        <f t="shared" si="0"/>
        <v>0.19332292851594463</v>
      </c>
      <c r="J35" s="14">
        <f t="shared" si="1"/>
        <v>0.20990988115273645</v>
      </c>
      <c r="K35" s="8">
        <v>7826</v>
      </c>
      <c r="L35" s="9">
        <v>1628</v>
      </c>
      <c r="M35" s="9">
        <v>22499</v>
      </c>
      <c r="N35" s="9">
        <v>705</v>
      </c>
      <c r="O35" s="14">
        <f t="shared" si="2"/>
        <v>3.0541785709629822E-2</v>
      </c>
      <c r="P35" s="9">
        <v>16068.000000124277</v>
      </c>
      <c r="Q35" s="9">
        <v>2619</v>
      </c>
      <c r="R35" s="9">
        <v>3702</v>
      </c>
      <c r="S35" s="9">
        <v>260</v>
      </c>
      <c r="T35" s="14">
        <f t="shared" si="3"/>
        <v>3.3829305636440522E-2</v>
      </c>
      <c r="U35" s="14">
        <f t="shared" si="6"/>
        <v>0.10764006918476104</v>
      </c>
      <c r="V35" s="14">
        <f t="shared" si="7"/>
        <v>0</v>
      </c>
      <c r="W35" s="14">
        <f t="shared" si="4"/>
        <v>0</v>
      </c>
      <c r="X35" s="80">
        <v>247</v>
      </c>
      <c r="Y35" s="18">
        <v>471523</v>
      </c>
      <c r="Z35" s="81">
        <v>396864</v>
      </c>
      <c r="AA35" s="74">
        <v>7906757.7221003743</v>
      </c>
      <c r="AB35" s="89">
        <f t="shared" si="8"/>
        <v>26590345.771373838</v>
      </c>
      <c r="AC35" s="36">
        <f t="shared" si="5"/>
        <v>1.669774835795889E-2</v>
      </c>
      <c r="AD35" s="32">
        <f t="shared" si="9"/>
        <v>6.9288368696583003E-2</v>
      </c>
      <c r="AE35" s="32">
        <f t="shared" si="10"/>
        <v>5.769218192299174E-4</v>
      </c>
      <c r="AF35" s="36">
        <f t="shared" si="11"/>
        <v>6.9865290515812917E-2</v>
      </c>
      <c r="AG35" s="32">
        <f t="shared" si="12"/>
        <v>2.8754909790974444E-2</v>
      </c>
      <c r="AH35" s="32">
        <f t="shared" si="13"/>
        <v>0</v>
      </c>
      <c r="AI35" s="36">
        <f t="shared" si="14"/>
        <v>2.8754909790974444E-2</v>
      </c>
      <c r="AJ35" s="128">
        <f>IF('Datos Mun'!B35="AMM",Y35,0)</f>
        <v>471523</v>
      </c>
      <c r="AK35" s="36">
        <f t="shared" si="15"/>
        <v>9.6246488399240757E-2</v>
      </c>
      <c r="AL35" s="128">
        <f>IF('Datos Mun'!B35="AMM",0,Y35)</f>
        <v>0</v>
      </c>
      <c r="AM35" s="36">
        <f t="shared" si="16"/>
        <v>0</v>
      </c>
      <c r="AN35" s="128">
        <f t="shared" si="17"/>
        <v>471523</v>
      </c>
      <c r="AO35" s="36">
        <f t="shared" si="18"/>
        <v>0.15761502494307417</v>
      </c>
      <c r="AP35" s="100">
        <f>IF('Datos Mun'!B35="AMM",'Art 14 F I'!F37,'Art 14 F I'!M37)</f>
        <v>4.1508320435271751E-2</v>
      </c>
      <c r="AQ35" s="38">
        <f>IF('Datos Mun'!D35="Zona de Crec",'Art 14 F I'!T37,0)</f>
        <v>0.1168903602087555</v>
      </c>
    </row>
    <row r="36" spans="1:43">
      <c r="A36" s="17" t="s">
        <v>32</v>
      </c>
      <c r="B36" s="95" t="s">
        <v>106</v>
      </c>
      <c r="C36" s="95" t="s">
        <v>106</v>
      </c>
      <c r="D36" s="95" t="s">
        <v>107</v>
      </c>
      <c r="E36" s="18">
        <v>1383880</v>
      </c>
      <c r="F36" s="18">
        <v>3808697</v>
      </c>
      <c r="G36" s="295">
        <v>1194083</v>
      </c>
      <c r="H36" s="295">
        <v>3788861</v>
      </c>
      <c r="I36" s="14">
        <f t="shared" si="0"/>
        <v>0.3151561907391166</v>
      </c>
      <c r="J36" s="14">
        <f t="shared" si="1"/>
        <v>-0.1371484521779345</v>
      </c>
      <c r="K36" s="8">
        <v>900</v>
      </c>
      <c r="L36" s="9">
        <v>209</v>
      </c>
      <c r="M36" s="9">
        <v>2198</v>
      </c>
      <c r="N36" s="9">
        <v>203</v>
      </c>
      <c r="O36" s="14">
        <f t="shared" si="2"/>
        <v>4.0615571082199316E-3</v>
      </c>
      <c r="P36" s="9">
        <v>711.99999999240003</v>
      </c>
      <c r="Q36" s="9">
        <v>170</v>
      </c>
      <c r="R36" s="9">
        <v>749</v>
      </c>
      <c r="S36" s="9">
        <v>32</v>
      </c>
      <c r="T36" s="14">
        <f t="shared" si="3"/>
        <v>3.2439902600152671E-3</v>
      </c>
      <c r="U36" s="14">
        <f t="shared" si="6"/>
        <v>-0.20129394378083273</v>
      </c>
      <c r="V36" s="14">
        <f t="shared" si="7"/>
        <v>0.20129394378083273</v>
      </c>
      <c r="W36" s="14">
        <f t="shared" si="4"/>
        <v>3.7509198529186154E-2</v>
      </c>
      <c r="X36" s="80">
        <v>3428.68</v>
      </c>
      <c r="Y36" s="18">
        <v>5351</v>
      </c>
      <c r="Z36" s="81">
        <v>5783</v>
      </c>
      <c r="AA36" s="74">
        <v>4879372.4971958175</v>
      </c>
      <c r="AB36" s="89">
        <f t="shared" si="8"/>
        <v>374362.73110961571</v>
      </c>
      <c r="AC36" s="36">
        <f t="shared" si="5"/>
        <v>2.3508587411436363E-4</v>
      </c>
      <c r="AD36" s="32">
        <f t="shared" si="9"/>
        <v>7.8630747788637162E-4</v>
      </c>
      <c r="AE36" s="32">
        <f t="shared" si="10"/>
        <v>8.0084222799887972E-3</v>
      </c>
      <c r="AF36" s="36">
        <f t="shared" si="11"/>
        <v>8.7947297578751683E-3</v>
      </c>
      <c r="AG36" s="32">
        <f t="shared" si="12"/>
        <v>2.7573917210129768E-3</v>
      </c>
      <c r="AH36" s="32">
        <f t="shared" si="13"/>
        <v>5.6263797793779232E-3</v>
      </c>
      <c r="AI36" s="36">
        <f t="shared" si="14"/>
        <v>8.3837715003909005E-3</v>
      </c>
      <c r="AJ36" s="128">
        <f>IF('Datos Mun'!B36="AMM",Y36,0)</f>
        <v>0</v>
      </c>
      <c r="AK36" s="36">
        <f t="shared" si="15"/>
        <v>0</v>
      </c>
      <c r="AL36" s="128">
        <f>IF('Datos Mun'!B36="AMM",0,Y36)</f>
        <v>5351</v>
      </c>
      <c r="AM36" s="36">
        <f t="shared" si="16"/>
        <v>6.0441217499150029E-3</v>
      </c>
      <c r="AN36" s="128">
        <f t="shared" si="17"/>
        <v>0</v>
      </c>
      <c r="AO36" s="36">
        <f t="shared" si="18"/>
        <v>0</v>
      </c>
      <c r="AP36" s="100">
        <f>IF('Datos Mun'!B36="AMM",'Art 14 F I'!F38,'Art 14 F I'!M38)</f>
        <v>2.1534943779093887E-2</v>
      </c>
      <c r="AQ36" s="38">
        <f>IF('Datos Mun'!D36="Zona de Crec",'Art 14 F I'!T38,0)</f>
        <v>0</v>
      </c>
    </row>
    <row r="37" spans="1:43">
      <c r="A37" s="17" t="s">
        <v>33</v>
      </c>
      <c r="B37" s="95" t="s">
        <v>106</v>
      </c>
      <c r="C37" s="95" t="s">
        <v>106</v>
      </c>
      <c r="D37" s="95" t="s">
        <v>107</v>
      </c>
      <c r="E37" s="18">
        <v>10865396</v>
      </c>
      <c r="F37" s="18">
        <v>39439786</v>
      </c>
      <c r="G37" s="295">
        <v>10280239</v>
      </c>
      <c r="H37" s="295">
        <v>39384069</v>
      </c>
      <c r="I37" s="14">
        <f t="shared" si="0"/>
        <v>0.26102531457579969</v>
      </c>
      <c r="J37" s="14">
        <f t="shared" ref="J37:J55" si="19">(G37-E37)/E37</f>
        <v>-5.3855101093416201E-2</v>
      </c>
      <c r="K37" s="8">
        <v>12929</v>
      </c>
      <c r="L37" s="9">
        <v>2053</v>
      </c>
      <c r="M37" s="9">
        <v>23315</v>
      </c>
      <c r="N37" s="9">
        <v>2592</v>
      </c>
      <c r="O37" s="14">
        <f t="shared" ref="O37:O55" si="20">0.25*(K37/$K$56)+0.25*(L37/$L$56)+0.25*(M37/$M$56)+0.25*(N37/$N$56)</f>
        <v>4.7396376278714986E-2</v>
      </c>
      <c r="P37" s="9">
        <v>10671.999999957041</v>
      </c>
      <c r="Q37" s="9">
        <v>1702</v>
      </c>
      <c r="R37" s="9">
        <v>11424</v>
      </c>
      <c r="S37" s="9">
        <v>888</v>
      </c>
      <c r="T37" s="14">
        <f t="shared" ref="T37:T55" si="21">0.25*(P37/$P$56)+0.25*(Q37/$Q$56)+0.25*(R37/$R$56)+0.25*(S37/$S$56)</f>
        <v>5.3573985057324913E-2</v>
      </c>
      <c r="U37" s="14">
        <f t="shared" si="6"/>
        <v>0.13033926353952507</v>
      </c>
      <c r="V37" s="14">
        <f t="shared" si="7"/>
        <v>0</v>
      </c>
      <c r="W37" s="14">
        <f t="shared" ref="W37:W55" si="22">IFERROR(V37/$V$56,0)</f>
        <v>0</v>
      </c>
      <c r="X37" s="80">
        <v>2539.67</v>
      </c>
      <c r="Y37" s="18">
        <v>84666</v>
      </c>
      <c r="Z37" s="81">
        <v>88689</v>
      </c>
      <c r="AA37" s="74">
        <v>14166911.141700404</v>
      </c>
      <c r="AB37" s="89">
        <f t="shared" si="8"/>
        <v>2679611.7478203606</v>
      </c>
      <c r="AC37" s="36">
        <f t="shared" ref="AC37:AC55" si="23">AB37/$AB$56</f>
        <v>1.6826965338037809E-3</v>
      </c>
      <c r="AD37" s="32">
        <f t="shared" si="9"/>
        <v>1.2441321047043085E-2</v>
      </c>
      <c r="AE37" s="32">
        <f t="shared" si="10"/>
        <v>5.9319475167758876E-3</v>
      </c>
      <c r="AF37" s="36">
        <f t="shared" si="11"/>
        <v>1.8373268563818972E-2</v>
      </c>
      <c r="AG37" s="32">
        <f t="shared" si="12"/>
        <v>4.5537887298726175E-2</v>
      </c>
      <c r="AH37" s="32">
        <f t="shared" si="13"/>
        <v>0</v>
      </c>
      <c r="AI37" s="36">
        <f t="shared" si="14"/>
        <v>4.5537887298726175E-2</v>
      </c>
      <c r="AJ37" s="128">
        <f>IF('Datos Mun'!B37="AMM",Y37,0)</f>
        <v>0</v>
      </c>
      <c r="AK37" s="36">
        <f t="shared" si="15"/>
        <v>0</v>
      </c>
      <c r="AL37" s="128">
        <f>IF('Datos Mun'!B37="AMM",0,Y37)</f>
        <v>84666</v>
      </c>
      <c r="AM37" s="36">
        <f t="shared" si="16"/>
        <v>9.5632893305607106E-2</v>
      </c>
      <c r="AN37" s="128">
        <f t="shared" si="17"/>
        <v>0</v>
      </c>
      <c r="AO37" s="36">
        <f t="shared" si="18"/>
        <v>0</v>
      </c>
      <c r="AP37" s="100">
        <f>IF('Datos Mun'!B37="AMM",'Art 14 F I'!F39,'Art 14 F I'!M39)</f>
        <v>8.2090970710893302E-2</v>
      </c>
      <c r="AQ37" s="38">
        <f>IF('Datos Mun'!D37="Zona de Crec",'Art 14 F I'!T39,0)</f>
        <v>0</v>
      </c>
    </row>
    <row r="38" spans="1:43">
      <c r="A38" s="17" t="s">
        <v>34</v>
      </c>
      <c r="B38" s="95" t="s">
        <v>106</v>
      </c>
      <c r="C38" s="95" t="s">
        <v>106</v>
      </c>
      <c r="D38" s="95" t="s">
        <v>107</v>
      </c>
      <c r="E38" s="18">
        <v>1126052</v>
      </c>
      <c r="F38" s="18">
        <v>2142351</v>
      </c>
      <c r="G38" s="295">
        <v>940947</v>
      </c>
      <c r="H38" s="295">
        <v>2191945</v>
      </c>
      <c r="I38" s="14">
        <f t="shared" si="0"/>
        <v>0.42927491337601992</v>
      </c>
      <c r="J38" s="14">
        <f t="shared" si="19"/>
        <v>-0.16438406041639284</v>
      </c>
      <c r="K38" s="8">
        <v>549</v>
      </c>
      <c r="L38" s="9">
        <v>170</v>
      </c>
      <c r="M38" s="9">
        <v>368</v>
      </c>
      <c r="N38" s="9">
        <v>141</v>
      </c>
      <c r="O38" s="14">
        <f t="shared" si="20"/>
        <v>1.9801145257961881E-3</v>
      </c>
      <c r="P38" s="9">
        <v>273.99999999933596</v>
      </c>
      <c r="Q38" s="9">
        <v>118</v>
      </c>
      <c r="R38" s="9">
        <v>143</v>
      </c>
      <c r="S38" s="9">
        <v>8</v>
      </c>
      <c r="T38" s="14">
        <f t="shared" si="21"/>
        <v>1.0543512714151413E-3</v>
      </c>
      <c r="U38" s="14">
        <f t="shared" si="6"/>
        <v>-0.46753015662505931</v>
      </c>
      <c r="V38" s="14">
        <f t="shared" si="7"/>
        <v>0.46753015662505931</v>
      </c>
      <c r="W38" s="14">
        <f t="shared" si="22"/>
        <v>8.7119766913229382E-2</v>
      </c>
      <c r="X38" s="80">
        <v>264.23</v>
      </c>
      <c r="Y38" s="18">
        <v>5119</v>
      </c>
      <c r="Z38" s="81">
        <v>6199</v>
      </c>
      <c r="AA38" s="74">
        <v>3175363.8332095044</v>
      </c>
      <c r="AB38" s="89">
        <f t="shared" si="8"/>
        <v>413275.53552569117</v>
      </c>
      <c r="AC38" s="36">
        <f t="shared" si="23"/>
        <v>2.5952166827923688E-4</v>
      </c>
      <c r="AD38" s="32">
        <f t="shared" si="9"/>
        <v>7.5221603051772322E-4</v>
      </c>
      <c r="AE38" s="32">
        <f t="shared" si="10"/>
        <v>6.1716620362397201E-4</v>
      </c>
      <c r="AF38" s="36">
        <f t="shared" si="11"/>
        <v>1.3693822341416953E-3</v>
      </c>
      <c r="AG38" s="32">
        <f t="shared" si="12"/>
        <v>8.9619858070287008E-4</v>
      </c>
      <c r="AH38" s="32">
        <f t="shared" si="13"/>
        <v>1.3067965036984408E-2</v>
      </c>
      <c r="AI38" s="36">
        <f t="shared" si="14"/>
        <v>1.3964163617687278E-2</v>
      </c>
      <c r="AJ38" s="128">
        <f>IF('Datos Mun'!B38="AMM",Y38,0)</f>
        <v>0</v>
      </c>
      <c r="AK38" s="36">
        <f t="shared" si="15"/>
        <v>0</v>
      </c>
      <c r="AL38" s="128">
        <f>IF('Datos Mun'!B38="AMM",0,Y38)</f>
        <v>5119</v>
      </c>
      <c r="AM38" s="36">
        <f t="shared" si="16"/>
        <v>5.7820704985638008E-3</v>
      </c>
      <c r="AN38" s="128">
        <f t="shared" si="17"/>
        <v>0</v>
      </c>
      <c r="AO38" s="36">
        <f t="shared" si="18"/>
        <v>0</v>
      </c>
      <c r="AP38" s="100">
        <f>IF('Datos Mun'!B38="AMM",'Art 14 F I'!F40,'Art 14 F I'!M40)</f>
        <v>1.9343358948254303E-2</v>
      </c>
      <c r="AQ38" s="38">
        <f>IF('Datos Mun'!D38="Zona de Crec",'Art 14 F I'!T40,0)</f>
        <v>0</v>
      </c>
    </row>
    <row r="39" spans="1:43">
      <c r="A39" s="17" t="s">
        <v>35</v>
      </c>
      <c r="B39" s="95" t="s">
        <v>106</v>
      </c>
      <c r="C39" s="95" t="s">
        <v>106</v>
      </c>
      <c r="D39" s="95" t="s">
        <v>107</v>
      </c>
      <c r="E39" s="18">
        <v>319251</v>
      </c>
      <c r="F39" s="18">
        <v>758867</v>
      </c>
      <c r="G39" s="295">
        <v>301669</v>
      </c>
      <c r="H39" s="295">
        <v>739738</v>
      </c>
      <c r="I39" s="14">
        <f t="shared" si="0"/>
        <v>0.40780519589368125</v>
      </c>
      <c r="J39" s="14">
        <f t="shared" si="19"/>
        <v>-5.5072654431779382E-2</v>
      </c>
      <c r="K39" s="8">
        <v>166</v>
      </c>
      <c r="L39" s="9">
        <v>24</v>
      </c>
      <c r="M39" s="9">
        <v>127</v>
      </c>
      <c r="N39" s="9">
        <v>48</v>
      </c>
      <c r="O39" s="14">
        <f t="shared" si="20"/>
        <v>5.668842439924349E-4</v>
      </c>
      <c r="P39" s="9">
        <v>122.00000000265999</v>
      </c>
      <c r="Q39" s="9">
        <v>28</v>
      </c>
      <c r="R39" s="9">
        <v>16</v>
      </c>
      <c r="S39" s="9">
        <v>3</v>
      </c>
      <c r="T39" s="14">
        <f t="shared" si="21"/>
        <v>2.7865285037301604E-4</v>
      </c>
      <c r="U39" s="14">
        <f t="shared" si="6"/>
        <v>-0.50844841195350865</v>
      </c>
      <c r="V39" s="14">
        <f t="shared" si="7"/>
        <v>0.50844841195350865</v>
      </c>
      <c r="W39" s="14">
        <f t="shared" si="22"/>
        <v>9.474449189876509E-2</v>
      </c>
      <c r="X39" s="80">
        <v>207.92</v>
      </c>
      <c r="Y39" s="18">
        <v>1483</v>
      </c>
      <c r="Z39" s="81">
        <v>1071</v>
      </c>
      <c r="AA39" s="74">
        <v>3099472.9188778722</v>
      </c>
      <c r="AB39" s="89">
        <f t="shared" si="8"/>
        <v>119921.1265755396</v>
      </c>
      <c r="AC39" s="36">
        <f t="shared" si="23"/>
        <v>7.5306008112050149E-5</v>
      </c>
      <c r="AD39" s="32">
        <f t="shared" si="9"/>
        <v>2.1792076055045584E-4</v>
      </c>
      <c r="AE39" s="32">
        <f t="shared" si="10"/>
        <v>4.8564204313475466E-4</v>
      </c>
      <c r="AF39" s="36">
        <f t="shared" si="11"/>
        <v>7.0356280368521053E-4</v>
      </c>
      <c r="AG39" s="32">
        <f t="shared" si="12"/>
        <v>2.3685492281706362E-4</v>
      </c>
      <c r="AH39" s="32">
        <f t="shared" si="13"/>
        <v>1.4211673784814763E-2</v>
      </c>
      <c r="AI39" s="36">
        <f t="shared" si="14"/>
        <v>1.4448528707631827E-2</v>
      </c>
      <c r="AJ39" s="128">
        <f>IF('Datos Mun'!B39="AMM",Y39,0)</f>
        <v>0</v>
      </c>
      <c r="AK39" s="36">
        <f t="shared" si="15"/>
        <v>0</v>
      </c>
      <c r="AL39" s="128">
        <f>IF('Datos Mun'!B39="AMM",0,Y39)</f>
        <v>1483</v>
      </c>
      <c r="AM39" s="36">
        <f t="shared" si="16"/>
        <v>1.6750948523872079E-3</v>
      </c>
      <c r="AN39" s="128">
        <f t="shared" si="17"/>
        <v>0</v>
      </c>
      <c r="AO39" s="36">
        <f t="shared" si="18"/>
        <v>0</v>
      </c>
      <c r="AP39" s="100">
        <f>IF('Datos Mun'!B39="AMM",'Art 14 F I'!F41,'Art 14 F I'!M41)</f>
        <v>1.8672387437427551E-2</v>
      </c>
      <c r="AQ39" s="38">
        <f>IF('Datos Mun'!D39="Zona de Crec",'Art 14 F I'!T41,0)</f>
        <v>0</v>
      </c>
    </row>
    <row r="40" spans="1:43">
      <c r="A40" s="17" t="s">
        <v>36</v>
      </c>
      <c r="B40" s="95" t="s">
        <v>106</v>
      </c>
      <c r="C40" s="95" t="s">
        <v>106</v>
      </c>
      <c r="D40" s="95" t="s">
        <v>107</v>
      </c>
      <c r="E40" s="18">
        <v>69817</v>
      </c>
      <c r="F40" s="18">
        <v>746282</v>
      </c>
      <c r="G40" s="295">
        <v>64774</v>
      </c>
      <c r="H40" s="295">
        <v>841795</v>
      </c>
      <c r="I40" s="14">
        <f t="shared" si="0"/>
        <v>7.6947475335443896E-2</v>
      </c>
      <c r="J40" s="14">
        <f t="shared" si="19"/>
        <v>-7.2231691421860006E-2</v>
      </c>
      <c r="K40" s="8">
        <v>1457</v>
      </c>
      <c r="L40" s="9">
        <v>857</v>
      </c>
      <c r="M40" s="9">
        <v>6591</v>
      </c>
      <c r="N40" s="9">
        <v>540</v>
      </c>
      <c r="O40" s="14">
        <f t="shared" si="20"/>
        <v>1.1668536705942888E-2</v>
      </c>
      <c r="P40" s="9">
        <v>1103.9999999949041</v>
      </c>
      <c r="Q40" s="9">
        <v>656</v>
      </c>
      <c r="R40" s="9">
        <v>3161</v>
      </c>
      <c r="S40" s="9">
        <v>242</v>
      </c>
      <c r="T40" s="14">
        <f t="shared" si="21"/>
        <v>1.3933846759870267E-2</v>
      </c>
      <c r="U40" s="14">
        <f t="shared" si="6"/>
        <v>0.19413831494172162</v>
      </c>
      <c r="V40" s="14">
        <f t="shared" si="7"/>
        <v>0</v>
      </c>
      <c r="W40" s="14">
        <f t="shared" si="22"/>
        <v>0</v>
      </c>
      <c r="X40" s="80">
        <v>1006.78</v>
      </c>
      <c r="Y40" s="18">
        <v>7652</v>
      </c>
      <c r="Z40" s="81">
        <v>7601</v>
      </c>
      <c r="AA40" s="74">
        <v>3016799.7840141212</v>
      </c>
      <c r="AB40" s="89">
        <f t="shared" si="8"/>
        <v>5622.0987187149094</v>
      </c>
      <c r="AC40" s="36">
        <f t="shared" si="23"/>
        <v>3.5304689324412032E-6</v>
      </c>
      <c r="AD40" s="32">
        <f t="shared" si="9"/>
        <v>1.1244299795900798E-3</v>
      </c>
      <c r="AE40" s="32">
        <f t="shared" si="10"/>
        <v>2.3515520209080819E-3</v>
      </c>
      <c r="AF40" s="36">
        <f t="shared" si="11"/>
        <v>3.4759820004981617E-3</v>
      </c>
      <c r="AG40" s="32">
        <f t="shared" si="12"/>
        <v>1.1843769745889727E-2</v>
      </c>
      <c r="AH40" s="32">
        <f t="shared" si="13"/>
        <v>0</v>
      </c>
      <c r="AI40" s="36">
        <f t="shared" si="14"/>
        <v>1.1843769745889727E-2</v>
      </c>
      <c r="AJ40" s="128">
        <f>IF('Datos Mun'!B40="AMM",Y40,0)</f>
        <v>0</v>
      </c>
      <c r="AK40" s="36">
        <f t="shared" si="15"/>
        <v>0</v>
      </c>
      <c r="AL40" s="128">
        <f>IF('Datos Mun'!B40="AMM",0,Y40)</f>
        <v>7652</v>
      </c>
      <c r="AM40" s="36">
        <f t="shared" si="16"/>
        <v>8.6431731695663615E-3</v>
      </c>
      <c r="AN40" s="128">
        <f t="shared" si="17"/>
        <v>0</v>
      </c>
      <c r="AO40" s="36">
        <f t="shared" si="18"/>
        <v>0</v>
      </c>
      <c r="AP40" s="100">
        <f>IF('Datos Mun'!B40="AMM",'Art 14 F I'!F42,'Art 14 F I'!M42)</f>
        <v>1.8701805475495079E-2</v>
      </c>
      <c r="AQ40" s="38">
        <f>IF('Datos Mun'!D40="Zona de Crec",'Art 14 F I'!T42,0)</f>
        <v>0</v>
      </c>
    </row>
    <row r="41" spans="1:43">
      <c r="A41" s="17" t="s">
        <v>37</v>
      </c>
      <c r="B41" s="95" t="s">
        <v>106</v>
      </c>
      <c r="C41" s="95" t="s">
        <v>106</v>
      </c>
      <c r="D41" s="95" t="s">
        <v>107</v>
      </c>
      <c r="E41" s="18">
        <v>875732</v>
      </c>
      <c r="F41" s="18">
        <v>4564482</v>
      </c>
      <c r="G41" s="295">
        <v>1105076</v>
      </c>
      <c r="H41" s="295">
        <v>4742394</v>
      </c>
      <c r="I41" s="14">
        <f t="shared" si="0"/>
        <v>0.23302070641958469</v>
      </c>
      <c r="J41" s="14">
        <f t="shared" si="19"/>
        <v>0.26188834026848395</v>
      </c>
      <c r="K41" s="8">
        <v>871</v>
      </c>
      <c r="L41" s="9">
        <v>298</v>
      </c>
      <c r="M41" s="9">
        <v>2364</v>
      </c>
      <c r="N41" s="9">
        <v>407</v>
      </c>
      <c r="O41" s="14">
        <f t="shared" si="20"/>
        <v>5.7246757457106359E-3</v>
      </c>
      <c r="P41" s="9">
        <v>541.99999999184001</v>
      </c>
      <c r="Q41" s="9">
        <v>247</v>
      </c>
      <c r="R41" s="9">
        <v>493</v>
      </c>
      <c r="S41" s="9">
        <v>128</v>
      </c>
      <c r="T41" s="14">
        <f t="shared" si="21"/>
        <v>4.6017900390551651E-3</v>
      </c>
      <c r="U41" s="14">
        <f t="shared" si="6"/>
        <v>-0.19614835084708904</v>
      </c>
      <c r="V41" s="14">
        <f t="shared" si="7"/>
        <v>0.19614835084708904</v>
      </c>
      <c r="W41" s="14">
        <f t="shared" si="22"/>
        <v>3.655036656794089E-2</v>
      </c>
      <c r="X41" s="80">
        <v>3872.26</v>
      </c>
      <c r="Y41" s="18">
        <v>6048</v>
      </c>
      <c r="Z41" s="81">
        <v>5882</v>
      </c>
      <c r="AA41" s="74">
        <v>3822980.5102342181</v>
      </c>
      <c r="AB41" s="89">
        <f t="shared" si="8"/>
        <v>267542.50882706954</v>
      </c>
      <c r="AC41" s="36">
        <f t="shared" si="23"/>
        <v>1.680067467291377E-4</v>
      </c>
      <c r="AD41" s="32">
        <f t="shared" si="9"/>
        <v>8.8872876588614778E-4</v>
      </c>
      <c r="AE41" s="32">
        <f t="shared" si="10"/>
        <v>9.0444991244179769E-3</v>
      </c>
      <c r="AF41" s="36">
        <f t="shared" si="11"/>
        <v>9.9332278903041249E-3</v>
      </c>
      <c r="AG41" s="32">
        <f t="shared" si="12"/>
        <v>3.9115215331968906E-3</v>
      </c>
      <c r="AH41" s="32">
        <f t="shared" si="13"/>
        <v>5.4825549851911333E-3</v>
      </c>
      <c r="AI41" s="36">
        <f t="shared" si="14"/>
        <v>9.3940765183880247E-3</v>
      </c>
      <c r="AJ41" s="128">
        <f>IF('Datos Mun'!B41="AMM",Y41,0)</f>
        <v>0</v>
      </c>
      <c r="AK41" s="36">
        <f t="shared" si="15"/>
        <v>0</v>
      </c>
      <c r="AL41" s="128">
        <f>IF('Datos Mun'!B41="AMM",0,Y41)</f>
        <v>6048</v>
      </c>
      <c r="AM41" s="36">
        <f t="shared" si="16"/>
        <v>6.8314050352244323E-3</v>
      </c>
      <c r="AN41" s="128">
        <f t="shared" si="17"/>
        <v>0</v>
      </c>
      <c r="AO41" s="36">
        <f t="shared" si="18"/>
        <v>0</v>
      </c>
      <c r="AP41" s="100">
        <f>IF('Datos Mun'!B41="AMM",'Art 14 F I'!F43,'Art 14 F I'!M43)</f>
        <v>2.3993217245139552E-2</v>
      </c>
      <c r="AQ41" s="38">
        <f>IF('Datos Mun'!D41="Zona de Crec",'Art 14 F I'!T43,0)</f>
        <v>0</v>
      </c>
    </row>
    <row r="42" spans="1:43">
      <c r="A42" s="17" t="s">
        <v>38</v>
      </c>
      <c r="B42" s="95" t="s">
        <v>106</v>
      </c>
      <c r="C42" s="95" t="s">
        <v>106</v>
      </c>
      <c r="D42" s="95" t="s">
        <v>107</v>
      </c>
      <c r="E42" s="18">
        <v>15135193.17</v>
      </c>
      <c r="F42" s="18">
        <v>56486259</v>
      </c>
      <c r="G42" s="295">
        <v>16891683.199999999</v>
      </c>
      <c r="H42" s="295">
        <v>59084249</v>
      </c>
      <c r="I42" s="14">
        <f t="shared" si="0"/>
        <v>0.2858914767622755</v>
      </c>
      <c r="J42" s="14">
        <f t="shared" si="19"/>
        <v>0.11605336055317748</v>
      </c>
      <c r="K42" s="8">
        <v>9097</v>
      </c>
      <c r="L42" s="9">
        <v>1608</v>
      </c>
      <c r="M42" s="9">
        <v>18077</v>
      </c>
      <c r="N42" s="9">
        <v>1611</v>
      </c>
      <c r="O42" s="14">
        <f t="shared" si="20"/>
        <v>3.3705765227310995E-2</v>
      </c>
      <c r="P42" s="9">
        <v>5867.9999999965466</v>
      </c>
      <c r="Q42" s="9">
        <v>1434</v>
      </c>
      <c r="R42" s="9">
        <v>7372</v>
      </c>
      <c r="S42" s="9">
        <v>494</v>
      </c>
      <c r="T42" s="14">
        <f t="shared" si="21"/>
        <v>3.3476855698049306E-2</v>
      </c>
      <c r="U42" s="14">
        <f t="shared" si="6"/>
        <v>-6.7914057941698752E-3</v>
      </c>
      <c r="V42" s="14">
        <f t="shared" si="7"/>
        <v>6.7914057941698752E-3</v>
      </c>
      <c r="W42" s="14">
        <f t="shared" si="22"/>
        <v>1.2655134249997214E-3</v>
      </c>
      <c r="X42" s="80">
        <v>1869.3</v>
      </c>
      <c r="Y42" s="18">
        <v>67428</v>
      </c>
      <c r="Z42" s="81">
        <v>67657</v>
      </c>
      <c r="AA42" s="74">
        <v>17905596.972663175</v>
      </c>
      <c r="AB42" s="89">
        <f t="shared" si="8"/>
        <v>5051298.6057221852</v>
      </c>
      <c r="AC42" s="36">
        <f t="shared" si="23"/>
        <v>3.1720276872089655E-3</v>
      </c>
      <c r="AD42" s="32">
        <f t="shared" si="9"/>
        <v>9.9082677291949667E-3</v>
      </c>
      <c r="AE42" s="32">
        <f t="shared" si="10"/>
        <v>4.3661536707954836E-3</v>
      </c>
      <c r="AF42" s="36">
        <f t="shared" si="11"/>
        <v>1.4274421399990449E-2</v>
      </c>
      <c r="AG42" s="32">
        <f t="shared" si="12"/>
        <v>2.8455327343341909E-2</v>
      </c>
      <c r="AH42" s="32">
        <f t="shared" si="13"/>
        <v>1.898270137499582E-4</v>
      </c>
      <c r="AI42" s="36">
        <f t="shared" si="14"/>
        <v>2.8645154357091869E-2</v>
      </c>
      <c r="AJ42" s="128">
        <f>IF('Datos Mun'!B42="AMM",Y42,0)</f>
        <v>0</v>
      </c>
      <c r="AK42" s="36">
        <f t="shared" si="15"/>
        <v>0</v>
      </c>
      <c r="AL42" s="128">
        <f>IF('Datos Mun'!B42="AMM",0,Y42)</f>
        <v>67428</v>
      </c>
      <c r="AM42" s="36">
        <f t="shared" si="16"/>
        <v>7.616203351771049E-2</v>
      </c>
      <c r="AN42" s="128">
        <f t="shared" si="17"/>
        <v>0</v>
      </c>
      <c r="AO42" s="36">
        <f t="shared" si="18"/>
        <v>0</v>
      </c>
      <c r="AP42" s="100">
        <f>IF('Datos Mun'!B42="AMM",'Art 14 F I'!F44,'Art 14 F I'!M44)</f>
        <v>6.0111574755816764E-2</v>
      </c>
      <c r="AQ42" s="38">
        <f>IF('Datos Mun'!D42="Zona de Crec",'Art 14 F I'!T44,0)</f>
        <v>0</v>
      </c>
    </row>
    <row r="43" spans="1:43">
      <c r="A43" s="17" t="s">
        <v>39</v>
      </c>
      <c r="B43" s="95" t="s">
        <v>108</v>
      </c>
      <c r="C43" s="95" t="s">
        <v>108</v>
      </c>
      <c r="D43" s="95" t="s">
        <v>107</v>
      </c>
      <c r="E43" s="18">
        <v>1234436745.7600002</v>
      </c>
      <c r="F43" s="18">
        <v>2430413136</v>
      </c>
      <c r="G43" s="295">
        <v>1205887491.6800001</v>
      </c>
      <c r="H43" s="295">
        <v>2540450510.1400013</v>
      </c>
      <c r="I43" s="14">
        <f t="shared" si="0"/>
        <v>0.47467466375227479</v>
      </c>
      <c r="J43" s="14">
        <f t="shared" si="19"/>
        <v>-2.3127352760730861E-2</v>
      </c>
      <c r="K43" s="8">
        <v>123398</v>
      </c>
      <c r="L43" s="9">
        <v>25536</v>
      </c>
      <c r="M43" s="9">
        <v>28126</v>
      </c>
      <c r="N43" s="9">
        <v>2378</v>
      </c>
      <c r="O43" s="14">
        <f t="shared" si="20"/>
        <v>0.18097080651961275</v>
      </c>
      <c r="P43" s="9">
        <v>88873.999998769097</v>
      </c>
      <c r="Q43" s="9">
        <v>19246</v>
      </c>
      <c r="R43" s="9">
        <v>4982</v>
      </c>
      <c r="S43" s="9">
        <v>694</v>
      </c>
      <c r="T43" s="14">
        <f t="shared" si="21"/>
        <v>0.15834621423966655</v>
      </c>
      <c r="U43" s="14">
        <f t="shared" si="6"/>
        <v>-0.12501791153532965</v>
      </c>
      <c r="V43" s="14">
        <f t="shared" si="7"/>
        <v>0.12501791153532965</v>
      </c>
      <c r="W43" s="14">
        <f t="shared" si="22"/>
        <v>2.329589045455142E-2</v>
      </c>
      <c r="X43" s="80">
        <v>323.60000000000002</v>
      </c>
      <c r="Y43" s="18">
        <v>1142994</v>
      </c>
      <c r="Z43" s="81">
        <v>1124835</v>
      </c>
      <c r="AA43" s="74">
        <v>78893922.891016111</v>
      </c>
      <c r="AB43" s="89">
        <f t="shared" si="8"/>
        <v>598319940.36353922</v>
      </c>
      <c r="AC43" s="36">
        <f t="shared" si="23"/>
        <v>0.37572267347101768</v>
      </c>
      <c r="AD43" s="32">
        <f t="shared" si="9"/>
        <v>0.16795827497276314</v>
      </c>
      <c r="AE43" s="32">
        <f t="shared" si="10"/>
        <v>7.5583765466721159E-4</v>
      </c>
      <c r="AF43" s="36">
        <f t="shared" si="11"/>
        <v>0.16871411262743036</v>
      </c>
      <c r="AG43" s="32">
        <f t="shared" si="12"/>
        <v>0.13459428210371657</v>
      </c>
      <c r="AH43" s="32">
        <f t="shared" si="13"/>
        <v>3.4943835681827129E-3</v>
      </c>
      <c r="AI43" s="36">
        <f t="shared" si="14"/>
        <v>0.13808866567189929</v>
      </c>
      <c r="AJ43" s="128">
        <f>IF('Datos Mun'!B43="AMM",Y43,0)</f>
        <v>1142994</v>
      </c>
      <c r="AK43" s="36">
        <f t="shared" si="15"/>
        <v>0.23330602910441653</v>
      </c>
      <c r="AL43" s="128">
        <f>IF('Datos Mun'!B43="AMM",0,Y43)</f>
        <v>0</v>
      </c>
      <c r="AM43" s="36">
        <f t="shared" si="16"/>
        <v>0</v>
      </c>
      <c r="AN43" s="128">
        <f t="shared" si="17"/>
        <v>0</v>
      </c>
      <c r="AO43" s="36">
        <f t="shared" si="18"/>
        <v>0</v>
      </c>
      <c r="AP43" s="100">
        <f>IF('Datos Mun'!B43="AMM",'Art 14 F I'!F45,'Art 14 F I'!M45)</f>
        <v>0.33273393447287852</v>
      </c>
      <c r="AQ43" s="38">
        <f>IF('Datos Mun'!D43="Zona de Crec",'Art 14 F I'!T45,0)</f>
        <v>0</v>
      </c>
    </row>
    <row r="44" spans="1:43">
      <c r="A44" s="17" t="s">
        <v>40</v>
      </c>
      <c r="B44" s="95" t="s">
        <v>106</v>
      </c>
      <c r="C44" s="95" t="s">
        <v>106</v>
      </c>
      <c r="D44" s="95" t="s">
        <v>107</v>
      </c>
      <c r="E44" s="18">
        <v>468889</v>
      </c>
      <c r="F44" s="18">
        <v>1354101</v>
      </c>
      <c r="G44" s="295">
        <v>451420</v>
      </c>
      <c r="H44" s="295">
        <v>1346236</v>
      </c>
      <c r="I44" s="14">
        <f t="shared" si="0"/>
        <v>0.33532010732145034</v>
      </c>
      <c r="J44" s="14">
        <f t="shared" si="19"/>
        <v>-3.725615230896865E-2</v>
      </c>
      <c r="K44" s="8">
        <v>244</v>
      </c>
      <c r="L44" s="9">
        <v>60</v>
      </c>
      <c r="M44" s="9">
        <v>375</v>
      </c>
      <c r="N44" s="9">
        <v>47</v>
      </c>
      <c r="O44" s="14">
        <f t="shared" si="20"/>
        <v>8.9400030637785065E-4</v>
      </c>
      <c r="P44" s="9">
        <v>95.999999999399989</v>
      </c>
      <c r="Q44" s="9">
        <v>43</v>
      </c>
      <c r="R44" s="9">
        <v>84</v>
      </c>
      <c r="S44" s="9">
        <v>27</v>
      </c>
      <c r="T44" s="14">
        <f t="shared" si="21"/>
        <v>8.8461266524612078E-4</v>
      </c>
      <c r="U44" s="14">
        <f t="shared" si="6"/>
        <v>-1.0500713550943872E-2</v>
      </c>
      <c r="V44" s="14">
        <f t="shared" si="7"/>
        <v>1.0500713550943872E-2</v>
      </c>
      <c r="W44" s="14">
        <f t="shared" si="22"/>
        <v>1.9567073995495625E-3</v>
      </c>
      <c r="X44" s="80">
        <v>1172.6600000000001</v>
      </c>
      <c r="Y44" s="18">
        <v>906</v>
      </c>
      <c r="Z44" s="81">
        <v>1083</v>
      </c>
      <c r="AA44" s="74">
        <v>3555590.9659964349</v>
      </c>
      <c r="AB44" s="89">
        <f t="shared" si="8"/>
        <v>150491.00207443905</v>
      </c>
      <c r="AC44" s="36">
        <f t="shared" si="23"/>
        <v>9.4502753156422046E-5</v>
      </c>
      <c r="AD44" s="32">
        <f t="shared" si="9"/>
        <v>1.331329798103257E-4</v>
      </c>
      <c r="AE44" s="32">
        <f t="shared" si="10"/>
        <v>2.7390005689803842E-3</v>
      </c>
      <c r="AF44" s="36">
        <f t="shared" si="11"/>
        <v>2.8721335487907097E-3</v>
      </c>
      <c r="AG44" s="32">
        <f t="shared" si="12"/>
        <v>7.5192076545920264E-4</v>
      </c>
      <c r="AH44" s="32">
        <f t="shared" si="13"/>
        <v>2.9350610993243438E-4</v>
      </c>
      <c r="AI44" s="36">
        <f t="shared" si="14"/>
        <v>1.0454268753916371E-3</v>
      </c>
      <c r="AJ44" s="128">
        <f>IF('Datos Mun'!B44="AMM",Y44,0)</f>
        <v>0</v>
      </c>
      <c r="AK44" s="36">
        <f t="shared" si="15"/>
        <v>0</v>
      </c>
      <c r="AL44" s="128">
        <f>IF('Datos Mun'!B44="AMM",0,Y44)</f>
        <v>906</v>
      </c>
      <c r="AM44" s="36">
        <f t="shared" si="16"/>
        <v>1.0233553177766759E-3</v>
      </c>
      <c r="AN44" s="128">
        <f t="shared" si="17"/>
        <v>0</v>
      </c>
      <c r="AO44" s="36">
        <f t="shared" si="18"/>
        <v>0</v>
      </c>
      <c r="AP44" s="100">
        <f>IF('Datos Mun'!B44="AMM",'Art 14 F I'!F46,'Art 14 F I'!M46)</f>
        <v>5.0108394215141244E-3</v>
      </c>
      <c r="AQ44" s="38">
        <f>IF('Datos Mun'!D44="Zona de Crec",'Art 14 F I'!T46,0)</f>
        <v>0</v>
      </c>
    </row>
    <row r="45" spans="1:43">
      <c r="A45" s="17" t="s">
        <v>41</v>
      </c>
      <c r="B45" s="95" t="s">
        <v>106</v>
      </c>
      <c r="C45" s="95" t="s">
        <v>106</v>
      </c>
      <c r="D45" s="95" t="s">
        <v>109</v>
      </c>
      <c r="E45" s="18">
        <v>15857010</v>
      </c>
      <c r="F45" s="18">
        <v>81632998</v>
      </c>
      <c r="G45" s="295">
        <v>17252658</v>
      </c>
      <c r="H45" s="295">
        <v>105243330.84</v>
      </c>
      <c r="I45" s="14">
        <f t="shared" si="0"/>
        <v>0.16393112857886435</v>
      </c>
      <c r="J45" s="14">
        <f t="shared" si="19"/>
        <v>8.8014575257252162E-2</v>
      </c>
      <c r="K45" s="8">
        <v>1423</v>
      </c>
      <c r="L45" s="9">
        <v>462</v>
      </c>
      <c r="M45" s="9">
        <v>3867</v>
      </c>
      <c r="N45" s="9">
        <v>358</v>
      </c>
      <c r="O45" s="14">
        <f t="shared" si="20"/>
        <v>7.3252944690219944E-3</v>
      </c>
      <c r="P45" s="9">
        <v>502.9999955589883</v>
      </c>
      <c r="Q45" s="9">
        <v>435</v>
      </c>
      <c r="R45" s="9">
        <v>1115</v>
      </c>
      <c r="S45" s="9">
        <v>155</v>
      </c>
      <c r="T45" s="14">
        <f t="shared" si="21"/>
        <v>6.9676301349024189E-3</v>
      </c>
      <c r="U45" s="14">
        <f t="shared" si="6"/>
        <v>-4.8825932613645158E-2</v>
      </c>
      <c r="V45" s="14">
        <f t="shared" si="7"/>
        <v>4.8825932613645158E-2</v>
      </c>
      <c r="W45" s="14">
        <f t="shared" si="22"/>
        <v>9.0982449117888945E-3</v>
      </c>
      <c r="X45" s="80">
        <v>308.89</v>
      </c>
      <c r="Y45" s="18">
        <v>147624</v>
      </c>
      <c r="Z45" s="81">
        <v>112583</v>
      </c>
      <c r="AA45" s="74">
        <v>5273138.6605691193</v>
      </c>
      <c r="AB45" s="89">
        <f t="shared" si="8"/>
        <v>3646248.6415721742</v>
      </c>
      <c r="AC45" s="36">
        <f t="shared" si="23"/>
        <v>2.289708557797965E-3</v>
      </c>
      <c r="AD45" s="32">
        <f t="shared" si="9"/>
        <v>2.1692740630816248E-2</v>
      </c>
      <c r="AE45" s="32">
        <f t="shared" si="10"/>
        <v>7.2147927425882249E-4</v>
      </c>
      <c r="AF45" s="36">
        <f t="shared" si="11"/>
        <v>2.241421990507507E-2</v>
      </c>
      <c r="AG45" s="32">
        <f t="shared" si="12"/>
        <v>5.9224856146670559E-3</v>
      </c>
      <c r="AH45" s="32">
        <f t="shared" si="13"/>
        <v>1.3647367367683341E-3</v>
      </c>
      <c r="AI45" s="36">
        <f t="shared" si="14"/>
        <v>7.2872223514353898E-3</v>
      </c>
      <c r="AJ45" s="128">
        <f>IF('Datos Mun'!B45="AMM",Y45,0)</f>
        <v>0</v>
      </c>
      <c r="AK45" s="36">
        <f t="shared" si="15"/>
        <v>0</v>
      </c>
      <c r="AL45" s="128">
        <f>IF('Datos Mun'!B45="AMM",0,Y45)</f>
        <v>147624</v>
      </c>
      <c r="AM45" s="36">
        <f t="shared" si="16"/>
        <v>0.16674592210978367</v>
      </c>
      <c r="AN45" s="128">
        <f t="shared" si="17"/>
        <v>147624</v>
      </c>
      <c r="AO45" s="36">
        <f t="shared" si="18"/>
        <v>4.9345971335855048E-2</v>
      </c>
      <c r="AP45" s="100">
        <f>IF('Datos Mun'!B45="AMM",'Art 14 F I'!F47,'Art 14 F I'!M47)</f>
        <v>4.1829568659675458E-2</v>
      </c>
      <c r="AQ45" s="38">
        <f>IF('Datos Mun'!D45="Zona de Crec",'Art 14 F I'!T47,0)</f>
        <v>3.0353223825966943E-2</v>
      </c>
    </row>
    <row r="46" spans="1:43">
      <c r="A46" s="17" t="s">
        <v>42</v>
      </c>
      <c r="B46" s="95" t="s">
        <v>106</v>
      </c>
      <c r="C46" s="95" t="s">
        <v>106</v>
      </c>
      <c r="D46" s="95" t="s">
        <v>107</v>
      </c>
      <c r="E46" s="18">
        <v>1139783</v>
      </c>
      <c r="F46" s="18">
        <v>7103115</v>
      </c>
      <c r="G46" s="295">
        <v>1075933</v>
      </c>
      <c r="H46" s="295">
        <v>7778604</v>
      </c>
      <c r="I46" s="14">
        <f t="shared" si="0"/>
        <v>0.13831954936901275</v>
      </c>
      <c r="J46" s="14">
        <f t="shared" si="19"/>
        <v>-5.601943527846967E-2</v>
      </c>
      <c r="K46" s="8">
        <v>1104</v>
      </c>
      <c r="L46" s="9">
        <v>274</v>
      </c>
      <c r="M46" s="9">
        <v>2326</v>
      </c>
      <c r="N46" s="9">
        <v>140</v>
      </c>
      <c r="O46" s="14">
        <f t="shared" si="20"/>
        <v>4.0589985343422721E-3</v>
      </c>
      <c r="P46" s="9">
        <v>511.00000000414997</v>
      </c>
      <c r="Q46" s="9">
        <v>264</v>
      </c>
      <c r="R46" s="9">
        <v>999</v>
      </c>
      <c r="S46" s="9">
        <v>49</v>
      </c>
      <c r="T46" s="14">
        <f t="shared" si="21"/>
        <v>4.2240475772149242E-3</v>
      </c>
      <c r="U46" s="14">
        <f t="shared" si="6"/>
        <v>4.066250368809185E-2</v>
      </c>
      <c r="V46" s="14">
        <f t="shared" si="7"/>
        <v>0</v>
      </c>
      <c r="W46" s="14">
        <f t="shared" si="22"/>
        <v>0</v>
      </c>
      <c r="X46" s="80">
        <v>1341.58</v>
      </c>
      <c r="Y46" s="18">
        <v>5389</v>
      </c>
      <c r="Z46" s="81">
        <v>5201</v>
      </c>
      <c r="AA46" s="74">
        <v>2047968.1782241778</v>
      </c>
      <c r="AB46" s="89">
        <f t="shared" si="8"/>
        <v>162975.232766047</v>
      </c>
      <c r="AC46" s="36">
        <f t="shared" si="23"/>
        <v>1.0234238579315125E-4</v>
      </c>
      <c r="AD46" s="32">
        <f t="shared" si="9"/>
        <v>7.9189142185192619E-4</v>
      </c>
      <c r="AE46" s="32">
        <f t="shared" si="10"/>
        <v>3.1335496932893628E-3</v>
      </c>
      <c r="AF46" s="36">
        <f t="shared" si="11"/>
        <v>3.9254411151412889E-3</v>
      </c>
      <c r="AG46" s="32">
        <f t="shared" si="12"/>
        <v>3.5904404406326856E-3</v>
      </c>
      <c r="AH46" s="32">
        <f t="shared" si="13"/>
        <v>0</v>
      </c>
      <c r="AI46" s="36">
        <f t="shared" si="14"/>
        <v>3.5904404406326856E-3</v>
      </c>
      <c r="AJ46" s="128">
        <f>IF('Datos Mun'!B46="AMM",Y46,0)</f>
        <v>0</v>
      </c>
      <c r="AK46" s="36">
        <f t="shared" si="15"/>
        <v>0</v>
      </c>
      <c r="AL46" s="128">
        <f>IF('Datos Mun'!B46="AMM",0,Y46)</f>
        <v>5389</v>
      </c>
      <c r="AM46" s="36">
        <f t="shared" si="16"/>
        <v>6.0870439376363205E-3</v>
      </c>
      <c r="AN46" s="128">
        <f t="shared" si="17"/>
        <v>0</v>
      </c>
      <c r="AO46" s="36">
        <f t="shared" si="18"/>
        <v>0</v>
      </c>
      <c r="AP46" s="100">
        <f>IF('Datos Mun'!B46="AMM",'Art 14 F I'!F48,'Art 14 F I'!M48)</f>
        <v>9.4206494585334401E-3</v>
      </c>
      <c r="AQ46" s="38">
        <f>IF('Datos Mun'!D46="Zona de Crec",'Art 14 F I'!T48,0)</f>
        <v>0</v>
      </c>
    </row>
    <row r="47" spans="1:43">
      <c r="A47" s="17" t="s">
        <v>43</v>
      </c>
      <c r="B47" s="95" t="s">
        <v>106</v>
      </c>
      <c r="C47" s="95" t="s">
        <v>106</v>
      </c>
      <c r="D47" s="95" t="s">
        <v>107</v>
      </c>
      <c r="E47" s="18">
        <v>622808</v>
      </c>
      <c r="F47" s="18">
        <v>939947</v>
      </c>
      <c r="G47" s="295">
        <v>222448</v>
      </c>
      <c r="H47" s="295">
        <v>938475</v>
      </c>
      <c r="I47" s="14">
        <f t="shared" si="0"/>
        <v>0.23703135405844589</v>
      </c>
      <c r="J47" s="14">
        <f t="shared" si="19"/>
        <v>-0.64283053525324019</v>
      </c>
      <c r="K47" s="8">
        <v>671</v>
      </c>
      <c r="L47" s="9">
        <v>247</v>
      </c>
      <c r="M47" s="9">
        <v>1766</v>
      </c>
      <c r="N47" s="9">
        <v>574</v>
      </c>
      <c r="O47" s="14">
        <f t="shared" si="20"/>
        <v>6.0819008342956988E-3</v>
      </c>
      <c r="P47" s="9">
        <v>600.99999999995009</v>
      </c>
      <c r="Q47" s="9">
        <v>212</v>
      </c>
      <c r="R47" s="9">
        <v>872</v>
      </c>
      <c r="S47" s="9">
        <v>90</v>
      </c>
      <c r="T47" s="14">
        <f t="shared" si="21"/>
        <v>4.6062067684282618E-3</v>
      </c>
      <c r="U47" s="14">
        <f t="shared" si="6"/>
        <v>-0.24263698242924844</v>
      </c>
      <c r="V47" s="14">
        <f t="shared" si="7"/>
        <v>0.24263698242924844</v>
      </c>
      <c r="W47" s="14">
        <f t="shared" si="22"/>
        <v>4.5213077818031917E-2</v>
      </c>
      <c r="X47" s="80">
        <v>673.76</v>
      </c>
      <c r="Y47" s="18">
        <v>2377</v>
      </c>
      <c r="Z47" s="81">
        <v>2987</v>
      </c>
      <c r="AA47" s="74">
        <v>2582856.5578415147</v>
      </c>
      <c r="AB47" s="89">
        <f t="shared" si="8"/>
        <v>52644.577517668549</v>
      </c>
      <c r="AC47" s="36">
        <f t="shared" si="23"/>
        <v>3.3058837044061201E-5</v>
      </c>
      <c r="AD47" s="32">
        <f t="shared" si="9"/>
        <v>3.4929038963481696E-4</v>
      </c>
      <c r="AE47" s="32">
        <f t="shared" si="10"/>
        <v>1.5737119227706442E-3</v>
      </c>
      <c r="AF47" s="36">
        <f t="shared" si="11"/>
        <v>1.9230023124054611E-3</v>
      </c>
      <c r="AG47" s="32">
        <f t="shared" si="12"/>
        <v>3.9152757531640226E-3</v>
      </c>
      <c r="AH47" s="32">
        <f t="shared" si="13"/>
        <v>6.7819616727047873E-3</v>
      </c>
      <c r="AI47" s="36">
        <f t="shared" si="14"/>
        <v>1.0697237425868811E-2</v>
      </c>
      <c r="AJ47" s="128">
        <f>IF('Datos Mun'!B47="AMM",Y47,0)</f>
        <v>0</v>
      </c>
      <c r="AK47" s="36">
        <f t="shared" si="15"/>
        <v>0</v>
      </c>
      <c r="AL47" s="128">
        <f>IF('Datos Mun'!B47="AMM",0,Y47)</f>
        <v>2377</v>
      </c>
      <c r="AM47" s="36">
        <f t="shared" si="16"/>
        <v>2.6848957950939938E-3</v>
      </c>
      <c r="AN47" s="128">
        <f t="shared" si="17"/>
        <v>0</v>
      </c>
      <c r="AO47" s="36">
        <f t="shared" si="18"/>
        <v>0</v>
      </c>
      <c r="AP47" s="100">
        <f>IF('Datos Mun'!B47="AMM",'Art 14 F I'!F49,'Art 14 F I'!M49)</f>
        <v>1.5479917019040257E-2</v>
      </c>
      <c r="AQ47" s="38">
        <f>IF('Datos Mun'!D47="Zona de Crec",'Art 14 F I'!T49,0)</f>
        <v>0</v>
      </c>
    </row>
    <row r="48" spans="1:43">
      <c r="A48" s="17" t="s">
        <v>44</v>
      </c>
      <c r="B48" s="95" t="s">
        <v>106</v>
      </c>
      <c r="C48" s="95" t="s">
        <v>106</v>
      </c>
      <c r="D48" s="95" t="s">
        <v>107</v>
      </c>
      <c r="E48" s="18">
        <v>9313018</v>
      </c>
      <c r="F48" s="18">
        <v>19089007</v>
      </c>
      <c r="G48" s="295">
        <v>7881801</v>
      </c>
      <c r="H48" s="295">
        <v>19310735</v>
      </c>
      <c r="I48" s="14">
        <f t="shared" si="0"/>
        <v>0.4081564476960613</v>
      </c>
      <c r="J48" s="14">
        <f t="shared" si="19"/>
        <v>-0.15367918326798036</v>
      </c>
      <c r="K48" s="8">
        <v>4789</v>
      </c>
      <c r="L48" s="9">
        <v>909</v>
      </c>
      <c r="M48" s="9">
        <v>4749</v>
      </c>
      <c r="N48" s="9">
        <v>258</v>
      </c>
      <c r="O48" s="14">
        <f t="shared" si="20"/>
        <v>1.0585387582953843E-2</v>
      </c>
      <c r="P48" s="9">
        <v>3480.0000000606401</v>
      </c>
      <c r="Q48" s="9">
        <v>841</v>
      </c>
      <c r="R48" s="9">
        <v>1534</v>
      </c>
      <c r="S48" s="9">
        <v>182</v>
      </c>
      <c r="T48" s="14">
        <f t="shared" si="21"/>
        <v>1.2037345123968266E-2</v>
      </c>
      <c r="U48" s="14">
        <f t="shared" si="6"/>
        <v>0.1371662142397676</v>
      </c>
      <c r="V48" s="14">
        <f t="shared" si="7"/>
        <v>0</v>
      </c>
      <c r="W48" s="14">
        <f t="shared" si="22"/>
        <v>0</v>
      </c>
      <c r="X48" s="80">
        <v>1542.15</v>
      </c>
      <c r="Y48" s="18">
        <v>34709</v>
      </c>
      <c r="Z48" s="81">
        <v>39096</v>
      </c>
      <c r="AA48" s="74">
        <v>4652120.7671424625</v>
      </c>
      <c r="AB48" s="89">
        <f t="shared" si="8"/>
        <v>3254374.9920360446</v>
      </c>
      <c r="AC48" s="36">
        <f t="shared" si="23"/>
        <v>2.0436264780713579E-3</v>
      </c>
      <c r="AD48" s="32">
        <f t="shared" si="9"/>
        <v>5.1003450289587131E-3</v>
      </c>
      <c r="AE48" s="32">
        <f t="shared" si="10"/>
        <v>3.6020242247992596E-3</v>
      </c>
      <c r="AF48" s="36">
        <f t="shared" si="11"/>
        <v>8.7023692537579727E-3</v>
      </c>
      <c r="AG48" s="32">
        <f t="shared" si="12"/>
        <v>1.0231743355373026E-2</v>
      </c>
      <c r="AH48" s="32">
        <f t="shared" si="13"/>
        <v>0</v>
      </c>
      <c r="AI48" s="36">
        <f t="shared" si="14"/>
        <v>1.0231743355373026E-2</v>
      </c>
      <c r="AJ48" s="128">
        <f>IF('Datos Mun'!B48="AMM",Y48,0)</f>
        <v>0</v>
      </c>
      <c r="AK48" s="36">
        <f t="shared" si="15"/>
        <v>0</v>
      </c>
      <c r="AL48" s="128">
        <f>IF('Datos Mun'!B48="AMM",0,Y48)</f>
        <v>34709</v>
      </c>
      <c r="AM48" s="36">
        <f t="shared" si="16"/>
        <v>3.9204900358400269E-2</v>
      </c>
      <c r="AN48" s="128">
        <f t="shared" si="17"/>
        <v>0</v>
      </c>
      <c r="AO48" s="36">
        <f t="shared" si="18"/>
        <v>0</v>
      </c>
      <c r="AP48" s="100">
        <f>IF('Datos Mun'!B48="AMM",'Art 14 F I'!F50,'Art 14 F I'!M50)</f>
        <v>2.8090713278199106E-2</v>
      </c>
      <c r="AQ48" s="38">
        <f>IF('Datos Mun'!D48="Zona de Crec",'Art 14 F I'!T50,0)</f>
        <v>0</v>
      </c>
    </row>
    <row r="49" spans="1:43">
      <c r="A49" s="17" t="s">
        <v>45</v>
      </c>
      <c r="B49" s="95" t="s">
        <v>108</v>
      </c>
      <c r="C49" s="95" t="s">
        <v>106</v>
      </c>
      <c r="D49" s="95" t="s">
        <v>109</v>
      </c>
      <c r="E49" s="18">
        <v>20380807.240000002</v>
      </c>
      <c r="F49" s="18">
        <v>119215481</v>
      </c>
      <c r="G49" s="295">
        <v>19038713.890000001</v>
      </c>
      <c r="H49" s="295">
        <v>125378961.84</v>
      </c>
      <c r="I49" s="14">
        <f t="shared" si="0"/>
        <v>0.15184935024662188</v>
      </c>
      <c r="J49" s="14">
        <f t="shared" si="19"/>
        <v>-6.5850843599853479E-2</v>
      </c>
      <c r="K49" s="8">
        <v>2382</v>
      </c>
      <c r="L49" s="9">
        <v>572</v>
      </c>
      <c r="M49" s="9">
        <v>6969</v>
      </c>
      <c r="N49" s="9">
        <v>1381</v>
      </c>
      <c r="O49" s="14">
        <f t="shared" si="20"/>
        <v>1.7053640702108089E-2</v>
      </c>
      <c r="P49" s="9">
        <v>1795.99999997852</v>
      </c>
      <c r="Q49" s="9">
        <v>775</v>
      </c>
      <c r="R49" s="9">
        <v>2276</v>
      </c>
      <c r="S49" s="9">
        <v>675</v>
      </c>
      <c r="T49" s="14">
        <f t="shared" si="21"/>
        <v>2.09736755298758E-2</v>
      </c>
      <c r="U49" s="14">
        <f t="shared" si="6"/>
        <v>0.22986498286451734</v>
      </c>
      <c r="V49" s="14">
        <f t="shared" si="7"/>
        <v>0</v>
      </c>
      <c r="W49" s="14">
        <f t="shared" si="22"/>
        <v>0</v>
      </c>
      <c r="X49" s="80">
        <v>1658.08</v>
      </c>
      <c r="Y49" s="18">
        <v>86766</v>
      </c>
      <c r="Z49" s="81">
        <v>61868</v>
      </c>
      <c r="AA49" s="74">
        <v>2336031.8166838326</v>
      </c>
      <c r="AB49" s="89">
        <f t="shared" si="8"/>
        <v>3040482.8596487311</v>
      </c>
      <c r="AC49" s="36">
        <f t="shared" si="23"/>
        <v>1.9093101727077942E-3</v>
      </c>
      <c r="AD49" s="32">
        <f t="shared" si="9"/>
        <v>1.2749907424086885E-2</v>
      </c>
      <c r="AE49" s="32">
        <f t="shared" si="10"/>
        <v>3.8728037652985482E-3</v>
      </c>
      <c r="AF49" s="36">
        <f t="shared" si="11"/>
        <v>1.6622711189385433E-2</v>
      </c>
      <c r="AG49" s="32">
        <f t="shared" si="12"/>
        <v>1.782762420039443E-2</v>
      </c>
      <c r="AH49" s="32">
        <f t="shared" si="13"/>
        <v>0</v>
      </c>
      <c r="AI49" s="36">
        <f t="shared" si="14"/>
        <v>1.782762420039443E-2</v>
      </c>
      <c r="AJ49" s="128">
        <f>IF('Datos Mun'!B49="AMM",Y49,0)</f>
        <v>86766</v>
      </c>
      <c r="AK49" s="36">
        <f t="shared" si="15"/>
        <v>1.7710531220000984E-2</v>
      </c>
      <c r="AL49" s="128">
        <f>IF('Datos Mun'!B49="AMM",0,Y49)</f>
        <v>0</v>
      </c>
      <c r="AM49" s="36">
        <f t="shared" si="16"/>
        <v>0</v>
      </c>
      <c r="AN49" s="128">
        <f t="shared" si="17"/>
        <v>86766</v>
      </c>
      <c r="AO49" s="36">
        <f t="shared" si="18"/>
        <v>2.9003092647041127E-2</v>
      </c>
      <c r="AP49" s="100">
        <f>IF('Datos Mun'!B49="AMM",'Art 14 F I'!F51,'Art 14 F I'!M51)</f>
        <v>1.2032509112204463E-2</v>
      </c>
      <c r="AQ49" s="38">
        <f>IF('Datos Mun'!D49="Zona de Crec",'Art 14 F I'!T51,0)</f>
        <v>3.388439497411104E-2</v>
      </c>
    </row>
    <row r="50" spans="1:43">
      <c r="A50" s="17" t="s">
        <v>46</v>
      </c>
      <c r="B50" s="95" t="s">
        <v>108</v>
      </c>
      <c r="C50" s="95" t="s">
        <v>108</v>
      </c>
      <c r="D50" s="95" t="s">
        <v>107</v>
      </c>
      <c r="E50" s="18">
        <v>291911120</v>
      </c>
      <c r="F50" s="18">
        <v>642295900</v>
      </c>
      <c r="G50" s="295">
        <v>306694612.58999997</v>
      </c>
      <c r="H50" s="295">
        <v>658439418</v>
      </c>
      <c r="I50" s="14">
        <f t="shared" si="0"/>
        <v>0.46579017629530794</v>
      </c>
      <c r="J50" s="14">
        <f t="shared" si="19"/>
        <v>5.0643814425431873E-2</v>
      </c>
      <c r="K50" s="8">
        <v>40580</v>
      </c>
      <c r="L50" s="9">
        <v>5745</v>
      </c>
      <c r="M50" s="9">
        <v>2165</v>
      </c>
      <c r="N50" s="9">
        <v>472</v>
      </c>
      <c r="O50" s="14">
        <f t="shared" si="20"/>
        <v>4.4692892588453548E-2</v>
      </c>
      <c r="P50" s="9">
        <v>18155.999999995089</v>
      </c>
      <c r="Q50" s="9">
        <v>4217</v>
      </c>
      <c r="R50" s="9">
        <v>161</v>
      </c>
      <c r="S50" s="9">
        <v>91</v>
      </c>
      <c r="T50" s="14">
        <f t="shared" si="21"/>
        <v>3.0657492440983779E-2</v>
      </c>
      <c r="U50" s="14">
        <f t="shared" si="6"/>
        <v>-0.3140409880540117</v>
      </c>
      <c r="V50" s="14">
        <f t="shared" si="7"/>
        <v>0.3140409880540117</v>
      </c>
      <c r="W50" s="14">
        <f t="shared" si="22"/>
        <v>5.8518530393766088E-2</v>
      </c>
      <c r="X50" s="80">
        <v>60.1</v>
      </c>
      <c r="Y50" s="18">
        <v>412199</v>
      </c>
      <c r="Z50" s="81">
        <v>474163</v>
      </c>
      <c r="AA50" s="74">
        <v>19632444.547531538</v>
      </c>
      <c r="AB50" s="89">
        <f t="shared" si="8"/>
        <v>146445875.47846743</v>
      </c>
      <c r="AC50" s="36">
        <f t="shared" si="23"/>
        <v>9.1962564075904835E-2</v>
      </c>
      <c r="AD50" s="32">
        <f t="shared" si="9"/>
        <v>6.0570950490989442E-2</v>
      </c>
      <c r="AE50" s="32">
        <f t="shared" si="10"/>
        <v>1.4037652362638883E-4</v>
      </c>
      <c r="AF50" s="36">
        <f t="shared" si="11"/>
        <v>6.0711327014615832E-2</v>
      </c>
      <c r="AG50" s="32">
        <f t="shared" si="12"/>
        <v>2.6058868574836212E-2</v>
      </c>
      <c r="AH50" s="32">
        <f t="shared" si="13"/>
        <v>8.7777795590649136E-3</v>
      </c>
      <c r="AI50" s="36">
        <f t="shared" si="14"/>
        <v>3.4836648133901124E-2</v>
      </c>
      <c r="AJ50" s="128">
        <f>IF('Datos Mun'!B50="AMM",Y50,0)</f>
        <v>412199</v>
      </c>
      <c r="AK50" s="36">
        <f t="shared" si="15"/>
        <v>8.4137372454108586E-2</v>
      </c>
      <c r="AL50" s="128">
        <f>IF('Datos Mun'!B50="AMM",0,Y50)</f>
        <v>0</v>
      </c>
      <c r="AM50" s="36">
        <f t="shared" si="16"/>
        <v>0</v>
      </c>
      <c r="AN50" s="128">
        <f t="shared" si="17"/>
        <v>0</v>
      </c>
      <c r="AO50" s="36">
        <f t="shared" si="18"/>
        <v>0</v>
      </c>
      <c r="AP50" s="100">
        <f>IF('Datos Mun'!B50="AMM",'Art 14 F I'!F52,'Art 14 F I'!M52)</f>
        <v>8.7871816658549456E-2</v>
      </c>
      <c r="AQ50" s="38">
        <f>IF('Datos Mun'!D50="Zona de Crec",'Art 14 F I'!T52,0)</f>
        <v>0</v>
      </c>
    </row>
    <row r="51" spans="1:43">
      <c r="A51" s="17" t="s">
        <v>47</v>
      </c>
      <c r="B51" s="95" t="s">
        <v>108</v>
      </c>
      <c r="C51" s="95" t="s">
        <v>108</v>
      </c>
      <c r="D51" s="95" t="s">
        <v>107</v>
      </c>
      <c r="E51" s="18">
        <v>707374780.13</v>
      </c>
      <c r="F51" s="18">
        <v>1119704293</v>
      </c>
      <c r="G51" s="295">
        <v>671271036.40999997</v>
      </c>
      <c r="H51" s="295">
        <v>1139151243</v>
      </c>
      <c r="I51" s="14">
        <f t="shared" si="0"/>
        <v>0.58927297014765223</v>
      </c>
      <c r="J51" s="14">
        <f t="shared" si="19"/>
        <v>-5.1039059822524283E-2</v>
      </c>
      <c r="K51" s="8">
        <v>9903</v>
      </c>
      <c r="L51" s="9">
        <v>1776</v>
      </c>
      <c r="M51" s="9">
        <v>642</v>
      </c>
      <c r="N51" s="9">
        <v>85</v>
      </c>
      <c r="O51" s="14">
        <f t="shared" si="20"/>
        <v>1.186193507945096E-2</v>
      </c>
      <c r="P51" s="9">
        <v>4908.0000000006539</v>
      </c>
      <c r="Q51" s="9">
        <v>1283</v>
      </c>
      <c r="R51" s="9">
        <v>140</v>
      </c>
      <c r="S51" s="9">
        <v>21</v>
      </c>
      <c r="T51" s="14">
        <f t="shared" si="21"/>
        <v>8.9060598463427572E-3</v>
      </c>
      <c r="U51" s="14">
        <f t="shared" si="6"/>
        <v>-0.24918996886341233</v>
      </c>
      <c r="V51" s="14">
        <f t="shared" si="7"/>
        <v>0.24918996886341233</v>
      </c>
      <c r="W51" s="14">
        <f t="shared" si="22"/>
        <v>4.6434164078757868E-2</v>
      </c>
      <c r="X51" s="80">
        <v>72.010000000000005</v>
      </c>
      <c r="Y51" s="18">
        <v>132169</v>
      </c>
      <c r="Z51" s="81">
        <v>137614</v>
      </c>
      <c r="AA51" s="74">
        <v>42764449.302244864</v>
      </c>
      <c r="AB51" s="89">
        <f t="shared" si="8"/>
        <v>402431969.88703114</v>
      </c>
      <c r="AC51" s="36">
        <f t="shared" si="23"/>
        <v>0.25271231228612001</v>
      </c>
      <c r="AD51" s="32">
        <f t="shared" si="9"/>
        <v>1.9421691841667699E-2</v>
      </c>
      <c r="AE51" s="32">
        <f t="shared" si="10"/>
        <v>1.6819489960626053E-4</v>
      </c>
      <c r="AF51" s="36">
        <f t="shared" si="11"/>
        <v>1.958988674127396E-2</v>
      </c>
      <c r="AG51" s="32">
        <f t="shared" si="12"/>
        <v>7.5701508693913431E-3</v>
      </c>
      <c r="AH51" s="32">
        <f t="shared" si="13"/>
        <v>6.9651246118136801E-3</v>
      </c>
      <c r="AI51" s="36">
        <f t="shared" si="14"/>
        <v>1.4535275481205024E-2</v>
      </c>
      <c r="AJ51" s="128">
        <f>IF('Datos Mun'!B51="AMM",Y51,0)</f>
        <v>132169</v>
      </c>
      <c r="AK51" s="36">
        <f t="shared" si="15"/>
        <v>2.6978115861239542E-2</v>
      </c>
      <c r="AL51" s="128">
        <f>IF('Datos Mun'!B51="AMM",0,Y51)</f>
        <v>0</v>
      </c>
      <c r="AM51" s="36">
        <f t="shared" si="16"/>
        <v>0</v>
      </c>
      <c r="AN51" s="128">
        <f t="shared" si="17"/>
        <v>0</v>
      </c>
      <c r="AO51" s="36">
        <f t="shared" si="18"/>
        <v>0</v>
      </c>
      <c r="AP51" s="100">
        <f>IF('Datos Mun'!B51="AMM",'Art 14 F I'!F53,'Art 14 F I'!M53)</f>
        <v>0.16964501908591925</v>
      </c>
      <c r="AQ51" s="38">
        <f>IF('Datos Mun'!D51="Zona de Crec",'Art 14 F I'!T53,0)</f>
        <v>0</v>
      </c>
    </row>
    <row r="52" spans="1:43">
      <c r="A52" s="17" t="s">
        <v>48</v>
      </c>
      <c r="B52" s="95" t="s">
        <v>108</v>
      </c>
      <c r="C52" s="95" t="s">
        <v>108</v>
      </c>
      <c r="D52" s="95" t="s">
        <v>109</v>
      </c>
      <c r="E52" s="18">
        <v>114179634.2</v>
      </c>
      <c r="F52" s="18">
        <v>274755070</v>
      </c>
      <c r="G52" s="295">
        <v>112141719.38</v>
      </c>
      <c r="H52" s="295">
        <v>289861941.84000015</v>
      </c>
      <c r="I52" s="14">
        <f t="shared" si="0"/>
        <v>0.38687976306286082</v>
      </c>
      <c r="J52" s="14">
        <f t="shared" si="19"/>
        <v>-1.7848321500402983E-2</v>
      </c>
      <c r="K52" s="8">
        <v>25924</v>
      </c>
      <c r="L52" s="9">
        <v>5313</v>
      </c>
      <c r="M52" s="9">
        <v>11983</v>
      </c>
      <c r="N52" s="9">
        <v>721</v>
      </c>
      <c r="O52" s="14">
        <f t="shared" si="20"/>
        <v>4.3831533381636548E-2</v>
      </c>
      <c r="P52" s="9">
        <v>21053.000000219407</v>
      </c>
      <c r="Q52" s="9">
        <v>4306</v>
      </c>
      <c r="R52" s="9">
        <v>2328</v>
      </c>
      <c r="S52" s="9">
        <v>359</v>
      </c>
      <c r="T52" s="14">
        <f t="shared" si="21"/>
        <v>4.2521238623903848E-2</v>
      </c>
      <c r="U52" s="14">
        <f t="shared" si="6"/>
        <v>-2.9893883618537846E-2</v>
      </c>
      <c r="V52" s="14">
        <f t="shared" si="7"/>
        <v>2.9893883618537846E-2</v>
      </c>
      <c r="W52" s="14">
        <f t="shared" si="22"/>
        <v>5.5704389034027758E-3</v>
      </c>
      <c r="X52" s="80">
        <v>885.01</v>
      </c>
      <c r="Y52" s="18">
        <v>306322</v>
      </c>
      <c r="Z52" s="81">
        <v>322051</v>
      </c>
      <c r="AA52" s="74">
        <v>10475655.416298293</v>
      </c>
      <c r="AB52" s="89">
        <f t="shared" si="8"/>
        <v>45770821.355553754</v>
      </c>
      <c r="AC52" s="36">
        <f t="shared" si="23"/>
        <v>2.8742373781198108E-2</v>
      </c>
      <c r="AD52" s="32">
        <f t="shared" si="9"/>
        <v>4.5012760089910141E-2</v>
      </c>
      <c r="AE52" s="32">
        <f t="shared" si="10"/>
        <v>2.0671318997435998E-3</v>
      </c>
      <c r="AF52" s="36">
        <f t="shared" si="11"/>
        <v>4.707989198965374E-2</v>
      </c>
      <c r="AG52" s="32">
        <f t="shared" si="12"/>
        <v>3.6143052830318267E-2</v>
      </c>
      <c r="AH52" s="32">
        <f t="shared" si="13"/>
        <v>8.3556583551041631E-4</v>
      </c>
      <c r="AI52" s="36">
        <f t="shared" si="14"/>
        <v>3.6978618665828682E-2</v>
      </c>
      <c r="AJ52" s="128">
        <f>IF('Datos Mun'!B52="AMM",Y52,0)</f>
        <v>306322</v>
      </c>
      <c r="AK52" s="36">
        <f t="shared" si="15"/>
        <v>6.252593578559737E-2</v>
      </c>
      <c r="AL52" s="128">
        <f>IF('Datos Mun'!B52="AMM",0,Y52)</f>
        <v>0</v>
      </c>
      <c r="AM52" s="36">
        <f t="shared" si="16"/>
        <v>0</v>
      </c>
      <c r="AN52" s="128">
        <f t="shared" si="17"/>
        <v>306322</v>
      </c>
      <c r="AO52" s="36">
        <f t="shared" si="18"/>
        <v>0.10239362591138156</v>
      </c>
      <c r="AP52" s="100">
        <f>IF('Datos Mun'!B52="AMM",'Art 14 F I'!F54,'Art 14 F I'!M54)</f>
        <v>4.4503972255281486E-2</v>
      </c>
      <c r="AQ52" s="38">
        <f>IF('Datos Mun'!D52="Zona de Crec",'Art 14 F I'!T54,0)</f>
        <v>0.12532632718185907</v>
      </c>
    </row>
    <row r="53" spans="1:43">
      <c r="A53" s="17" t="s">
        <v>49</v>
      </c>
      <c r="B53" s="95" t="s">
        <v>108</v>
      </c>
      <c r="C53" s="95" t="s">
        <v>106</v>
      </c>
      <c r="D53" s="95" t="s">
        <v>109</v>
      </c>
      <c r="E53" s="18">
        <v>77757928.799999997</v>
      </c>
      <c r="F53" s="18">
        <v>175563518</v>
      </c>
      <c r="G53" s="295">
        <v>85362095.170000002</v>
      </c>
      <c r="H53" s="295">
        <v>198838484.40000001</v>
      </c>
      <c r="I53" s="14">
        <f t="shared" si="0"/>
        <v>0.4293036905183733</v>
      </c>
      <c r="J53" s="14">
        <f t="shared" si="19"/>
        <v>9.7792810165488936E-2</v>
      </c>
      <c r="K53" s="8">
        <v>4577</v>
      </c>
      <c r="L53" s="9">
        <v>1003</v>
      </c>
      <c r="M53" s="9">
        <v>3403</v>
      </c>
      <c r="N53" s="9">
        <v>757</v>
      </c>
      <c r="O53" s="14">
        <f t="shared" si="20"/>
        <v>1.2908414603821229E-2</v>
      </c>
      <c r="P53" s="9">
        <v>2792.0000000464884</v>
      </c>
      <c r="Q53" s="9">
        <v>666</v>
      </c>
      <c r="R53" s="9">
        <v>1225</v>
      </c>
      <c r="S53" s="9">
        <v>325</v>
      </c>
      <c r="T53" s="14">
        <f t="shared" si="21"/>
        <v>1.2876011255505039E-2</v>
      </c>
      <c r="U53" s="14">
        <f t="shared" si="6"/>
        <v>-2.5102500431461333E-3</v>
      </c>
      <c r="V53" s="14">
        <f t="shared" si="7"/>
        <v>2.5102500431461333E-3</v>
      </c>
      <c r="W53" s="14">
        <f t="shared" si="22"/>
        <v>4.6776105360022324E-4</v>
      </c>
      <c r="X53" s="80">
        <v>746.48</v>
      </c>
      <c r="Y53" s="18">
        <v>46784</v>
      </c>
      <c r="Z53" s="81">
        <v>46955</v>
      </c>
      <c r="AA53" s="74">
        <v>4180345.0020391755</v>
      </c>
      <c r="AB53" s="89">
        <f t="shared" si="8"/>
        <v>41504564.130528174</v>
      </c>
      <c r="AC53" s="36">
        <f t="shared" si="23"/>
        <v>2.606332288858083E-2</v>
      </c>
      <c r="AD53" s="32">
        <f t="shared" si="9"/>
        <v>6.8747166969605712E-3</v>
      </c>
      <c r="AE53" s="32">
        <f t="shared" si="10"/>
        <v>1.7435651806427073E-3</v>
      </c>
      <c r="AF53" s="36">
        <f t="shared" si="11"/>
        <v>8.6182818776032784E-3</v>
      </c>
      <c r="AG53" s="32">
        <f t="shared" si="12"/>
        <v>1.0944609567179282E-2</v>
      </c>
      <c r="AH53" s="32">
        <f t="shared" si="13"/>
        <v>7.0164158040033481E-5</v>
      </c>
      <c r="AI53" s="36">
        <f t="shared" si="14"/>
        <v>1.1014773725219315E-2</v>
      </c>
      <c r="AJ53" s="128">
        <f>IF('Datos Mun'!B53="AMM",Y53,0)</f>
        <v>46784</v>
      </c>
      <c r="AK53" s="36">
        <f t="shared" si="15"/>
        <v>9.5494720581394323E-3</v>
      </c>
      <c r="AL53" s="128">
        <f>IF('Datos Mun'!B53="AMM",0,Y53)</f>
        <v>0</v>
      </c>
      <c r="AM53" s="36">
        <f t="shared" si="16"/>
        <v>0</v>
      </c>
      <c r="AN53" s="128">
        <f t="shared" si="17"/>
        <v>46784</v>
      </c>
      <c r="AO53" s="36">
        <f t="shared" si="18"/>
        <v>1.5638391609607127E-2</v>
      </c>
      <c r="AP53" s="100">
        <f>IF('Datos Mun'!B53="AMM",'Art 14 F I'!F55,'Art 14 F I'!M55)</f>
        <v>2.2562655399285658E-2</v>
      </c>
      <c r="AQ53" s="38">
        <f>IF('Datos Mun'!D53="Zona de Crec",'Art 14 F I'!T55,0)</f>
        <v>6.3538030188458924E-2</v>
      </c>
    </row>
    <row r="54" spans="1:43">
      <c r="A54" s="17" t="s">
        <v>50</v>
      </c>
      <c r="B54" s="95" t="s">
        <v>106</v>
      </c>
      <c r="C54" s="95" t="s">
        <v>106</v>
      </c>
      <c r="D54" s="95" t="s">
        <v>107</v>
      </c>
      <c r="E54" s="18">
        <v>1324391</v>
      </c>
      <c r="F54" s="18">
        <v>4524382</v>
      </c>
      <c r="G54" s="295">
        <v>1456869</v>
      </c>
      <c r="H54" s="295">
        <v>4541705</v>
      </c>
      <c r="I54" s="14">
        <f t="shared" si="0"/>
        <v>0.32077578794747785</v>
      </c>
      <c r="J54" s="14">
        <f t="shared" si="19"/>
        <v>0.10002937199059794</v>
      </c>
      <c r="K54" s="8">
        <v>477</v>
      </c>
      <c r="L54" s="9">
        <v>88</v>
      </c>
      <c r="M54" s="9">
        <v>1037</v>
      </c>
      <c r="N54" s="9">
        <v>127</v>
      </c>
      <c r="O54" s="14">
        <f t="shared" si="20"/>
        <v>2.1161437003937465E-3</v>
      </c>
      <c r="P54" s="9">
        <v>265.99999999676999</v>
      </c>
      <c r="Q54" s="9">
        <v>85</v>
      </c>
      <c r="R54" s="9">
        <v>641</v>
      </c>
      <c r="S54" s="9">
        <v>46</v>
      </c>
      <c r="T54" s="14">
        <f t="shared" si="21"/>
        <v>2.6387778418526363E-3</v>
      </c>
      <c r="U54" s="14">
        <f t="shared" si="6"/>
        <v>0.24697478784717899</v>
      </c>
      <c r="V54" s="14">
        <f t="shared" si="7"/>
        <v>0</v>
      </c>
      <c r="W54" s="14">
        <f t="shared" si="22"/>
        <v>0</v>
      </c>
      <c r="X54" s="80">
        <v>1766.28</v>
      </c>
      <c r="Y54" s="18">
        <v>1552</v>
      </c>
      <c r="Z54" s="81">
        <v>1942</v>
      </c>
      <c r="AA54" s="74">
        <v>1539148.4831484745</v>
      </c>
      <c r="AB54" s="89">
        <f t="shared" si="8"/>
        <v>469117.61278358015</v>
      </c>
      <c r="AC54" s="36">
        <f t="shared" si="23"/>
        <v>2.9458841625818778E-4</v>
      </c>
      <c r="AD54" s="32">
        <f t="shared" si="9"/>
        <v>2.2806002722475219E-4</v>
      </c>
      <c r="AE54" s="32">
        <f t="shared" si="10"/>
        <v>4.1255282221433947E-3</v>
      </c>
      <c r="AF54" s="36">
        <f t="shared" si="11"/>
        <v>4.353588249368147E-3</v>
      </c>
      <c r="AG54" s="32">
        <f t="shared" si="12"/>
        <v>2.2429611655747409E-3</v>
      </c>
      <c r="AH54" s="32">
        <f t="shared" si="13"/>
        <v>0</v>
      </c>
      <c r="AI54" s="36">
        <f t="shared" si="14"/>
        <v>2.2429611655747409E-3</v>
      </c>
      <c r="AJ54" s="128">
        <f>IF('Datos Mun'!B54="AMM",Y54,0)</f>
        <v>0</v>
      </c>
      <c r="AK54" s="36">
        <f t="shared" si="15"/>
        <v>0</v>
      </c>
      <c r="AL54" s="128">
        <f>IF('Datos Mun'!B54="AMM",0,Y54)</f>
        <v>1552</v>
      </c>
      <c r="AM54" s="36">
        <f t="shared" si="16"/>
        <v>1.7530325090390738E-3</v>
      </c>
      <c r="AN54" s="128">
        <f t="shared" si="17"/>
        <v>0</v>
      </c>
      <c r="AO54" s="36">
        <f t="shared" si="18"/>
        <v>0</v>
      </c>
      <c r="AP54" s="100">
        <f>IF('Datos Mun'!B54="AMM",'Art 14 F I'!F56,'Art 14 F I'!M56)</f>
        <v>8.7680365936888254E-3</v>
      </c>
      <c r="AQ54" s="38">
        <f>IF('Datos Mun'!D54="Zona de Crec",'Art 14 F I'!T56,0)</f>
        <v>0</v>
      </c>
    </row>
    <row r="55" spans="1:43">
      <c r="A55" s="17" t="s">
        <v>51</v>
      </c>
      <c r="B55" s="95" t="s">
        <v>106</v>
      </c>
      <c r="C55" s="95" t="s">
        <v>106</v>
      </c>
      <c r="D55" s="95" t="s">
        <v>107</v>
      </c>
      <c r="E55" s="76">
        <v>442199</v>
      </c>
      <c r="F55" s="18">
        <v>2896776</v>
      </c>
      <c r="G55" s="295">
        <v>668168</v>
      </c>
      <c r="H55" s="295">
        <v>3020813</v>
      </c>
      <c r="I55" s="14">
        <f t="shared" si="0"/>
        <v>0.22118813710084007</v>
      </c>
      <c r="J55" s="14">
        <f t="shared" si="19"/>
        <v>0.51101201042969346</v>
      </c>
      <c r="K55" s="8">
        <v>765</v>
      </c>
      <c r="L55" s="9">
        <v>138</v>
      </c>
      <c r="M55" s="9">
        <v>1343</v>
      </c>
      <c r="N55" s="9">
        <v>81</v>
      </c>
      <c r="O55" s="14">
        <f t="shared" si="20"/>
        <v>2.3618458065896289E-3</v>
      </c>
      <c r="P55" s="9">
        <v>609.99999999842794</v>
      </c>
      <c r="Q55" s="9">
        <v>123</v>
      </c>
      <c r="R55" s="9">
        <v>468</v>
      </c>
      <c r="S55" s="9">
        <v>34</v>
      </c>
      <c r="T55" s="14">
        <f t="shared" si="21"/>
        <v>2.4691708613404947E-3</v>
      </c>
      <c r="U55" s="14">
        <f t="shared" si="6"/>
        <v>4.5441177595686125E-2</v>
      </c>
      <c r="V55" s="14">
        <f t="shared" si="7"/>
        <v>0</v>
      </c>
      <c r="W55" s="14">
        <f t="shared" si="22"/>
        <v>0</v>
      </c>
      <c r="X55" s="80">
        <v>879.68</v>
      </c>
      <c r="Y55" s="18">
        <v>3573</v>
      </c>
      <c r="Z55" s="81">
        <v>4567</v>
      </c>
      <c r="AA55" s="74">
        <v>3547664.3080507987</v>
      </c>
      <c r="AB55" s="89">
        <f t="shared" si="8"/>
        <v>154119.08833268433</v>
      </c>
      <c r="AC55" s="36">
        <f t="shared" si="23"/>
        <v>9.6781056412875653E-5</v>
      </c>
      <c r="AD55" s="32">
        <f t="shared" si="9"/>
        <v>5.2503767865595327E-4</v>
      </c>
      <c r="AE55" s="32">
        <f t="shared" si="10"/>
        <v>2.054682534170744E-3</v>
      </c>
      <c r="AF55" s="36">
        <f t="shared" si="11"/>
        <v>2.5797202128266974E-3</v>
      </c>
      <c r="AG55" s="32">
        <f t="shared" si="12"/>
        <v>2.0987952321394206E-3</v>
      </c>
      <c r="AH55" s="32">
        <f t="shared" si="13"/>
        <v>0</v>
      </c>
      <c r="AI55" s="36">
        <f t="shared" si="14"/>
        <v>2.0987952321394206E-3</v>
      </c>
      <c r="AJ55" s="128">
        <f>IF('Datos Mun'!B55="AMM",Y55,0)</f>
        <v>0</v>
      </c>
      <c r="AK55" s="36">
        <f t="shared" si="15"/>
        <v>0</v>
      </c>
      <c r="AL55" s="128">
        <f>IF('Datos Mun'!B55="AMM",0,Y55)</f>
        <v>3573</v>
      </c>
      <c r="AM55" s="36">
        <f t="shared" si="16"/>
        <v>4.0358151770596724E-3</v>
      </c>
      <c r="AN55" s="128">
        <f t="shared" si="17"/>
        <v>0</v>
      </c>
      <c r="AO55" s="36">
        <f t="shared" si="18"/>
        <v>0</v>
      </c>
      <c r="AP55" s="100">
        <f>IF('Datos Mun'!B55="AMM",'Art 14 F I'!F57,'Art 14 F I'!M57)</f>
        <v>5.9449181395010231E-3</v>
      </c>
      <c r="AQ55" s="38">
        <f>IF('Datos Mun'!D55="Zona de Crec",'Art 14 F I'!T57,0)</f>
        <v>0</v>
      </c>
    </row>
    <row r="56" spans="1:43" ht="13.8" thickBot="1">
      <c r="A56" s="10" t="s">
        <v>52</v>
      </c>
      <c r="B56" s="96"/>
      <c r="C56" s="96"/>
      <c r="D56" s="96"/>
      <c r="E56" s="77">
        <f t="shared" ref="E56:K56" si="24">SUM(E5:E55)</f>
        <v>3470350433.75</v>
      </c>
      <c r="F56" s="19">
        <f t="shared" si="24"/>
        <v>7728371151</v>
      </c>
      <c r="G56" s="19">
        <f t="shared" si="24"/>
        <v>3390132264.2400002</v>
      </c>
      <c r="H56" s="19">
        <f t="shared" si="24"/>
        <v>8177497337.8300028</v>
      </c>
      <c r="I56" s="21">
        <f t="shared" si="24"/>
        <v>14.669270374142426</v>
      </c>
      <c r="J56" s="21">
        <f t="shared" si="24"/>
        <v>-0.44265484889555506</v>
      </c>
      <c r="K56" s="11">
        <f t="shared" si="24"/>
        <v>427511</v>
      </c>
      <c r="L56" s="12">
        <f t="shared" ref="L56:T56" si="25">SUM(L5:L55)</f>
        <v>87963</v>
      </c>
      <c r="M56" s="12">
        <f t="shared" si="25"/>
        <v>334098</v>
      </c>
      <c r="N56" s="12">
        <f t="shared" si="25"/>
        <v>39143</v>
      </c>
      <c r="O56" s="21">
        <f t="shared" si="25"/>
        <v>1</v>
      </c>
      <c r="P56" s="12">
        <f t="shared" si="25"/>
        <v>317877.99999509094</v>
      </c>
      <c r="Q56" s="12">
        <f t="shared" si="25"/>
        <v>73242</v>
      </c>
      <c r="R56" s="12">
        <f t="shared" si="25"/>
        <v>123116</v>
      </c>
      <c r="S56" s="12">
        <f t="shared" si="25"/>
        <v>13726</v>
      </c>
      <c r="T56" s="21">
        <f t="shared" si="25"/>
        <v>1.0000000000000002</v>
      </c>
      <c r="U56" s="21">
        <f t="shared" ref="U56:Z56" si="26">SUM(U5:U55)</f>
        <v>2.3813600670859127</v>
      </c>
      <c r="V56" s="21">
        <f t="shared" si="26"/>
        <v>5.3665221245451189</v>
      </c>
      <c r="W56" s="21">
        <f t="shared" si="26"/>
        <v>1.0000000000000002</v>
      </c>
      <c r="X56" s="82">
        <f t="shared" si="26"/>
        <v>64220.140000000021</v>
      </c>
      <c r="Y56" s="19">
        <f>SUM(Y5:Y55)</f>
        <v>5784442</v>
      </c>
      <c r="Z56" s="83">
        <f t="shared" si="26"/>
        <v>5610153</v>
      </c>
      <c r="AA56" s="234">
        <f t="shared" ref="AA56:AH56" si="27">SUM(AA5:AA55)</f>
        <v>423610039.11140221</v>
      </c>
      <c r="AB56" s="90">
        <f t="shared" si="27"/>
        <v>1592450982.0930254</v>
      </c>
      <c r="AC56" s="37">
        <f t="shared" si="27"/>
        <v>0.99999999999999989</v>
      </c>
      <c r="AD56" s="33">
        <f t="shared" si="27"/>
        <v>0.8500000000000002</v>
      </c>
      <c r="AE56" s="33">
        <f t="shared" si="27"/>
        <v>0.15</v>
      </c>
      <c r="AF56" s="37">
        <f t="shared" si="27"/>
        <v>1</v>
      </c>
      <c r="AG56" s="33">
        <f t="shared" si="27"/>
        <v>0.85</v>
      </c>
      <c r="AH56" s="33">
        <f t="shared" si="27"/>
        <v>0.15000000000000005</v>
      </c>
      <c r="AI56" s="37">
        <f t="shared" ref="AI56:AO56" si="28">SUM(AI5:AI55)</f>
        <v>1.0000000000000002</v>
      </c>
      <c r="AJ56" s="129">
        <f t="shared" si="28"/>
        <v>4899119</v>
      </c>
      <c r="AK56" s="37">
        <f t="shared" si="28"/>
        <v>1</v>
      </c>
      <c r="AL56" s="129">
        <f t="shared" si="28"/>
        <v>885323</v>
      </c>
      <c r="AM56" s="37">
        <f t="shared" si="28"/>
        <v>0.99999999999999989</v>
      </c>
      <c r="AN56" s="129">
        <f t="shared" si="28"/>
        <v>2991612</v>
      </c>
      <c r="AO56" s="37">
        <f t="shared" si="28"/>
        <v>1</v>
      </c>
      <c r="AP56" s="101">
        <f>SUM(AP5:AP55)</f>
        <v>1.9999999999999998</v>
      </c>
      <c r="AQ56" s="39">
        <f>SUM(AQ5:AQ55)</f>
        <v>1.0000000000000002</v>
      </c>
    </row>
    <row r="57" spans="1:43" ht="13.8" thickTop="1"/>
    <row r="61" spans="1:43">
      <c r="AE61" s="97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2022-07-04T20:57:30Z</dcterms:modified>
</cp:coreProperties>
</file>