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00.1 Coordinación de Planeación Hacendaria\Participaciones y Aportaciones\PARTICIPACIONES Y APORTACIONES 2022\Aportaciones\06_Junio\"/>
    </mc:Choice>
  </mc:AlternateContent>
  <bookViews>
    <workbookView xWindow="-120" yWindow="-120" windowWidth="29040" windowHeight="15840" tabRatio="908" activeTab="1"/>
  </bookViews>
  <sheets>
    <sheet name="Part. 2022 Mes" sheetId="113" r:id="rId1"/>
    <sheet name="Distribución Mes" sheetId="111" r:id="rId2"/>
    <sheet name="Descentralizados" sheetId="110" r:id="rId3"/>
    <sheet name="Ultracrecimiento" sheetId="107" r:id="rId4"/>
    <sheet name="Desarrollo" sheetId="105" r:id="rId5"/>
    <sheet name="Seguridad" sheetId="104" r:id="rId6"/>
    <sheet name="Participación 2022" sheetId="103" r:id="rId7"/>
    <sheet name="Distribución 2022" sheetId="100" r:id="rId8"/>
    <sheet name="Datos Mun" sheetId="91" r:id="rId9"/>
    <sheet name="Art 14 F I" sheetId="9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A_impresión_IM" localSheetId="8">#REF!</definedName>
    <definedName name="A_impresión_IM" localSheetId="4">#REF!</definedName>
    <definedName name="A_impresión_IM" localSheetId="2">#REF!</definedName>
    <definedName name="A_impresión_IM" localSheetId="1">#REF!</definedName>
    <definedName name="A_impresión_IM" localSheetId="0">#REF!</definedName>
    <definedName name="A_impresión_IM" localSheetId="6">#REF!</definedName>
    <definedName name="A_impresión_IM" localSheetId="5">#REF!</definedName>
    <definedName name="A_impresión_IM">#REF!</definedName>
    <definedName name="AJUSTES" localSheetId="8" hidden="1">{"'beneficiarios'!$A$1:$C$7"}</definedName>
    <definedName name="AJUSTES" localSheetId="4" hidden="1">{"'beneficiarios'!$A$1:$C$7"}</definedName>
    <definedName name="AJUSTES" localSheetId="0" hidden="1">{"'beneficiarios'!$A$1:$C$7"}</definedName>
    <definedName name="AJUSTES" localSheetId="6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4">Desarrollo!$A$7:$D$71</definedName>
    <definedName name="_xlnm.Print_Area" localSheetId="7">'Distribución 2022'!$L$5:$Q$59</definedName>
    <definedName name="_xlnm.Print_Area" localSheetId="1">'Distribución Mes'!$J$5:$O$59</definedName>
    <definedName name="_xlnm.Print_Area" localSheetId="0">'Part. 2022 Mes'!$A$1:$D$15</definedName>
    <definedName name="_xlnm.Print_Area" localSheetId="6">'Participación 2022'!$A$1:$D$15</definedName>
    <definedName name="_xlnm.Print_Area" localSheetId="5">Seguridad!$A$1:$F$70</definedName>
    <definedName name="_xlnm.Database" localSheetId="8">#REF!</definedName>
    <definedName name="_xlnm.Database" localSheetId="4">#REF!</definedName>
    <definedName name="_xlnm.Database" localSheetId="2">#REF!</definedName>
    <definedName name="_xlnm.Database" localSheetId="1">#REF!</definedName>
    <definedName name="_xlnm.Database" localSheetId="0">#REF!</definedName>
    <definedName name="_xlnm.Database" localSheetId="6">#REF!</definedName>
    <definedName name="_xlnm.Database" localSheetId="5">#REF!</definedName>
    <definedName name="_xlnm.Database">#REF!</definedName>
    <definedName name="cierre_2001" localSheetId="8">'[1]deuda c sadm'!#REF!</definedName>
    <definedName name="cierre_2001" localSheetId="4">'[2]deuda c sadm'!#REF!</definedName>
    <definedName name="cierre_2001" localSheetId="2">'[1]deuda c sadm'!#REF!</definedName>
    <definedName name="cierre_2001" localSheetId="1">'[1]deuda c sadm'!#REF!</definedName>
    <definedName name="cierre_2001" localSheetId="0">'[1]deuda c sadm'!#REF!</definedName>
    <definedName name="cierre_2001" localSheetId="6">'[1]deuda c sadm'!#REF!</definedName>
    <definedName name="cierre_2001" localSheetId="5">'[2]deuda c sadm'!#REF!</definedName>
    <definedName name="cierre_2001">'[1]deuda c sadm'!#REF!</definedName>
    <definedName name="deuda" localSheetId="8">'[1]deuda c sadm'!#REF!</definedName>
    <definedName name="deuda" localSheetId="4">'[2]deuda c sadm'!#REF!</definedName>
    <definedName name="deuda" localSheetId="2">'[1]deuda c sadm'!#REF!</definedName>
    <definedName name="deuda" localSheetId="1">'[1]deuda c sadm'!#REF!</definedName>
    <definedName name="deuda" localSheetId="0">'[1]deuda c sadm'!#REF!</definedName>
    <definedName name="deuda" localSheetId="6">'[1]deuda c sadm'!#REF!</definedName>
    <definedName name="deuda" localSheetId="5">'[2]deuda c sadm'!#REF!</definedName>
    <definedName name="deuda">'[1]deuda c sadm'!#REF!</definedName>
    <definedName name="Deuda_ingTot" localSheetId="8">'[1]deuda c sadm'!#REF!</definedName>
    <definedName name="Deuda_ingTot" localSheetId="4">'[2]deuda c sadm'!#REF!</definedName>
    <definedName name="Deuda_ingTot" localSheetId="2">'[1]deuda c sadm'!#REF!</definedName>
    <definedName name="Deuda_ingTot" localSheetId="1">'[1]deuda c sadm'!#REF!</definedName>
    <definedName name="Deuda_ingTot" localSheetId="0">'[1]deuda c sadm'!#REF!</definedName>
    <definedName name="Deuda_ingTot" localSheetId="6">'[1]deuda c sadm'!#REF!</definedName>
    <definedName name="Deuda_ingTot" localSheetId="5">'[2]deuda c sadm'!#REF!</definedName>
    <definedName name="Deuda_ingTot">'[1]deuda c sadm'!#REF!</definedName>
    <definedName name="ENERO" localSheetId="8">#REF!</definedName>
    <definedName name="ENERO" localSheetId="4">#REF!</definedName>
    <definedName name="ENERO" localSheetId="2">#REF!</definedName>
    <definedName name="ENERO" localSheetId="1">#REF!</definedName>
    <definedName name="ENERO" localSheetId="0">#REF!</definedName>
    <definedName name="ENERO" localSheetId="6">#REF!</definedName>
    <definedName name="ENERO" localSheetId="5">#REF!</definedName>
    <definedName name="ENERO">#REF!</definedName>
    <definedName name="ENEROAJUSTE" localSheetId="8">#REF!</definedName>
    <definedName name="ENEROAJUSTE" localSheetId="2">#REF!</definedName>
    <definedName name="ENEROAJUSTE" localSheetId="1">#REF!</definedName>
    <definedName name="ENEROAJUSTE" localSheetId="0">#REF!</definedName>
    <definedName name="ENEROAJUSTE" localSheetId="6">#REF!</definedName>
    <definedName name="ENEROAJUSTE" localSheetId="5">#REF!</definedName>
    <definedName name="ENEROAJUSTE">#REF!</definedName>
    <definedName name="Estado">'[3]Compendio de nombres'!$C$2:$C$33</definedName>
    <definedName name="Estado1" localSheetId="8">#REF!</definedName>
    <definedName name="Estado1" localSheetId="2">#REF!</definedName>
    <definedName name="Estado1" localSheetId="1">#REF!</definedName>
    <definedName name="Estado1" localSheetId="0">#REF!</definedName>
    <definedName name="Estado1" localSheetId="6">#REF!</definedName>
    <definedName name="Estado1" localSheetId="5">#REF!</definedName>
    <definedName name="Estado1">#REF!</definedName>
    <definedName name="Fto_1" localSheetId="8">#REF!</definedName>
    <definedName name="Fto_1" localSheetId="4">#REF!</definedName>
    <definedName name="Fto_1" localSheetId="2">#REF!</definedName>
    <definedName name="Fto_1" localSheetId="1">#REF!</definedName>
    <definedName name="Fto_1" localSheetId="0">#REF!</definedName>
    <definedName name="Fto_1" localSheetId="6">#REF!</definedName>
    <definedName name="Fto_1" localSheetId="5">#REF!</definedName>
    <definedName name="Fto_1">#REF!</definedName>
    <definedName name="HTML_CodePage" hidden="1">1252</definedName>
    <definedName name="HTML_Control" localSheetId="8" hidden="1">{"'beneficiarios'!$A$1:$C$7"}</definedName>
    <definedName name="HTML_Control" localSheetId="4" hidden="1">{"'beneficiarios'!$A$1:$C$7"}</definedName>
    <definedName name="HTML_Control" localSheetId="0" hidden="1">{"'beneficiarios'!$A$1:$C$7"}</definedName>
    <definedName name="HTML_Control" localSheetId="6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8" hidden="1">{"'beneficiarios'!$A$1:$C$7"}</definedName>
    <definedName name="INDICADORES" localSheetId="4" hidden="1">{"'beneficiarios'!$A$1:$C$7"}</definedName>
    <definedName name="INDICADORES" localSheetId="0" hidden="1">{"'beneficiarios'!$A$1:$C$7"}</definedName>
    <definedName name="INDICADORES" localSheetId="6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resofederales" localSheetId="8" hidden="1">{"'beneficiarios'!$A$1:$C$7"}</definedName>
    <definedName name="ingresofederales" localSheetId="4" hidden="1">{"'beneficiarios'!$A$1:$C$7"}</definedName>
    <definedName name="ingresofederales" localSheetId="0" hidden="1">{"'beneficiarios'!$A$1:$C$7"}</definedName>
    <definedName name="ingresofederales" localSheetId="6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MUNICIPIOS" localSheetId="0" hidden="1">{"'beneficiarios'!$A$1:$C$7"}</definedName>
    <definedName name="MUNICIPIOS" localSheetId="6" hidden="1">{"'beneficiarios'!$A$1:$C$7"}</definedName>
    <definedName name="MUNICIPIOS" localSheetId="5" hidden="1">{"'beneficiarios'!$A$1:$C$7"}</definedName>
    <definedName name="MUNICIPIOS">[4]IMPORTE!$A$3:$A$53</definedName>
    <definedName name="Notas_Fto_1" localSheetId="8">#REF!</definedName>
    <definedName name="Notas_Fto_1" localSheetId="4">#REF!</definedName>
    <definedName name="Notas_Fto_1" localSheetId="2">#REF!</definedName>
    <definedName name="Notas_Fto_1" localSheetId="1">#REF!</definedName>
    <definedName name="Notas_Fto_1" localSheetId="0">#REF!</definedName>
    <definedName name="Notas_Fto_1" localSheetId="6">#REF!</definedName>
    <definedName name="Notas_Fto_1" localSheetId="5">#REF!</definedName>
    <definedName name="Notas_Fto_1">#REF!</definedName>
    <definedName name="Partidas">[5]TECHO!$B$1:$Q$2798</definedName>
    <definedName name="SINAJUSTE" localSheetId="8" hidden="1">{"'beneficiarios'!$A$1:$C$7"}</definedName>
    <definedName name="SINAJUSTE" localSheetId="4" hidden="1">{"'beneficiarios'!$A$1:$C$7"}</definedName>
    <definedName name="SINAJUSTE" localSheetId="0" hidden="1">{"'beneficiarios'!$A$1:$C$7"}</definedName>
    <definedName name="SINAJUSTE" localSheetId="6" hidden="1">{"'beneficiarios'!$A$1:$C$7"}</definedName>
    <definedName name="SINAJUSTE" localSheetId="5" hidden="1">{"'beneficiarios'!$A$1:$C$7"}</definedName>
    <definedName name="SINAJUSTE" hidden="1">{"'beneficiarios'!$A$1:$C$7"}</definedName>
    <definedName name="t" localSheetId="8">#REF!</definedName>
    <definedName name="t" localSheetId="4">#REF!</definedName>
    <definedName name="t" localSheetId="2">#REF!</definedName>
    <definedName name="t" localSheetId="1">#REF!</definedName>
    <definedName name="t" localSheetId="0">#REF!</definedName>
    <definedName name="t" localSheetId="6">#REF!</definedName>
    <definedName name="t" localSheetId="5">#REF!</definedName>
    <definedName name="t">#REF!</definedName>
    <definedName name="_xlnm.Print_Titles" localSheetId="4">Desarrollo!$A:$A,Desarrollo!$3:$3</definedName>
    <definedName name="_xlnm.Print_Titles" localSheetId="5">Seguridad!$A:$A,Seguridad!$2:$2</definedName>
    <definedName name="TOT" localSheetId="8">#REF!</definedName>
    <definedName name="TOT" localSheetId="4">#REF!</definedName>
    <definedName name="TOT" localSheetId="2">#REF!</definedName>
    <definedName name="TOT" localSheetId="1">#REF!</definedName>
    <definedName name="TOT" localSheetId="0">#REF!</definedName>
    <definedName name="TOT" localSheetId="6">#REF!</definedName>
    <definedName name="TOT" localSheetId="5">#REF!</definedName>
    <definedName name="TOT">#REF!</definedName>
    <definedName name="TOTAL" localSheetId="8">#REF!</definedName>
    <definedName name="TOTAL" localSheetId="4">#REF!</definedName>
    <definedName name="TOTAL" localSheetId="2">#REF!</definedName>
    <definedName name="TOTAL" localSheetId="1">#REF!</definedName>
    <definedName name="TOTAL" localSheetId="0">#REF!</definedName>
    <definedName name="TOTAL" localSheetId="6">#REF!</definedName>
    <definedName name="TOTAL" localSheetId="5">#REF!</definedName>
    <definedName name="TOTAL">#REF!</definedName>
    <definedName name="UNO" localSheetId="8">#REF!</definedName>
    <definedName name="UNO" localSheetId="2">#REF!</definedName>
    <definedName name="UNO" localSheetId="1">#REF!</definedName>
    <definedName name="UNO" localSheetId="0">#REF!</definedName>
    <definedName name="UNO" localSheetId="6">#REF!</definedName>
    <definedName name="UNO" localSheetId="5">#REF!</definedName>
    <definedName name="UNO">#REF!</definedName>
  </definedNames>
  <calcPr calcId="162913"/>
</workbook>
</file>

<file path=xl/calcChain.xml><?xml version="1.0" encoding="utf-8"?>
<calcChain xmlns="http://schemas.openxmlformats.org/spreadsheetml/2006/main">
  <c r="C39" i="113" l="1"/>
  <c r="B7" i="110"/>
  <c r="B8" i="110"/>
  <c r="B9" i="110"/>
  <c r="B10" i="110"/>
  <c r="B11" i="110"/>
  <c r="B12" i="110"/>
  <c r="B13" i="110"/>
  <c r="B14" i="110"/>
  <c r="B15" i="110"/>
  <c r="B16" i="110"/>
  <c r="B17" i="110"/>
  <c r="B18" i="110"/>
  <c r="B19" i="110"/>
  <c r="B20" i="110"/>
  <c r="B21" i="110"/>
  <c r="B22" i="110"/>
  <c r="B23" i="110"/>
  <c r="B24" i="110"/>
  <c r="B25" i="110"/>
  <c r="B26" i="110"/>
  <c r="B27" i="110"/>
  <c r="B28" i="110"/>
  <c r="B29" i="110"/>
  <c r="B30" i="110"/>
  <c r="B31" i="110"/>
  <c r="B32" i="110"/>
  <c r="B33" i="110"/>
  <c r="B34" i="110"/>
  <c r="B35" i="110"/>
  <c r="B36" i="110"/>
  <c r="B37" i="110"/>
  <c r="B38" i="110"/>
  <c r="B39" i="110"/>
  <c r="B40" i="110"/>
  <c r="B41" i="110"/>
  <c r="B42" i="110"/>
  <c r="B43" i="110"/>
  <c r="B44" i="110"/>
  <c r="B45" i="110"/>
  <c r="B46" i="110"/>
  <c r="B47" i="110"/>
  <c r="B48" i="110"/>
  <c r="B49" i="110"/>
  <c r="B50" i="110"/>
  <c r="B51" i="110"/>
  <c r="B52" i="110"/>
  <c r="B53" i="110"/>
  <c r="B54" i="110"/>
  <c r="B55" i="110"/>
  <c r="B56" i="110"/>
  <c r="B6" i="110"/>
  <c r="E80" i="111" l="1"/>
  <c r="E81" i="111"/>
  <c r="E82" i="111"/>
  <c r="E83" i="111"/>
  <c r="E84" i="111"/>
  <c r="E85" i="111"/>
  <c r="E86" i="111"/>
  <c r="E87" i="111"/>
  <c r="E88" i="111"/>
  <c r="E89" i="111"/>
  <c r="E90" i="111"/>
  <c r="E91" i="111"/>
  <c r="E92" i="111"/>
  <c r="E93" i="111"/>
  <c r="E94" i="111"/>
  <c r="E95" i="111"/>
  <c r="E96" i="111"/>
  <c r="E97" i="111"/>
  <c r="E98" i="111"/>
  <c r="E99" i="111"/>
  <c r="E100" i="111"/>
  <c r="E101" i="111"/>
  <c r="E102" i="111"/>
  <c r="E103" i="111"/>
  <c r="E104" i="111"/>
  <c r="E105" i="111"/>
  <c r="E106" i="111"/>
  <c r="E107" i="111"/>
  <c r="E108" i="111"/>
  <c r="E109" i="111"/>
  <c r="E110" i="111"/>
  <c r="E111" i="111"/>
  <c r="E112" i="111"/>
  <c r="E113" i="111"/>
  <c r="E114" i="111"/>
  <c r="E115" i="111"/>
  <c r="E116" i="111"/>
  <c r="E117" i="111"/>
  <c r="E118" i="111"/>
  <c r="E119" i="111"/>
  <c r="E120" i="111"/>
  <c r="E121" i="111"/>
  <c r="E122" i="111"/>
  <c r="E123" i="111"/>
  <c r="E124" i="111"/>
  <c r="E125" i="111"/>
  <c r="E126" i="111"/>
  <c r="E127" i="111"/>
  <c r="E128" i="111"/>
  <c r="E129" i="111"/>
  <c r="E130" i="111"/>
  <c r="E131" i="111"/>
  <c r="E132" i="111"/>
  <c r="E133" i="111"/>
  <c r="E134" i="111"/>
  <c r="E135" i="111"/>
  <c r="E136" i="111"/>
  <c r="E137" i="111"/>
  <c r="E138" i="111"/>
  <c r="E139" i="111"/>
  <c r="E140" i="111"/>
  <c r="E141" i="111"/>
  <c r="E142" i="111"/>
  <c r="E143" i="111"/>
  <c r="E144" i="111"/>
  <c r="E145" i="111"/>
  <c r="E146" i="111"/>
  <c r="E147" i="111"/>
  <c r="E148" i="111"/>
  <c r="E149" i="111"/>
  <c r="E150" i="111"/>
  <c r="E151" i="111"/>
  <c r="E152" i="111"/>
  <c r="E153" i="111"/>
  <c r="E154" i="111"/>
  <c r="E155" i="111"/>
  <c r="E156" i="111"/>
  <c r="E157" i="111"/>
  <c r="E158" i="111"/>
  <c r="E159" i="111"/>
  <c r="E160" i="111"/>
  <c r="E161" i="111"/>
  <c r="E162" i="111"/>
  <c r="E163" i="111"/>
  <c r="E164" i="111"/>
  <c r="E165" i="111"/>
  <c r="E166" i="111"/>
  <c r="E167" i="111"/>
  <c r="E168" i="111"/>
  <c r="E169" i="111"/>
  <c r="E170" i="111"/>
  <c r="E171" i="111"/>
  <c r="E172" i="111"/>
  <c r="E173" i="111"/>
  <c r="E174" i="111"/>
  <c r="E175" i="111"/>
  <c r="E176" i="111"/>
  <c r="E177" i="111"/>
  <c r="E178" i="111"/>
  <c r="E179" i="111"/>
  <c r="E180" i="111"/>
  <c r="E181" i="111"/>
  <c r="E182" i="111"/>
  <c r="E183" i="111"/>
  <c r="E184" i="111"/>
  <c r="E185" i="111"/>
  <c r="E186" i="111"/>
  <c r="E187" i="111"/>
  <c r="E188" i="111"/>
  <c r="E189" i="111"/>
  <c r="E190" i="111"/>
  <c r="E191" i="111"/>
  <c r="E192" i="111"/>
  <c r="E193" i="111"/>
  <c r="E194" i="111"/>
  <c r="E195" i="111"/>
  <c r="E196" i="111"/>
  <c r="E197" i="111"/>
  <c r="E198" i="111"/>
  <c r="E199" i="111"/>
  <c r="E200" i="111"/>
  <c r="E201" i="111"/>
  <c r="E202" i="111"/>
  <c r="E203" i="111"/>
  <c r="E204" i="111"/>
  <c r="E205" i="111"/>
  <c r="E206" i="111"/>
  <c r="E207" i="111"/>
  <c r="E208" i="111"/>
  <c r="E209" i="111"/>
  <c r="E210" i="111"/>
  <c r="E211" i="111"/>
  <c r="E212" i="111"/>
  <c r="E213" i="111"/>
  <c r="E214" i="111"/>
  <c r="E215" i="111"/>
  <c r="E216" i="111"/>
  <c r="E217" i="111"/>
  <c r="E218" i="111"/>
  <c r="E219" i="111"/>
  <c r="E220" i="111"/>
  <c r="E221" i="111"/>
  <c r="E222" i="111"/>
  <c r="E223" i="111"/>
  <c r="E224" i="111"/>
  <c r="E225" i="111"/>
  <c r="E226" i="111"/>
  <c r="E227" i="111"/>
  <c r="E228" i="111"/>
  <c r="E229" i="111"/>
  <c r="E230" i="111"/>
  <c r="E231" i="111"/>
  <c r="E232" i="111"/>
  <c r="E233" i="111"/>
  <c r="E234" i="111"/>
  <c r="E235" i="111"/>
  <c r="E236" i="111"/>
  <c r="E237" i="111"/>
  <c r="E238" i="111"/>
  <c r="E239" i="111"/>
  <c r="E240" i="111"/>
  <c r="E241" i="111"/>
  <c r="E242" i="111"/>
  <c r="E243" i="111"/>
  <c r="E244" i="111"/>
  <c r="E245" i="111"/>
  <c r="E246" i="111"/>
  <c r="E247" i="111"/>
  <c r="E248" i="111"/>
  <c r="E249" i="111"/>
  <c r="E250" i="111"/>
  <c r="E251" i="111"/>
  <c r="E252" i="111"/>
  <c r="E253" i="111"/>
  <c r="E254" i="111"/>
  <c r="E255" i="111"/>
  <c r="E256" i="111"/>
  <c r="E257" i="111"/>
  <c r="E258" i="111"/>
  <c r="E259" i="111"/>
  <c r="E260" i="111"/>
  <c r="E261" i="111"/>
  <c r="E262" i="111"/>
  <c r="E263" i="111"/>
  <c r="E264" i="111"/>
  <c r="E265" i="111"/>
  <c r="E266" i="111"/>
  <c r="E267" i="111"/>
  <c r="E268" i="111"/>
  <c r="E269" i="111"/>
  <c r="E270" i="111"/>
  <c r="E271" i="111"/>
  <c r="E272" i="111"/>
  <c r="E273" i="111"/>
  <c r="E274" i="111"/>
  <c r="E275" i="111"/>
  <c r="E276" i="111"/>
  <c r="E277" i="111"/>
  <c r="E278" i="111"/>
  <c r="E279" i="111"/>
  <c r="E280" i="111"/>
  <c r="E281" i="111"/>
  <c r="E282" i="111"/>
  <c r="E283" i="111"/>
  <c r="X8" i="98"/>
  <c r="Y8" i="98"/>
  <c r="X9" i="98"/>
  <c r="Y9" i="98"/>
  <c r="X10" i="98"/>
  <c r="Y10" i="98"/>
  <c r="X11" i="98"/>
  <c r="Y11" i="98"/>
  <c r="X12" i="98"/>
  <c r="Y12" i="98"/>
  <c r="X13" i="98"/>
  <c r="Y13" i="98"/>
  <c r="X14" i="98"/>
  <c r="Y14" i="98"/>
  <c r="X15" i="98"/>
  <c r="Y15" i="98"/>
  <c r="X16" i="98"/>
  <c r="Y16" i="98"/>
  <c r="X17" i="98"/>
  <c r="Y17" i="98"/>
  <c r="X18" i="98"/>
  <c r="Y18" i="98"/>
  <c r="X19" i="98"/>
  <c r="Y19" i="98"/>
  <c r="X20" i="98"/>
  <c r="Y20" i="98"/>
  <c r="X21" i="98"/>
  <c r="Y21" i="98"/>
  <c r="X22" i="98"/>
  <c r="Y22" i="98"/>
  <c r="X23" i="98"/>
  <c r="Y23" i="98"/>
  <c r="X24" i="98"/>
  <c r="Y24" i="98"/>
  <c r="X25" i="98"/>
  <c r="Y25" i="98"/>
  <c r="X26" i="98"/>
  <c r="Y26" i="98"/>
  <c r="X27" i="98"/>
  <c r="Y27" i="98"/>
  <c r="X28" i="98"/>
  <c r="Y28" i="98"/>
  <c r="X29" i="98"/>
  <c r="Y29" i="98"/>
  <c r="X30" i="98"/>
  <c r="Y30" i="98"/>
  <c r="X31" i="98"/>
  <c r="Y31" i="98"/>
  <c r="X32" i="98"/>
  <c r="Y32" i="98"/>
  <c r="X33" i="98"/>
  <c r="Y33" i="98"/>
  <c r="X34" i="98"/>
  <c r="Y34" i="98"/>
  <c r="X35" i="98"/>
  <c r="Y35" i="98"/>
  <c r="X36" i="98"/>
  <c r="Y36" i="98"/>
  <c r="X37" i="98"/>
  <c r="Y37" i="98"/>
  <c r="X38" i="98"/>
  <c r="Y38" i="98"/>
  <c r="X39" i="98"/>
  <c r="Y39" i="98"/>
  <c r="X40" i="98"/>
  <c r="Y40" i="98"/>
  <c r="X41" i="98"/>
  <c r="Y41" i="98"/>
  <c r="X42" i="98"/>
  <c r="Y42" i="98"/>
  <c r="X43" i="98"/>
  <c r="Y43" i="98"/>
  <c r="X44" i="98"/>
  <c r="Y44" i="98"/>
  <c r="X45" i="98"/>
  <c r="Y45" i="98"/>
  <c r="X46" i="98"/>
  <c r="Y46" i="98"/>
  <c r="X47" i="98"/>
  <c r="Y47" i="98"/>
  <c r="X48" i="98"/>
  <c r="Y48" i="98"/>
  <c r="X49" i="98"/>
  <c r="Y49" i="98"/>
  <c r="X50" i="98"/>
  <c r="Y50" i="98"/>
  <c r="X51" i="98"/>
  <c r="Y51" i="98"/>
  <c r="X52" i="98"/>
  <c r="Y52" i="98"/>
  <c r="X53" i="98"/>
  <c r="Y53" i="98"/>
  <c r="X54" i="98"/>
  <c r="Y54" i="98"/>
  <c r="X55" i="98"/>
  <c r="Y55" i="98"/>
  <c r="X56" i="98"/>
  <c r="Y56" i="98"/>
  <c r="X57" i="98"/>
  <c r="Y57" i="98"/>
  <c r="X7" i="98"/>
  <c r="Y7" i="98"/>
  <c r="X58" i="98" l="1"/>
  <c r="Y58" i="98"/>
  <c r="D6" i="104" l="1"/>
  <c r="B5" i="104"/>
  <c r="D20" i="113" l="1"/>
  <c r="D18" i="113"/>
  <c r="D20" i="103"/>
  <c r="C18" i="103"/>
  <c r="C41" i="113" l="1"/>
  <c r="C20" i="113"/>
  <c r="D4" i="104" s="1"/>
  <c r="D5" i="104" s="1"/>
  <c r="E13" i="113"/>
  <c r="D13" i="113"/>
  <c r="B13" i="113"/>
  <c r="G12" i="113"/>
  <c r="H12" i="113" s="1"/>
  <c r="G11" i="113"/>
  <c r="H11" i="113" s="1"/>
  <c r="G10" i="113"/>
  <c r="H10" i="113" s="1"/>
  <c r="G9" i="113"/>
  <c r="H9" i="113" s="1"/>
  <c r="G8" i="113"/>
  <c r="H8" i="113" s="1"/>
  <c r="G7" i="113"/>
  <c r="H7" i="113" s="1"/>
  <c r="G6" i="113"/>
  <c r="H6" i="113" s="1"/>
  <c r="G5" i="113"/>
  <c r="H5" i="113" s="1"/>
  <c r="G4" i="113"/>
  <c r="H4" i="113" s="1"/>
  <c r="G3" i="113"/>
  <c r="L56" i="111"/>
  <c r="E56" i="111"/>
  <c r="F232" i="111" s="1"/>
  <c r="E55" i="111"/>
  <c r="F231" i="111" s="1"/>
  <c r="E52" i="111"/>
  <c r="F228" i="111" s="1"/>
  <c r="E51" i="111"/>
  <c r="F227" i="111" s="1"/>
  <c r="E49" i="111"/>
  <c r="F225" i="111" s="1"/>
  <c r="E48" i="111"/>
  <c r="F224" i="111" s="1"/>
  <c r="E47" i="111"/>
  <c r="F223" i="111" s="1"/>
  <c r="E45" i="111"/>
  <c r="F221" i="111" s="1"/>
  <c r="E44" i="111"/>
  <c r="F220" i="111" s="1"/>
  <c r="E43" i="111"/>
  <c r="F219" i="111" s="1"/>
  <c r="E42" i="111"/>
  <c r="F218" i="111" s="1"/>
  <c r="E41" i="111"/>
  <c r="F217" i="111" s="1"/>
  <c r="E40" i="111"/>
  <c r="F216" i="111" s="1"/>
  <c r="E39" i="111"/>
  <c r="F215" i="111" s="1"/>
  <c r="E38" i="111"/>
  <c r="F214" i="111" s="1"/>
  <c r="E37" i="111"/>
  <c r="F213" i="111" s="1"/>
  <c r="E35" i="111"/>
  <c r="F211" i="111" s="1"/>
  <c r="E34" i="111"/>
  <c r="F210" i="111" s="1"/>
  <c r="E33" i="111"/>
  <c r="F209" i="111" s="1"/>
  <c r="E32" i="111"/>
  <c r="F208" i="111" s="1"/>
  <c r="E31" i="111"/>
  <c r="F207" i="111" s="1"/>
  <c r="E30" i="111"/>
  <c r="F206" i="111" s="1"/>
  <c r="E28" i="111"/>
  <c r="F204" i="111" s="1"/>
  <c r="E27" i="111"/>
  <c r="F203" i="111" s="1"/>
  <c r="E26" i="111"/>
  <c r="F202" i="111" s="1"/>
  <c r="E24" i="111"/>
  <c r="F200" i="111" s="1"/>
  <c r="E22" i="111"/>
  <c r="F198" i="111" s="1"/>
  <c r="E21" i="111"/>
  <c r="F197" i="111" s="1"/>
  <c r="E20" i="111"/>
  <c r="F196" i="111" s="1"/>
  <c r="E19" i="111"/>
  <c r="F195" i="111" s="1"/>
  <c r="E17" i="111"/>
  <c r="F193" i="111" s="1"/>
  <c r="E16" i="111"/>
  <c r="F192" i="111" s="1"/>
  <c r="L15" i="111"/>
  <c r="E13" i="111"/>
  <c r="F189" i="111" s="1"/>
  <c r="E12" i="111"/>
  <c r="F188" i="111" s="1"/>
  <c r="E10" i="111"/>
  <c r="F186" i="111" s="1"/>
  <c r="E9" i="111"/>
  <c r="F185" i="111" s="1"/>
  <c r="E8" i="111"/>
  <c r="F184" i="111" s="1"/>
  <c r="E7" i="111"/>
  <c r="F183" i="111" s="1"/>
  <c r="E6" i="111"/>
  <c r="F182" i="111" s="1"/>
  <c r="L12" i="111" l="1"/>
  <c r="L14" i="111"/>
  <c r="L57" i="111"/>
  <c r="L33" i="111"/>
  <c r="L10" i="111"/>
  <c r="G13" i="113"/>
  <c r="H3" i="113"/>
  <c r="H13" i="113" s="1"/>
  <c r="L30" i="111"/>
  <c r="L55" i="111"/>
  <c r="L34" i="111"/>
  <c r="L48" i="111"/>
  <c r="L54" i="111"/>
  <c r="L21" i="111"/>
  <c r="L53" i="111"/>
  <c r="L42" i="111"/>
  <c r="L22" i="111"/>
  <c r="L23" i="111"/>
  <c r="L35" i="111"/>
  <c r="L20" i="111"/>
  <c r="L32" i="111"/>
  <c r="L41" i="111"/>
  <c r="L47" i="111"/>
  <c r="L19" i="111"/>
  <c r="L31" i="111"/>
  <c r="L40" i="111"/>
  <c r="L46" i="111"/>
  <c r="L28" i="111"/>
  <c r="L45" i="111"/>
  <c r="L51" i="111"/>
  <c r="L27" i="111"/>
  <c r="L44" i="111"/>
  <c r="L50" i="111"/>
  <c r="L25" i="111"/>
  <c r="L37" i="111"/>
  <c r="L24" i="111"/>
  <c r="L36" i="111"/>
  <c r="L43" i="111"/>
  <c r="L49" i="111"/>
  <c r="B18" i="113" l="1"/>
  <c r="B20" i="113" s="1"/>
  <c r="B23" i="113" s="1"/>
  <c r="B25" i="113" s="1"/>
  <c r="B39" i="113"/>
  <c r="B41" i="113" s="1"/>
  <c r="B44" i="113" s="1"/>
  <c r="B46" i="113" s="1"/>
  <c r="B60" i="110" s="1"/>
  <c r="C60" i="110" s="1"/>
  <c r="B34" i="113"/>
  <c r="B36" i="113" s="1"/>
  <c r="B29" i="113"/>
  <c r="B31" i="113" s="1"/>
  <c r="C62" i="110" l="1"/>
  <c r="C63" i="110"/>
  <c r="B21" i="107"/>
  <c r="E58" i="111"/>
  <c r="B5" i="105"/>
  <c r="D58" i="111"/>
  <c r="C58" i="111"/>
  <c r="B4" i="104"/>
  <c r="R6" i="91"/>
  <c r="R7" i="91"/>
  <c r="R8" i="91"/>
  <c r="R9" i="91"/>
  <c r="R10" i="91"/>
  <c r="R11" i="91"/>
  <c r="R12" i="91"/>
  <c r="R13" i="91"/>
  <c r="R14" i="91"/>
  <c r="R15" i="91"/>
  <c r="R16" i="91"/>
  <c r="R17" i="91"/>
  <c r="R18" i="91"/>
  <c r="R19" i="91"/>
  <c r="R20" i="91"/>
  <c r="R21" i="91"/>
  <c r="R22" i="91"/>
  <c r="R23" i="91"/>
  <c r="R24" i="91"/>
  <c r="R25" i="91"/>
  <c r="R26" i="91"/>
  <c r="R27" i="91"/>
  <c r="R28" i="91"/>
  <c r="R29" i="91"/>
  <c r="R30" i="91"/>
  <c r="R31" i="91"/>
  <c r="R32" i="91"/>
  <c r="R33" i="91"/>
  <c r="R34" i="91"/>
  <c r="R35" i="91"/>
  <c r="R36" i="91"/>
  <c r="R37" i="91"/>
  <c r="R38" i="91"/>
  <c r="R39" i="91"/>
  <c r="R40" i="91"/>
  <c r="R41" i="91"/>
  <c r="R42" i="91"/>
  <c r="R43" i="91"/>
  <c r="R44" i="91"/>
  <c r="R45" i="91"/>
  <c r="R46" i="91"/>
  <c r="R47" i="91"/>
  <c r="R48" i="91"/>
  <c r="R49" i="91"/>
  <c r="R50" i="91"/>
  <c r="R51" i="91"/>
  <c r="R52" i="91"/>
  <c r="R53" i="91"/>
  <c r="R54" i="91"/>
  <c r="R55" i="91"/>
  <c r="R5" i="91"/>
  <c r="K56" i="91"/>
  <c r="L56" i="91"/>
  <c r="M10" i="91" s="1"/>
  <c r="O10" i="91" s="1"/>
  <c r="N56" i="91"/>
  <c r="M34" i="91" l="1"/>
  <c r="O34" i="91" s="1"/>
  <c r="M33" i="91"/>
  <c r="O33" i="91" s="1"/>
  <c r="M45" i="91"/>
  <c r="O45" i="91" s="1"/>
  <c r="R56" i="91"/>
  <c r="S49" i="91" s="1"/>
  <c r="T49" i="91" s="1"/>
  <c r="M11" i="91"/>
  <c r="O11" i="91" s="1"/>
  <c r="M23" i="91"/>
  <c r="O23" i="91" s="1"/>
  <c r="M35" i="91"/>
  <c r="O35" i="91" s="1"/>
  <c r="M47" i="91"/>
  <c r="O47" i="91" s="1"/>
  <c r="M12" i="91"/>
  <c r="O12" i="91" s="1"/>
  <c r="M24" i="91"/>
  <c r="O24" i="91" s="1"/>
  <c r="M36" i="91"/>
  <c r="O36" i="91" s="1"/>
  <c r="M48" i="91"/>
  <c r="O48" i="91" s="1"/>
  <c r="M14" i="91"/>
  <c r="O14" i="91" s="1"/>
  <c r="M38" i="91"/>
  <c r="O38" i="91" s="1"/>
  <c r="M50" i="91"/>
  <c r="O50" i="91" s="1"/>
  <c r="M16" i="91"/>
  <c r="O16" i="91" s="1"/>
  <c r="M40" i="91"/>
  <c r="O40" i="91" s="1"/>
  <c r="M43" i="91"/>
  <c r="O43" i="91" s="1"/>
  <c r="M32" i="91"/>
  <c r="O32" i="91" s="1"/>
  <c r="M13" i="91"/>
  <c r="O13" i="91" s="1"/>
  <c r="M25" i="91"/>
  <c r="O25" i="91" s="1"/>
  <c r="M37" i="91"/>
  <c r="O37" i="91" s="1"/>
  <c r="M49" i="91"/>
  <c r="O49" i="91" s="1"/>
  <c r="M26" i="91"/>
  <c r="O26" i="91" s="1"/>
  <c r="M28" i="91"/>
  <c r="O28" i="91" s="1"/>
  <c r="M31" i="91"/>
  <c r="O31" i="91" s="1"/>
  <c r="M20" i="91"/>
  <c r="O20" i="91" s="1"/>
  <c r="M15" i="91"/>
  <c r="O15" i="91" s="1"/>
  <c r="M27" i="91"/>
  <c r="O27" i="91" s="1"/>
  <c r="M39" i="91"/>
  <c r="O39" i="91" s="1"/>
  <c r="M51" i="91"/>
  <c r="O51" i="91" s="1"/>
  <c r="M52" i="91"/>
  <c r="O52" i="91" s="1"/>
  <c r="M19" i="91"/>
  <c r="O19" i="91" s="1"/>
  <c r="M44" i="91"/>
  <c r="O44" i="91" s="1"/>
  <c r="M17" i="91"/>
  <c r="O17" i="91" s="1"/>
  <c r="M29" i="91"/>
  <c r="O29" i="91" s="1"/>
  <c r="M41" i="91"/>
  <c r="O41" i="91" s="1"/>
  <c r="M53" i="91"/>
  <c r="O53" i="91" s="1"/>
  <c r="M6" i="91"/>
  <c r="O6" i="91" s="1"/>
  <c r="M18" i="91"/>
  <c r="O18" i="91" s="1"/>
  <c r="M30" i="91"/>
  <c r="O30" i="91" s="1"/>
  <c r="M42" i="91"/>
  <c r="O42" i="91" s="1"/>
  <c r="M54" i="91"/>
  <c r="O54" i="91" s="1"/>
  <c r="M7" i="91"/>
  <c r="O7" i="91" s="1"/>
  <c r="M55" i="91"/>
  <c r="O55" i="91" s="1"/>
  <c r="M8" i="91"/>
  <c r="O8" i="91" s="1"/>
  <c r="M5" i="91"/>
  <c r="O5" i="91" s="1"/>
  <c r="O56" i="91" s="1"/>
  <c r="M9" i="91"/>
  <c r="O9" i="91" s="1"/>
  <c r="M46" i="91"/>
  <c r="O46" i="91" s="1"/>
  <c r="M22" i="91"/>
  <c r="O22" i="91" s="1"/>
  <c r="M21" i="91"/>
  <c r="O21" i="91" s="1"/>
  <c r="S28" i="91"/>
  <c r="T28" i="91" s="1"/>
  <c r="S16" i="91"/>
  <c r="T16" i="91" s="1"/>
  <c r="S51" i="91"/>
  <c r="T51" i="91" s="1"/>
  <c r="S18" i="91" l="1"/>
  <c r="T18" i="91" s="1"/>
  <c r="S41" i="91"/>
  <c r="T41" i="91" s="1"/>
  <c r="S25" i="91"/>
  <c r="T25" i="91" s="1"/>
  <c r="S53" i="91"/>
  <c r="T53" i="91" s="1"/>
  <c r="S35" i="91"/>
  <c r="T35" i="91" s="1"/>
  <c r="S40" i="91"/>
  <c r="T40" i="91" s="1"/>
  <c r="S42" i="91"/>
  <c r="T42" i="91" s="1"/>
  <c r="S37" i="91"/>
  <c r="T37" i="91" s="1"/>
  <c r="S52" i="91"/>
  <c r="T52" i="91" s="1"/>
  <c r="S43" i="91"/>
  <c r="T43" i="91" s="1"/>
  <c r="S23" i="91"/>
  <c r="T23" i="91" s="1"/>
  <c r="S7" i="91"/>
  <c r="T7" i="91" s="1"/>
  <c r="S31" i="91"/>
  <c r="T31" i="91" s="1"/>
  <c r="S19" i="91"/>
  <c r="T19" i="91" s="1"/>
  <c r="S15" i="91"/>
  <c r="T15" i="91" s="1"/>
  <c r="S55" i="91"/>
  <c r="T55" i="91" s="1"/>
  <c r="S30" i="91"/>
  <c r="T30" i="91" s="1"/>
  <c r="S13" i="91"/>
  <c r="T13" i="91" s="1"/>
  <c r="S54" i="91"/>
  <c r="T54" i="91" s="1"/>
  <c r="S6" i="91"/>
  <c r="T6" i="91" s="1"/>
  <c r="S27" i="91"/>
  <c r="T27" i="91" s="1"/>
  <c r="S17" i="91"/>
  <c r="T17" i="91" s="1"/>
  <c r="S39" i="91"/>
  <c r="T39" i="91" s="1"/>
  <c r="S47" i="91"/>
  <c r="T47" i="91" s="1"/>
  <c r="S29" i="91"/>
  <c r="T29" i="91" s="1"/>
  <c r="M56" i="91"/>
  <c r="P14" i="91"/>
  <c r="Q14" i="91" s="1"/>
  <c r="P26" i="91"/>
  <c r="Q26" i="91" s="1"/>
  <c r="P38" i="91"/>
  <c r="Q38" i="91" s="1"/>
  <c r="P50" i="91"/>
  <c r="Q50" i="91" s="1"/>
  <c r="P15" i="91"/>
  <c r="Q15" i="91" s="1"/>
  <c r="P27" i="91"/>
  <c r="Q27" i="91" s="1"/>
  <c r="P39" i="91"/>
  <c r="Q39" i="91" s="1"/>
  <c r="P51" i="91"/>
  <c r="Q51" i="91" s="1"/>
  <c r="U51" i="91" s="1"/>
  <c r="AD51" i="91" s="1"/>
  <c r="P29" i="91"/>
  <c r="Q29" i="91" s="1"/>
  <c r="U29" i="91" s="1"/>
  <c r="AD29" i="91" s="1"/>
  <c r="P53" i="91"/>
  <c r="Q53" i="91" s="1"/>
  <c r="P19" i="91"/>
  <c r="Q19" i="91" s="1"/>
  <c r="U19" i="91" s="1"/>
  <c r="AD19" i="91" s="1"/>
  <c r="P43" i="91"/>
  <c r="Q43" i="91" s="1"/>
  <c r="P10" i="91"/>
  <c r="Q10" i="91" s="1"/>
  <c r="P46" i="91"/>
  <c r="Q46" i="91" s="1"/>
  <c r="P36" i="91"/>
  <c r="Q36" i="91" s="1"/>
  <c r="P16" i="91"/>
  <c r="Q16" i="91" s="1"/>
  <c r="P28" i="91"/>
  <c r="Q28" i="91" s="1"/>
  <c r="U28" i="91" s="1"/>
  <c r="AD28" i="91" s="1"/>
  <c r="P40" i="91"/>
  <c r="Q40" i="91" s="1"/>
  <c r="P52" i="91"/>
  <c r="Q52" i="91" s="1"/>
  <c r="P17" i="91"/>
  <c r="Q17" i="91" s="1"/>
  <c r="U17" i="91" s="1"/>
  <c r="AD17" i="91" s="1"/>
  <c r="P41" i="91"/>
  <c r="Q41" i="91" s="1"/>
  <c r="U41" i="91" s="1"/>
  <c r="AD41" i="91" s="1"/>
  <c r="P31" i="91"/>
  <c r="Q31" i="91" s="1"/>
  <c r="U31" i="91" s="1"/>
  <c r="AD31" i="91" s="1"/>
  <c r="P22" i="91"/>
  <c r="Q22" i="91" s="1"/>
  <c r="P11" i="91"/>
  <c r="Q11" i="91" s="1"/>
  <c r="P12" i="91"/>
  <c r="Q12" i="91" s="1"/>
  <c r="P6" i="91"/>
  <c r="Q6" i="91" s="1"/>
  <c r="P18" i="91"/>
  <c r="Q18" i="91" s="1"/>
  <c r="P30" i="91"/>
  <c r="Q30" i="91" s="1"/>
  <c r="P42" i="91"/>
  <c r="Q42" i="91" s="1"/>
  <c r="P54" i="91"/>
  <c r="Q54" i="91" s="1"/>
  <c r="P7" i="91"/>
  <c r="Q7" i="91" s="1"/>
  <c r="P55" i="91"/>
  <c r="Q55" i="91" s="1"/>
  <c r="U55" i="91" s="1"/>
  <c r="AD55" i="91" s="1"/>
  <c r="P35" i="91"/>
  <c r="Q35" i="91" s="1"/>
  <c r="U35" i="91" s="1"/>
  <c r="AD35" i="91" s="1"/>
  <c r="P24" i="91"/>
  <c r="Q24" i="91" s="1"/>
  <c r="P8" i="91"/>
  <c r="Q8" i="91" s="1"/>
  <c r="P20" i="91"/>
  <c r="Q20" i="91" s="1"/>
  <c r="P32" i="91"/>
  <c r="Q32" i="91" s="1"/>
  <c r="P44" i="91"/>
  <c r="Q44" i="91" s="1"/>
  <c r="P5" i="91"/>
  <c r="P9" i="91"/>
  <c r="Q9" i="91" s="1"/>
  <c r="P21" i="91"/>
  <c r="Q21" i="91" s="1"/>
  <c r="P33" i="91"/>
  <c r="Q33" i="91" s="1"/>
  <c r="P45" i="91"/>
  <c r="Q45" i="91" s="1"/>
  <c r="P34" i="91"/>
  <c r="Q34" i="91" s="1"/>
  <c r="P23" i="91"/>
  <c r="Q23" i="91" s="1"/>
  <c r="P47" i="91"/>
  <c r="Q47" i="91" s="1"/>
  <c r="P37" i="91"/>
  <c r="Q37" i="91" s="1"/>
  <c r="P48" i="91"/>
  <c r="Q48" i="91" s="1"/>
  <c r="P49" i="91"/>
  <c r="Q49" i="91" s="1"/>
  <c r="U49" i="91" s="1"/>
  <c r="AD49" i="91" s="1"/>
  <c r="P13" i="91"/>
  <c r="Q13" i="91" s="1"/>
  <c r="P25" i="91"/>
  <c r="Q25" i="91" s="1"/>
  <c r="U25" i="91" s="1"/>
  <c r="AD25" i="91" s="1"/>
  <c r="U16" i="91"/>
  <c r="AD16" i="91" s="1"/>
  <c r="S9" i="91"/>
  <c r="T9" i="91" s="1"/>
  <c r="U9" i="91" s="1"/>
  <c r="AD9" i="91" s="1"/>
  <c r="S21" i="91"/>
  <c r="T21" i="91" s="1"/>
  <c r="U21" i="91" s="1"/>
  <c r="AD21" i="91" s="1"/>
  <c r="S33" i="91"/>
  <c r="T33" i="91" s="1"/>
  <c r="U33" i="91" s="1"/>
  <c r="AD33" i="91" s="1"/>
  <c r="S45" i="91"/>
  <c r="T45" i="91" s="1"/>
  <c r="S12" i="91"/>
  <c r="T12" i="91" s="1"/>
  <c r="S24" i="91"/>
  <c r="T24" i="91" s="1"/>
  <c r="S36" i="91"/>
  <c r="T36" i="91" s="1"/>
  <c r="S48" i="91"/>
  <c r="T48" i="91" s="1"/>
  <c r="S14" i="91"/>
  <c r="T14" i="91" s="1"/>
  <c r="S26" i="91"/>
  <c r="T26" i="91" s="1"/>
  <c r="S38" i="91"/>
  <c r="T38" i="91" s="1"/>
  <c r="S50" i="91"/>
  <c r="T50" i="91" s="1"/>
  <c r="U50" i="91" s="1"/>
  <c r="AD50" i="91" s="1"/>
  <c r="S8" i="91"/>
  <c r="T8" i="91" s="1"/>
  <c r="S20" i="91"/>
  <c r="T20" i="91" s="1"/>
  <c r="U20" i="91" s="1"/>
  <c r="AD20" i="91" s="1"/>
  <c r="S32" i="91"/>
  <c r="T32" i="91" s="1"/>
  <c r="U32" i="91" s="1"/>
  <c r="AD32" i="91" s="1"/>
  <c r="S44" i="91"/>
  <c r="T44" i="91" s="1"/>
  <c r="S5" i="91"/>
  <c r="S22" i="91"/>
  <c r="T22" i="91" s="1"/>
  <c r="S34" i="91"/>
  <c r="T34" i="91" s="1"/>
  <c r="S46" i="91"/>
  <c r="T46" i="91" s="1"/>
  <c r="S10" i="91"/>
  <c r="T10" i="91" s="1"/>
  <c r="S11" i="91"/>
  <c r="T11" i="91" s="1"/>
  <c r="U8" i="91" l="1"/>
  <c r="AD8" i="91" s="1"/>
  <c r="U27" i="91"/>
  <c r="AD27" i="91" s="1"/>
  <c r="U37" i="91"/>
  <c r="AD37" i="91" s="1"/>
  <c r="U52" i="91"/>
  <c r="AD52" i="91" s="1"/>
  <c r="U18" i="91"/>
  <c r="AD18" i="91" s="1"/>
  <c r="U54" i="91"/>
  <c r="AD54" i="91" s="1"/>
  <c r="U42" i="91"/>
  <c r="AD42" i="91" s="1"/>
  <c r="U40" i="91"/>
  <c r="AD40" i="91" s="1"/>
  <c r="U30" i="91"/>
  <c r="AD30" i="91" s="1"/>
  <c r="U39" i="91"/>
  <c r="AD39" i="91" s="1"/>
  <c r="U7" i="91"/>
  <c r="AD7" i="91" s="1"/>
  <c r="U43" i="91"/>
  <c r="AD43" i="91" s="1"/>
  <c r="U47" i="91"/>
  <c r="AD47" i="91" s="1"/>
  <c r="U53" i="91"/>
  <c r="AD53" i="91" s="1"/>
  <c r="U23" i="91"/>
  <c r="AD23" i="91" s="1"/>
  <c r="U15" i="91"/>
  <c r="AD15" i="91" s="1"/>
  <c r="U10" i="91"/>
  <c r="AD10" i="91" s="1"/>
  <c r="U14" i="91"/>
  <c r="AD14" i="91" s="1"/>
  <c r="U13" i="91"/>
  <c r="AD13" i="91" s="1"/>
  <c r="U6" i="91"/>
  <c r="AD6" i="91" s="1"/>
  <c r="U12" i="91"/>
  <c r="AD12" i="91" s="1"/>
  <c r="U44" i="91"/>
  <c r="AD44" i="91" s="1"/>
  <c r="U45" i="91"/>
  <c r="AD45" i="91" s="1"/>
  <c r="T5" i="91"/>
  <c r="S56" i="91"/>
  <c r="Q5" i="91"/>
  <c r="Q56" i="91" s="1"/>
  <c r="P56" i="91"/>
  <c r="U38" i="91"/>
  <c r="AD38" i="91" s="1"/>
  <c r="U11" i="91"/>
  <c r="AD11" i="91" s="1"/>
  <c r="U46" i="91"/>
  <c r="AD46" i="91" s="1"/>
  <c r="U26" i="91"/>
  <c r="AD26" i="91" s="1"/>
  <c r="U48" i="91"/>
  <c r="AD48" i="91" s="1"/>
  <c r="U34" i="91"/>
  <c r="AD34" i="91" s="1"/>
  <c r="U36" i="91"/>
  <c r="AD36" i="91" s="1"/>
  <c r="U22" i="91"/>
  <c r="AD22" i="91" s="1"/>
  <c r="U24" i="91"/>
  <c r="AD24" i="91" s="1"/>
  <c r="F70" i="100"/>
  <c r="F71" i="100"/>
  <c r="F72" i="100"/>
  <c r="F73" i="100"/>
  <c r="F75" i="100"/>
  <c r="F76" i="100"/>
  <c r="F79" i="100"/>
  <c r="F80" i="100"/>
  <c r="F82" i="100"/>
  <c r="F83" i="100"/>
  <c r="F84" i="100"/>
  <c r="F85" i="100"/>
  <c r="F87" i="100"/>
  <c r="F89" i="100"/>
  <c r="F90" i="100"/>
  <c r="F91" i="100"/>
  <c r="F93" i="100"/>
  <c r="F94" i="100"/>
  <c r="F95" i="100"/>
  <c r="F96" i="100"/>
  <c r="F97" i="100"/>
  <c r="F98" i="100"/>
  <c r="F100" i="100"/>
  <c r="F101" i="100"/>
  <c r="F102" i="100"/>
  <c r="F103" i="100"/>
  <c r="F104" i="100"/>
  <c r="F105" i="100"/>
  <c r="F106" i="100"/>
  <c r="F107" i="100"/>
  <c r="F108" i="100"/>
  <c r="F110" i="100"/>
  <c r="F111" i="100"/>
  <c r="F112" i="100"/>
  <c r="F114" i="100"/>
  <c r="F115" i="100"/>
  <c r="F118" i="100"/>
  <c r="F119" i="100"/>
  <c r="F69" i="100"/>
  <c r="U5" i="91" l="1"/>
  <c r="T56" i="91"/>
  <c r="D8" i="103"/>
  <c r="E8" i="103" s="1"/>
  <c r="D9" i="103"/>
  <c r="AD5" i="91" l="1"/>
  <c r="U56" i="91"/>
  <c r="Y5" i="91"/>
  <c r="I6" i="91" l="1"/>
  <c r="I7" i="9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24" i="91"/>
  <c r="I25" i="91"/>
  <c r="I26" i="91"/>
  <c r="I27" i="91"/>
  <c r="I28" i="91"/>
  <c r="I29" i="91"/>
  <c r="I30" i="91"/>
  <c r="I31" i="91"/>
  <c r="I32" i="91"/>
  <c r="I33" i="91"/>
  <c r="I34" i="91"/>
  <c r="I35" i="91"/>
  <c r="I36" i="91"/>
  <c r="I37" i="91"/>
  <c r="I38" i="91"/>
  <c r="I39" i="91"/>
  <c r="I40" i="91"/>
  <c r="I41" i="91"/>
  <c r="I42" i="91"/>
  <c r="I43" i="91"/>
  <c r="I44" i="91"/>
  <c r="I45" i="91"/>
  <c r="I46" i="91"/>
  <c r="I47" i="91"/>
  <c r="I48" i="91"/>
  <c r="I49" i="91"/>
  <c r="I50" i="91"/>
  <c r="I51" i="91"/>
  <c r="I52" i="91"/>
  <c r="I53" i="91"/>
  <c r="I54" i="91"/>
  <c r="I55" i="91"/>
  <c r="D12" i="103" l="1"/>
  <c r="E12" i="103" s="1"/>
  <c r="D11" i="103"/>
  <c r="E11" i="103" s="1"/>
  <c r="D10" i="103"/>
  <c r="E10" i="103" s="1"/>
  <c r="E9" i="103"/>
  <c r="D7" i="103"/>
  <c r="B13" i="103" l="1"/>
  <c r="D11" i="110" l="1"/>
  <c r="D23" i="110"/>
  <c r="D25" i="110"/>
  <c r="D30" i="110"/>
  <c r="D36" i="110"/>
  <c r="D44" i="110"/>
  <c r="D51" i="110"/>
  <c r="D52" i="110"/>
  <c r="D53" i="110"/>
  <c r="B57" i="110"/>
  <c r="C41" i="103" l="1"/>
  <c r="E42" i="103" l="1"/>
  <c r="AL6" i="91"/>
  <c r="AL7" i="91"/>
  <c r="AL8" i="91"/>
  <c r="AL9" i="91"/>
  <c r="AL11" i="91"/>
  <c r="AL12" i="91"/>
  <c r="AL15" i="91"/>
  <c r="AL16" i="91"/>
  <c r="AL18" i="91"/>
  <c r="AL19" i="91"/>
  <c r="AL20" i="91"/>
  <c r="AL21" i="91"/>
  <c r="AL23" i="91"/>
  <c r="AL25" i="91"/>
  <c r="AL26" i="91"/>
  <c r="AL27" i="91"/>
  <c r="AL29" i="91"/>
  <c r="AL30" i="91"/>
  <c r="AL31" i="91"/>
  <c r="AL32" i="91"/>
  <c r="AL33" i="91"/>
  <c r="AL34" i="91"/>
  <c r="AL36" i="91"/>
  <c r="AL37" i="91"/>
  <c r="AL38" i="91"/>
  <c r="AL39" i="91"/>
  <c r="AL40" i="91"/>
  <c r="AL41" i="91"/>
  <c r="AL42" i="91"/>
  <c r="AL43" i="91"/>
  <c r="AL44" i="91"/>
  <c r="AL46" i="91"/>
  <c r="AL47" i="91"/>
  <c r="AL48" i="91"/>
  <c r="AL50" i="91"/>
  <c r="AL51" i="91"/>
  <c r="AL54" i="91"/>
  <c r="AL55" i="91"/>
  <c r="AL5" i="91"/>
  <c r="B62" i="104" l="1"/>
  <c r="B46" i="104"/>
  <c r="B38" i="104"/>
  <c r="B30" i="104"/>
  <c r="B19" i="104"/>
  <c r="B17" i="104"/>
  <c r="B15" i="104"/>
  <c r="B66" i="104"/>
  <c r="AG6" i="91"/>
  <c r="AG7" i="91"/>
  <c r="AG8" i="91"/>
  <c r="AG9" i="91"/>
  <c r="AG10" i="91"/>
  <c r="AG11" i="91"/>
  <c r="AG12" i="91"/>
  <c r="AG13" i="91"/>
  <c r="AG14" i="91"/>
  <c r="AG15" i="91"/>
  <c r="AG16" i="91"/>
  <c r="AG17" i="91"/>
  <c r="AG18" i="91"/>
  <c r="AG19" i="91"/>
  <c r="AG20" i="91"/>
  <c r="AG21" i="91"/>
  <c r="AG22" i="91"/>
  <c r="AG23" i="91"/>
  <c r="AG24" i="91"/>
  <c r="AG25" i="91"/>
  <c r="AG26" i="91"/>
  <c r="AG27" i="91"/>
  <c r="AG28" i="91"/>
  <c r="AG29" i="91"/>
  <c r="AG30" i="91"/>
  <c r="AG31" i="91"/>
  <c r="AG32" i="91"/>
  <c r="AG33" i="91"/>
  <c r="AG34" i="91"/>
  <c r="AG35" i="91"/>
  <c r="AG36" i="91"/>
  <c r="AG37" i="91"/>
  <c r="AG38" i="91"/>
  <c r="AG39" i="91"/>
  <c r="AG40" i="91"/>
  <c r="AG41" i="91"/>
  <c r="AG42" i="91"/>
  <c r="AG43" i="91"/>
  <c r="AG44" i="91"/>
  <c r="AG45" i="91"/>
  <c r="AG46" i="91"/>
  <c r="AG47" i="91"/>
  <c r="AG48" i="91"/>
  <c r="AG49" i="91"/>
  <c r="AG50" i="91"/>
  <c r="AG51" i="91"/>
  <c r="AG52" i="91"/>
  <c r="AG53" i="91"/>
  <c r="AG54" i="91"/>
  <c r="AG55" i="91"/>
  <c r="AG5" i="91"/>
  <c r="AE6" i="91"/>
  <c r="AE7" i="91"/>
  <c r="AE8" i="91"/>
  <c r="AE9" i="91"/>
  <c r="AE10" i="91"/>
  <c r="AE11" i="91"/>
  <c r="AE12" i="91"/>
  <c r="AE13" i="91"/>
  <c r="AE14" i="91"/>
  <c r="AE15" i="91"/>
  <c r="AE16" i="91"/>
  <c r="AE17" i="91"/>
  <c r="AE18" i="91"/>
  <c r="AE19" i="91"/>
  <c r="AE20" i="91"/>
  <c r="AE21" i="91"/>
  <c r="AE22" i="91"/>
  <c r="AE23" i="91"/>
  <c r="AE24" i="91"/>
  <c r="AE25" i="91"/>
  <c r="AE26" i="91"/>
  <c r="AE27" i="91"/>
  <c r="AE28" i="91"/>
  <c r="AE29" i="91"/>
  <c r="AE30" i="91"/>
  <c r="AE31" i="91"/>
  <c r="AE32" i="91"/>
  <c r="AE33" i="91"/>
  <c r="AE34" i="91"/>
  <c r="AE35" i="91"/>
  <c r="AE36" i="91"/>
  <c r="AE37" i="91"/>
  <c r="AE38" i="91"/>
  <c r="AE39" i="91"/>
  <c r="AE40" i="91"/>
  <c r="AE41" i="91"/>
  <c r="AE42" i="91"/>
  <c r="AE43" i="91"/>
  <c r="AE44" i="91"/>
  <c r="AE45" i="91"/>
  <c r="AE46" i="91"/>
  <c r="AE47" i="91"/>
  <c r="AE48" i="91"/>
  <c r="AE49" i="91"/>
  <c r="AE50" i="91"/>
  <c r="AE51" i="91"/>
  <c r="AE52" i="91"/>
  <c r="AE53" i="91"/>
  <c r="AE54" i="91"/>
  <c r="AE55" i="91"/>
  <c r="AE5" i="91"/>
  <c r="AI6" i="91"/>
  <c r="AI7" i="91"/>
  <c r="AI8" i="91"/>
  <c r="AI9" i="91"/>
  <c r="AI10" i="91"/>
  <c r="AI11" i="91"/>
  <c r="AI12" i="91"/>
  <c r="AI13" i="91"/>
  <c r="AI14" i="91"/>
  <c r="AI15" i="91"/>
  <c r="AI16" i="91"/>
  <c r="AI17" i="91"/>
  <c r="AI18" i="91"/>
  <c r="AI19" i="91"/>
  <c r="AI20" i="91"/>
  <c r="AI21" i="91"/>
  <c r="AI22" i="91"/>
  <c r="AI23" i="91"/>
  <c r="AI24" i="91"/>
  <c r="AI25" i="91"/>
  <c r="AI26" i="91"/>
  <c r="AI27" i="91"/>
  <c r="AI28" i="91"/>
  <c r="AI29" i="91"/>
  <c r="AI30" i="91"/>
  <c r="AI31" i="91"/>
  <c r="AI32" i="91"/>
  <c r="AI33" i="91"/>
  <c r="AI34" i="91"/>
  <c r="AI35" i="91"/>
  <c r="AI36" i="91"/>
  <c r="AI37" i="91"/>
  <c r="AI38" i="91"/>
  <c r="AI39" i="91"/>
  <c r="AI40" i="91"/>
  <c r="AI41" i="91"/>
  <c r="AI42" i="91"/>
  <c r="AI43" i="91"/>
  <c r="AI44" i="91"/>
  <c r="AI45" i="91"/>
  <c r="AI46" i="91"/>
  <c r="AI47" i="91"/>
  <c r="AI48" i="91"/>
  <c r="AI49" i="91"/>
  <c r="AI50" i="91"/>
  <c r="AI51" i="91"/>
  <c r="AI52" i="91"/>
  <c r="AI53" i="91"/>
  <c r="AI54" i="91"/>
  <c r="AI55" i="91"/>
  <c r="AI5" i="91"/>
  <c r="AI56" i="91" l="1"/>
  <c r="AJ35" i="91" s="1"/>
  <c r="AJ19" i="91"/>
  <c r="AJ30" i="91"/>
  <c r="AJ37" i="91"/>
  <c r="AJ23" i="91"/>
  <c r="AJ39" i="91"/>
  <c r="AJ15" i="91"/>
  <c r="AE56" i="91"/>
  <c r="AF54" i="91" s="1"/>
  <c r="AG56" i="91"/>
  <c r="AH43" i="91" s="1"/>
  <c r="B20" i="104"/>
  <c r="B54" i="104"/>
  <c r="B6" i="104"/>
  <c r="B14" i="104"/>
  <c r="B18" i="104"/>
  <c r="B34" i="104"/>
  <c r="B50" i="104"/>
  <c r="B67" i="104"/>
  <c r="B63" i="104"/>
  <c r="B59" i="104"/>
  <c r="B55" i="104"/>
  <c r="B51" i="104"/>
  <c r="B47" i="104"/>
  <c r="B43" i="104"/>
  <c r="B39" i="104"/>
  <c r="B35" i="104"/>
  <c r="B31" i="104"/>
  <c r="B25" i="104"/>
  <c r="B21" i="104"/>
  <c r="B64" i="104"/>
  <c r="B60" i="104"/>
  <c r="B56" i="104"/>
  <c r="B52" i="104"/>
  <c r="B48" i="104"/>
  <c r="B44" i="104"/>
  <c r="B40" i="104"/>
  <c r="B36" i="104"/>
  <c r="B32" i="104"/>
  <c r="B22" i="104"/>
  <c r="B65" i="104"/>
  <c r="B61" i="104"/>
  <c r="B57" i="104"/>
  <c r="B53" i="104"/>
  <c r="B49" i="104"/>
  <c r="B45" i="104"/>
  <c r="B41" i="104"/>
  <c r="B37" i="104"/>
  <c r="B33" i="104"/>
  <c r="B29" i="104"/>
  <c r="B23" i="104"/>
  <c r="B16" i="104"/>
  <c r="B24" i="104"/>
  <c r="B42" i="104"/>
  <c r="B58" i="104"/>
  <c r="AJ50" i="91"/>
  <c r="AJ42" i="91"/>
  <c r="AJ34" i="91"/>
  <c r="AJ26" i="91"/>
  <c r="AJ18" i="91"/>
  <c r="AJ53" i="91"/>
  <c r="AJ21" i="91"/>
  <c r="AJ17" i="91"/>
  <c r="AJ13" i="91"/>
  <c r="AJ9" i="91"/>
  <c r="AJ5" i="91"/>
  <c r="AJ52" i="91"/>
  <c r="AJ24" i="91"/>
  <c r="AJ20" i="91"/>
  <c r="AJ16" i="91"/>
  <c r="AJ12" i="91"/>
  <c r="AJ8" i="91"/>
  <c r="AJ14" i="91"/>
  <c r="AJ31" i="91" l="1"/>
  <c r="AJ54" i="91"/>
  <c r="AJ7" i="91"/>
  <c r="AJ55" i="91"/>
  <c r="AJ43" i="91"/>
  <c r="AJ25" i="91"/>
  <c r="AJ38" i="91"/>
  <c r="AJ32" i="91"/>
  <c r="AJ36" i="91"/>
  <c r="AJ40" i="91"/>
  <c r="AJ41" i="91"/>
  <c r="AJ27" i="91"/>
  <c r="AJ46" i="91"/>
  <c r="AJ6" i="91"/>
  <c r="AJ44" i="91"/>
  <c r="AJ45" i="91"/>
  <c r="AJ22" i="91"/>
  <c r="AJ11" i="91"/>
  <c r="AJ28" i="91"/>
  <c r="AJ51" i="91"/>
  <c r="AJ29" i="91"/>
  <c r="AJ33" i="91"/>
  <c r="AJ10" i="91"/>
  <c r="AJ48" i="91"/>
  <c r="AJ49" i="91"/>
  <c r="AJ47" i="91"/>
  <c r="AH26" i="91"/>
  <c r="AH42" i="91"/>
  <c r="AH17" i="91"/>
  <c r="AH37" i="91"/>
  <c r="AH8" i="91"/>
  <c r="AH15" i="91"/>
  <c r="AH16" i="91"/>
  <c r="AH31" i="91"/>
  <c r="AH20" i="91"/>
  <c r="AH50" i="91"/>
  <c r="AH28" i="91"/>
  <c r="AH29" i="91"/>
  <c r="AH36" i="91"/>
  <c r="AH51" i="91"/>
  <c r="AH44" i="91"/>
  <c r="AH52" i="91"/>
  <c r="AF35" i="91"/>
  <c r="AF19" i="91"/>
  <c r="AF40" i="91"/>
  <c r="AF14" i="91"/>
  <c r="AH12" i="91"/>
  <c r="AH32" i="91"/>
  <c r="AH48" i="91"/>
  <c r="AH6" i="91"/>
  <c r="AH30" i="91"/>
  <c r="AH46" i="91"/>
  <c r="AH21" i="91"/>
  <c r="AH41" i="91"/>
  <c r="AF29" i="91"/>
  <c r="AF50" i="91"/>
  <c r="AH19" i="91"/>
  <c r="AH39" i="91"/>
  <c r="AF43" i="91"/>
  <c r="AF34" i="91"/>
  <c r="AF7" i="91"/>
  <c r="AF23" i="91"/>
  <c r="AF47" i="91"/>
  <c r="AF21" i="91"/>
  <c r="AH53" i="91"/>
  <c r="AF46" i="91"/>
  <c r="AF8" i="91"/>
  <c r="AF28" i="91"/>
  <c r="AF44" i="91"/>
  <c r="AF17" i="91"/>
  <c r="AH13" i="91"/>
  <c r="AF26" i="91"/>
  <c r="AF13" i="91"/>
  <c r="AF22" i="91"/>
  <c r="AF39" i="91"/>
  <c r="AF20" i="91"/>
  <c r="AF41" i="91"/>
  <c r="AH14" i="91"/>
  <c r="AH34" i="91"/>
  <c r="AH54" i="91"/>
  <c r="AH25" i="91"/>
  <c r="AH45" i="91"/>
  <c r="AF49" i="91"/>
  <c r="AH7" i="91"/>
  <c r="AH23" i="91"/>
  <c r="AH47" i="91"/>
  <c r="AF51" i="91"/>
  <c r="AH10" i="91"/>
  <c r="AF11" i="91"/>
  <c r="AF27" i="91"/>
  <c r="AF55" i="91"/>
  <c r="AF33" i="91"/>
  <c r="AF18" i="91"/>
  <c r="AH35" i="91"/>
  <c r="AF12" i="91"/>
  <c r="AF32" i="91"/>
  <c r="AF48" i="91"/>
  <c r="AF25" i="91"/>
  <c r="AH49" i="91"/>
  <c r="AF42" i="91"/>
  <c r="AF52" i="91"/>
  <c r="AF9" i="91"/>
  <c r="AF38" i="91"/>
  <c r="AH40" i="91"/>
  <c r="AF24" i="91"/>
  <c r="AH18" i="91"/>
  <c r="AH38" i="91"/>
  <c r="AH9" i="91"/>
  <c r="AH33" i="91"/>
  <c r="AH5" i="91"/>
  <c r="AF53" i="91"/>
  <c r="AH11" i="91"/>
  <c r="AH27" i="91"/>
  <c r="AH55" i="91"/>
  <c r="AF10" i="91"/>
  <c r="AH22" i="91"/>
  <c r="AF15" i="91"/>
  <c r="AF31" i="91"/>
  <c r="AH24" i="91"/>
  <c r="AF45" i="91"/>
  <c r="AF30" i="91"/>
  <c r="AF16" i="91"/>
  <c r="AF36" i="91"/>
  <c r="AF5" i="91"/>
  <c r="AF37" i="91"/>
  <c r="AF6" i="91"/>
  <c r="B68" i="104"/>
  <c r="B26" i="104"/>
  <c r="AJ56" i="91" l="1"/>
  <c r="B69" i="104"/>
  <c r="AF56" i="91"/>
  <c r="AH56" i="91"/>
  <c r="E7" i="103" l="1"/>
  <c r="D6" i="103"/>
  <c r="E6" i="103" s="1"/>
  <c r="D5" i="103"/>
  <c r="E5" i="103" s="1"/>
  <c r="D4" i="103"/>
  <c r="E4" i="103" s="1"/>
  <c r="D3" i="103"/>
  <c r="E3" i="103" l="1"/>
  <c r="E13" i="103" s="1"/>
  <c r="D13" i="103"/>
  <c r="L5" i="98"/>
  <c r="I5" i="98" s="1"/>
  <c r="E5" i="98"/>
  <c r="S5" i="98"/>
  <c r="R5" i="98" s="1"/>
  <c r="J12" i="98"/>
  <c r="K12" i="98"/>
  <c r="J15" i="98"/>
  <c r="K15" i="98"/>
  <c r="J24" i="98"/>
  <c r="K24" i="98"/>
  <c r="J26" i="98"/>
  <c r="K26" i="98"/>
  <c r="J31" i="98"/>
  <c r="K31" i="98"/>
  <c r="J37" i="98"/>
  <c r="K37" i="98"/>
  <c r="J45" i="98"/>
  <c r="K45" i="98"/>
  <c r="J51" i="98"/>
  <c r="K51" i="98"/>
  <c r="J52" i="98"/>
  <c r="K52" i="98"/>
  <c r="J53" i="98"/>
  <c r="K53" i="98"/>
  <c r="J54" i="98"/>
  <c r="K54" i="98"/>
  <c r="J55" i="98"/>
  <c r="K55" i="98"/>
  <c r="R8" i="98"/>
  <c r="R9" i="98"/>
  <c r="R10" i="98"/>
  <c r="R11" i="98"/>
  <c r="R13" i="98"/>
  <c r="R14" i="98"/>
  <c r="R17" i="98"/>
  <c r="R18" i="98"/>
  <c r="R20" i="98"/>
  <c r="R21" i="98"/>
  <c r="R22" i="98"/>
  <c r="R23" i="98"/>
  <c r="R25" i="98"/>
  <c r="R27" i="98"/>
  <c r="R28" i="98"/>
  <c r="R29" i="98"/>
  <c r="R31" i="98"/>
  <c r="R32" i="98"/>
  <c r="R33" i="98"/>
  <c r="R34" i="98"/>
  <c r="R35" i="98"/>
  <c r="R36" i="98"/>
  <c r="R38" i="98"/>
  <c r="R39" i="98"/>
  <c r="R40" i="98"/>
  <c r="R41" i="98"/>
  <c r="R42" i="98"/>
  <c r="R43" i="98"/>
  <c r="R44" i="98"/>
  <c r="R45" i="98"/>
  <c r="R46" i="98"/>
  <c r="R48" i="98"/>
  <c r="R49" i="98"/>
  <c r="R50" i="98"/>
  <c r="R52" i="98"/>
  <c r="R53" i="98"/>
  <c r="R56" i="98"/>
  <c r="R57" i="98"/>
  <c r="R7" i="98"/>
  <c r="Q8" i="98"/>
  <c r="Q9" i="98"/>
  <c r="Q10" i="98"/>
  <c r="Q11" i="98"/>
  <c r="Q13" i="98"/>
  <c r="Q14" i="98"/>
  <c r="Q17" i="98"/>
  <c r="Q18" i="98"/>
  <c r="Q20" i="98"/>
  <c r="Q21" i="98"/>
  <c r="Q22" i="98"/>
  <c r="Q23" i="98"/>
  <c r="Q25" i="98"/>
  <c r="Q27" i="98"/>
  <c r="Q28" i="98"/>
  <c r="Q29" i="98"/>
  <c r="Q31" i="98"/>
  <c r="Q32" i="98"/>
  <c r="Q33" i="98"/>
  <c r="Q34" i="98"/>
  <c r="Q35" i="98"/>
  <c r="Q36" i="98"/>
  <c r="Q38" i="98"/>
  <c r="Q39" i="98"/>
  <c r="Q40" i="98"/>
  <c r="Q41" i="98"/>
  <c r="Q42" i="98"/>
  <c r="Q43" i="98"/>
  <c r="Q44" i="98"/>
  <c r="Q45" i="98"/>
  <c r="Q46" i="98"/>
  <c r="Q48" i="98"/>
  <c r="Q49" i="98"/>
  <c r="Q50" i="98"/>
  <c r="Q52" i="98"/>
  <c r="Q53" i="98"/>
  <c r="Q56" i="98"/>
  <c r="Q57" i="98"/>
  <c r="Q7" i="98"/>
  <c r="I12" i="98"/>
  <c r="I15" i="98"/>
  <c r="I24" i="98"/>
  <c r="I26" i="98"/>
  <c r="I31" i="98"/>
  <c r="I37" i="98"/>
  <c r="I45" i="98"/>
  <c r="I51" i="98"/>
  <c r="I52" i="98"/>
  <c r="I53" i="98"/>
  <c r="I54" i="98"/>
  <c r="I55" i="98"/>
  <c r="P8" i="98"/>
  <c r="P9" i="98"/>
  <c r="P10" i="98"/>
  <c r="P11" i="98"/>
  <c r="P13" i="98"/>
  <c r="P14" i="98"/>
  <c r="P17" i="98"/>
  <c r="P18" i="98"/>
  <c r="P20" i="98"/>
  <c r="P21" i="98"/>
  <c r="P22" i="98"/>
  <c r="P23" i="98"/>
  <c r="P25" i="98"/>
  <c r="P27" i="98"/>
  <c r="P28" i="98"/>
  <c r="P29" i="98"/>
  <c r="P31" i="98"/>
  <c r="P32" i="98"/>
  <c r="P33" i="98"/>
  <c r="P34" i="98"/>
  <c r="P35" i="98"/>
  <c r="P36" i="98"/>
  <c r="P38" i="98"/>
  <c r="P39" i="98"/>
  <c r="P40" i="98"/>
  <c r="P41" i="98"/>
  <c r="P42" i="98"/>
  <c r="P43" i="98"/>
  <c r="P44" i="98"/>
  <c r="P45" i="98"/>
  <c r="P46" i="98"/>
  <c r="P48" i="98"/>
  <c r="P49" i="98"/>
  <c r="P50" i="98"/>
  <c r="P52" i="98"/>
  <c r="P53" i="98"/>
  <c r="P56" i="98"/>
  <c r="P57" i="98"/>
  <c r="P7" i="98"/>
  <c r="B8" i="98"/>
  <c r="C8" i="98"/>
  <c r="D8" i="98"/>
  <c r="B9" i="98"/>
  <c r="C9" i="98"/>
  <c r="D9" i="98"/>
  <c r="B10" i="98"/>
  <c r="C10" i="98"/>
  <c r="D10" i="98"/>
  <c r="B11" i="98"/>
  <c r="C11" i="98"/>
  <c r="D11" i="98"/>
  <c r="B13" i="98"/>
  <c r="C13" i="98"/>
  <c r="D13" i="98"/>
  <c r="B14" i="98"/>
  <c r="C14" i="98"/>
  <c r="D14" i="98"/>
  <c r="B16" i="98"/>
  <c r="C16" i="98"/>
  <c r="D16" i="98"/>
  <c r="B17" i="98"/>
  <c r="C17" i="98"/>
  <c r="D17" i="98"/>
  <c r="B18" i="98"/>
  <c r="C18" i="98"/>
  <c r="D18" i="98"/>
  <c r="B19" i="98"/>
  <c r="C19" i="98"/>
  <c r="D19" i="98"/>
  <c r="B20" i="98"/>
  <c r="C20" i="98"/>
  <c r="D20" i="98"/>
  <c r="B21" i="98"/>
  <c r="C21" i="98"/>
  <c r="D21" i="98"/>
  <c r="B22" i="98"/>
  <c r="C22" i="98"/>
  <c r="D22" i="98"/>
  <c r="B23" i="98"/>
  <c r="C23" i="98"/>
  <c r="D23" i="98"/>
  <c r="B25" i="98"/>
  <c r="C25" i="98"/>
  <c r="D25" i="98"/>
  <c r="B27" i="98"/>
  <c r="C27" i="98"/>
  <c r="D27" i="98"/>
  <c r="B28" i="98"/>
  <c r="C28" i="98"/>
  <c r="D28" i="98"/>
  <c r="B29" i="98"/>
  <c r="C29" i="98"/>
  <c r="D29" i="98"/>
  <c r="B30" i="98"/>
  <c r="C30" i="98"/>
  <c r="D30" i="98"/>
  <c r="B32" i="98"/>
  <c r="C32" i="98"/>
  <c r="D32" i="98"/>
  <c r="B33" i="98"/>
  <c r="C33" i="98"/>
  <c r="D33" i="98"/>
  <c r="B34" i="98"/>
  <c r="C34" i="98"/>
  <c r="D34" i="98"/>
  <c r="B35" i="98"/>
  <c r="C35" i="98"/>
  <c r="D35" i="98"/>
  <c r="B36" i="98"/>
  <c r="C36" i="98"/>
  <c r="D36" i="98"/>
  <c r="B38" i="98"/>
  <c r="C38" i="98"/>
  <c r="D38" i="98"/>
  <c r="B39" i="98"/>
  <c r="C39" i="98"/>
  <c r="D39" i="98"/>
  <c r="B40" i="98"/>
  <c r="C40" i="98"/>
  <c r="D40" i="98"/>
  <c r="B41" i="98"/>
  <c r="C41" i="98"/>
  <c r="D41" i="98"/>
  <c r="B42" i="98"/>
  <c r="C42" i="98"/>
  <c r="D42" i="98"/>
  <c r="B43" i="98"/>
  <c r="C43" i="98"/>
  <c r="D43" i="98"/>
  <c r="B44" i="98"/>
  <c r="C44" i="98"/>
  <c r="D44" i="98"/>
  <c r="B46" i="98"/>
  <c r="C46" i="98"/>
  <c r="D46" i="98"/>
  <c r="B47" i="98"/>
  <c r="C47" i="98"/>
  <c r="D47" i="98"/>
  <c r="B48" i="98"/>
  <c r="C48" i="98"/>
  <c r="D48" i="98"/>
  <c r="B49" i="98"/>
  <c r="C49" i="98"/>
  <c r="D49" i="98"/>
  <c r="B50" i="98"/>
  <c r="C50" i="98"/>
  <c r="D50" i="98"/>
  <c r="B56" i="98"/>
  <c r="C56" i="98"/>
  <c r="D56" i="98"/>
  <c r="B57" i="98"/>
  <c r="C57" i="98"/>
  <c r="D57" i="98"/>
  <c r="D7" i="98"/>
  <c r="C7" i="98"/>
  <c r="B7" i="98"/>
  <c r="Y6" i="91"/>
  <c r="Y7" i="91"/>
  <c r="Y8" i="91"/>
  <c r="Y9" i="91"/>
  <c r="Y10" i="91"/>
  <c r="Y11" i="91"/>
  <c r="Y12" i="91"/>
  <c r="Y13" i="91"/>
  <c r="Y14" i="91"/>
  <c r="Y15" i="91"/>
  <c r="Y16" i="91"/>
  <c r="Y17" i="91"/>
  <c r="Y18" i="91"/>
  <c r="Y19" i="91"/>
  <c r="Y20" i="91"/>
  <c r="Y21" i="91"/>
  <c r="Y22" i="91"/>
  <c r="Y23" i="91"/>
  <c r="Y24" i="91"/>
  <c r="Y25" i="91"/>
  <c r="Y26" i="91"/>
  <c r="Y27" i="91"/>
  <c r="Y28" i="91"/>
  <c r="Y29" i="91"/>
  <c r="Y30" i="91"/>
  <c r="Y31" i="91"/>
  <c r="Y32" i="91"/>
  <c r="Y33" i="91"/>
  <c r="Y34" i="91"/>
  <c r="Y35" i="91"/>
  <c r="Y36" i="91"/>
  <c r="Y37" i="91"/>
  <c r="Y38" i="91"/>
  <c r="Y39" i="91"/>
  <c r="Y40" i="91"/>
  <c r="Y41" i="91"/>
  <c r="Y42" i="91"/>
  <c r="Y43" i="91"/>
  <c r="Y44" i="91"/>
  <c r="Y45" i="91"/>
  <c r="Y46" i="91"/>
  <c r="Y47" i="91"/>
  <c r="Y48" i="91"/>
  <c r="Y49" i="91"/>
  <c r="Y50" i="91"/>
  <c r="Y51" i="91"/>
  <c r="Y52" i="91"/>
  <c r="Y53" i="91"/>
  <c r="Y54" i="91"/>
  <c r="Y55" i="91"/>
  <c r="E56" i="91"/>
  <c r="F56" i="91"/>
  <c r="G56" i="91"/>
  <c r="X56" i="91"/>
  <c r="Q5" i="98" l="1"/>
  <c r="B39" i="103"/>
  <c r="B41" i="103" s="1"/>
  <c r="B44" i="103" s="1"/>
  <c r="B46" i="103" s="1"/>
  <c r="B34" i="103"/>
  <c r="B36" i="103" s="1"/>
  <c r="B29" i="103"/>
  <c r="B31" i="103" s="1"/>
  <c r="S41" i="98"/>
  <c r="S21" i="98"/>
  <c r="B18" i="103"/>
  <c r="B20" i="103" s="1"/>
  <c r="S49" i="98"/>
  <c r="S44" i="98"/>
  <c r="S40" i="98"/>
  <c r="S35" i="98"/>
  <c r="S31" i="98"/>
  <c r="S25" i="98"/>
  <c r="S33" i="98"/>
  <c r="S43" i="98"/>
  <c r="P5" i="98"/>
  <c r="J5" i="98"/>
  <c r="K5" i="98"/>
  <c r="S39" i="98"/>
  <c r="S28" i="98"/>
  <c r="S17" i="98"/>
  <c r="S48" i="98"/>
  <c r="S23" i="98"/>
  <c r="S45" i="98"/>
  <c r="S27" i="98"/>
  <c r="S57" i="98"/>
  <c r="S36" i="98"/>
  <c r="S32" i="98"/>
  <c r="S29" i="98"/>
  <c r="S56" i="98"/>
  <c r="S8" i="98"/>
  <c r="S52" i="98"/>
  <c r="S53" i="98"/>
  <c r="S50" i="98"/>
  <c r="S10" i="98"/>
  <c r="S46" i="98"/>
  <c r="S42" i="98"/>
  <c r="S38" i="98"/>
  <c r="S34" i="98"/>
  <c r="S14" i="98"/>
  <c r="S13" i="98"/>
  <c r="S20" i="98"/>
  <c r="S18" i="98"/>
  <c r="S11" i="98"/>
  <c r="S9" i="98"/>
  <c r="S22" i="98"/>
  <c r="S7" i="98"/>
  <c r="B23" i="107" l="1"/>
  <c r="B27" i="105"/>
  <c r="B28" i="105" s="1"/>
  <c r="B9" i="105"/>
  <c r="B10" i="105" s="1"/>
  <c r="B23" i="103"/>
  <c r="B25" i="103" s="1"/>
  <c r="B5" i="98"/>
  <c r="C5" i="98"/>
  <c r="D5" i="98"/>
  <c r="F4" i="104" l="1"/>
  <c r="B7" i="104"/>
  <c r="B62" i="110"/>
  <c r="B63" i="110"/>
  <c r="B8" i="107"/>
  <c r="B12" i="107"/>
  <c r="B16" i="107"/>
  <c r="B13" i="107"/>
  <c r="B10" i="107"/>
  <c r="B14" i="107"/>
  <c r="B6" i="107"/>
  <c r="B7" i="107"/>
  <c r="B15" i="107"/>
  <c r="B9" i="107"/>
  <c r="B11" i="107"/>
  <c r="B17" i="107"/>
  <c r="B32" i="105"/>
  <c r="B36" i="105"/>
  <c r="B40" i="105"/>
  <c r="B44" i="105"/>
  <c r="B48" i="105"/>
  <c r="B52" i="105"/>
  <c r="B56" i="105"/>
  <c r="B60" i="105"/>
  <c r="B64" i="105"/>
  <c r="B68" i="105"/>
  <c r="B66" i="105"/>
  <c r="B33" i="105"/>
  <c r="B37" i="105"/>
  <c r="B41" i="105"/>
  <c r="B45" i="105"/>
  <c r="B49" i="105"/>
  <c r="B53" i="105"/>
  <c r="B57" i="105"/>
  <c r="B61" i="105"/>
  <c r="B65" i="105"/>
  <c r="B69" i="105"/>
  <c r="B58" i="105"/>
  <c r="B34" i="105"/>
  <c r="B38" i="105"/>
  <c r="B42" i="105"/>
  <c r="B46" i="105"/>
  <c r="B50" i="105"/>
  <c r="B62" i="105"/>
  <c r="B35" i="105"/>
  <c r="B39" i="105"/>
  <c r="B43" i="105"/>
  <c r="B47" i="105"/>
  <c r="B51" i="105"/>
  <c r="B55" i="105"/>
  <c r="B59" i="105"/>
  <c r="B63" i="105"/>
  <c r="B67" i="105"/>
  <c r="B54" i="105"/>
  <c r="B31" i="105"/>
  <c r="B14" i="105"/>
  <c r="B18" i="105"/>
  <c r="B22" i="105"/>
  <c r="B15" i="105"/>
  <c r="B19" i="105"/>
  <c r="B23" i="105"/>
  <c r="B16" i="105"/>
  <c r="B20" i="105"/>
  <c r="B13" i="105"/>
  <c r="B17" i="105"/>
  <c r="B21" i="105"/>
  <c r="B24" i="105"/>
  <c r="B9" i="104" l="1"/>
  <c r="B8" i="104"/>
  <c r="B70" i="105"/>
  <c r="B29" i="105" s="1"/>
  <c r="B18" i="107"/>
  <c r="I5" i="91"/>
  <c r="W56" i="91"/>
  <c r="V56" i="91"/>
  <c r="J5" i="9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42" i="91"/>
  <c r="J43" i="91"/>
  <c r="J44" i="91"/>
  <c r="J45" i="91"/>
  <c r="J46" i="91"/>
  <c r="J47" i="91"/>
  <c r="J48" i="91"/>
  <c r="J49" i="91"/>
  <c r="J50" i="91"/>
  <c r="J51" i="91"/>
  <c r="J52" i="91"/>
  <c r="J53" i="91"/>
  <c r="J54" i="91"/>
  <c r="J55" i="91"/>
  <c r="H56" i="91"/>
  <c r="C24" i="104" l="1"/>
  <c r="C25" i="104"/>
  <c r="C14" i="104"/>
  <c r="C21" i="104"/>
  <c r="C15" i="104"/>
  <c r="C17" i="104"/>
  <c r="C16" i="104"/>
  <c r="C18" i="104"/>
  <c r="C19" i="104"/>
  <c r="C20" i="104"/>
  <c r="C22" i="104"/>
  <c r="C23" i="104"/>
  <c r="C41" i="104"/>
  <c r="C53" i="104"/>
  <c r="I53" i="104" s="1"/>
  <c r="C65" i="104"/>
  <c r="C30" i="104"/>
  <c r="C42" i="104"/>
  <c r="C54" i="104"/>
  <c r="C66" i="104"/>
  <c r="I66" i="104" s="1"/>
  <c r="C31" i="104"/>
  <c r="I31" i="104" s="1"/>
  <c r="C43" i="104"/>
  <c r="I43" i="104" s="1"/>
  <c r="C55" i="104"/>
  <c r="I55" i="104" s="1"/>
  <c r="C67" i="104"/>
  <c r="I67" i="104" s="1"/>
  <c r="C32" i="104"/>
  <c r="I32" i="104" s="1"/>
  <c r="C44" i="104"/>
  <c r="I44" i="104" s="1"/>
  <c r="C56" i="104"/>
  <c r="I56" i="104" s="1"/>
  <c r="C29" i="104"/>
  <c r="C33" i="104"/>
  <c r="C45" i="104"/>
  <c r="C57" i="104"/>
  <c r="I57" i="104" s="1"/>
  <c r="C59" i="104"/>
  <c r="I59" i="104" s="1"/>
  <c r="C51" i="104"/>
  <c r="I51" i="104" s="1"/>
  <c r="C34" i="104"/>
  <c r="I34" i="104" s="1"/>
  <c r="C46" i="104"/>
  <c r="I46" i="104" s="1"/>
  <c r="C58" i="104"/>
  <c r="I58" i="104" s="1"/>
  <c r="C35" i="104"/>
  <c r="I35" i="104" s="1"/>
  <c r="C47" i="104"/>
  <c r="C36" i="104"/>
  <c r="C48" i="104"/>
  <c r="C60" i="104"/>
  <c r="I60" i="104" s="1"/>
  <c r="C37" i="104"/>
  <c r="C49" i="104"/>
  <c r="I49" i="104" s="1"/>
  <c r="C61" i="104"/>
  <c r="I61" i="104" s="1"/>
  <c r="C52" i="104"/>
  <c r="I52" i="104" s="1"/>
  <c r="C39" i="104"/>
  <c r="C63" i="104"/>
  <c r="I63" i="104" s="1"/>
  <c r="C40" i="104"/>
  <c r="I40" i="104" s="1"/>
  <c r="C64" i="104"/>
  <c r="I64" i="104" s="1"/>
  <c r="C38" i="104"/>
  <c r="I38" i="104" s="1"/>
  <c r="C50" i="104"/>
  <c r="I50" i="104" s="1"/>
  <c r="C62" i="104"/>
  <c r="I41" i="104"/>
  <c r="I65" i="104"/>
  <c r="I33" i="104"/>
  <c r="I47" i="104"/>
  <c r="I37" i="104"/>
  <c r="I45" i="104"/>
  <c r="I30" i="104"/>
  <c r="I42" i="104"/>
  <c r="I54" i="104"/>
  <c r="I29" i="104"/>
  <c r="B24" i="107"/>
  <c r="B25" i="107"/>
  <c r="AA9" i="91"/>
  <c r="AA13" i="91"/>
  <c r="AA17" i="91"/>
  <c r="AA21" i="91"/>
  <c r="AA25" i="91"/>
  <c r="AA29" i="91"/>
  <c r="AA33" i="91"/>
  <c r="AA37" i="91"/>
  <c r="AA41" i="91"/>
  <c r="AA45" i="91"/>
  <c r="AA49" i="91"/>
  <c r="AA53" i="91"/>
  <c r="AA6" i="91"/>
  <c r="AA10" i="91"/>
  <c r="AA14" i="91"/>
  <c r="AA18" i="91"/>
  <c r="AA22" i="91"/>
  <c r="AA26" i="91"/>
  <c r="AA30" i="91"/>
  <c r="AA34" i="91"/>
  <c r="AA38" i="91"/>
  <c r="AA42" i="91"/>
  <c r="AA46" i="91"/>
  <c r="AA50" i="91"/>
  <c r="AA54" i="91"/>
  <c r="AA7" i="91"/>
  <c r="AA11" i="91"/>
  <c r="AA15" i="91"/>
  <c r="AA19" i="91"/>
  <c r="AA23" i="91"/>
  <c r="AA27" i="91"/>
  <c r="AA31" i="91"/>
  <c r="AA35" i="91"/>
  <c r="AA39" i="91"/>
  <c r="AA43" i="91"/>
  <c r="AA47" i="91"/>
  <c r="AA51" i="91"/>
  <c r="AA55" i="91"/>
  <c r="AA8" i="91"/>
  <c r="AA12" i="91"/>
  <c r="AA16" i="91"/>
  <c r="AA20" i="91"/>
  <c r="AA24" i="91"/>
  <c r="AA28" i="91"/>
  <c r="AA32" i="91"/>
  <c r="AA36" i="91"/>
  <c r="AA40" i="91"/>
  <c r="AA44" i="91"/>
  <c r="AA48" i="91"/>
  <c r="AA52" i="91"/>
  <c r="AA5" i="91"/>
  <c r="AB8" i="91"/>
  <c r="AB12" i="91"/>
  <c r="AB16" i="91"/>
  <c r="AB20" i="91"/>
  <c r="AB24" i="91"/>
  <c r="AB28" i="91"/>
  <c r="AB32" i="91"/>
  <c r="AB36" i="91"/>
  <c r="AB40" i="91"/>
  <c r="AB44" i="91"/>
  <c r="AB48" i="91"/>
  <c r="AB52" i="91"/>
  <c r="AB5" i="91"/>
  <c r="AB9" i="91"/>
  <c r="AB13" i="91"/>
  <c r="AB17" i="91"/>
  <c r="AB21" i="91"/>
  <c r="AB25" i="91"/>
  <c r="AB29" i="91"/>
  <c r="AB33" i="91"/>
  <c r="AB37" i="91"/>
  <c r="AB41" i="91"/>
  <c r="AB45" i="91"/>
  <c r="AB49" i="91"/>
  <c r="AB53" i="91"/>
  <c r="AB6" i="91"/>
  <c r="AB10" i="91"/>
  <c r="AB14" i="91"/>
  <c r="AB18" i="91"/>
  <c r="AB22" i="91"/>
  <c r="AB26" i="91"/>
  <c r="AB30" i="91"/>
  <c r="AB34" i="91"/>
  <c r="AB38" i="91"/>
  <c r="AB42" i="91"/>
  <c r="AB46" i="91"/>
  <c r="AB50" i="91"/>
  <c r="AB54" i="91"/>
  <c r="AB7" i="91"/>
  <c r="AB11" i="91"/>
  <c r="AB15" i="91"/>
  <c r="AB19" i="91"/>
  <c r="AB23" i="91"/>
  <c r="AB27" i="91"/>
  <c r="AB31" i="91"/>
  <c r="AB35" i="91"/>
  <c r="AB39" i="91"/>
  <c r="AB43" i="91"/>
  <c r="AB47" i="91"/>
  <c r="AB51" i="91"/>
  <c r="AB55" i="91"/>
  <c r="J56" i="91"/>
  <c r="I56" i="91"/>
  <c r="Y56" i="91"/>
  <c r="Z43" i="91" s="1"/>
  <c r="C16" i="107" l="1"/>
  <c r="C17" i="107"/>
  <c r="C6" i="107"/>
  <c r="C15" i="107"/>
  <c r="C7" i="107"/>
  <c r="C9" i="107"/>
  <c r="C13" i="107"/>
  <c r="C8" i="107"/>
  <c r="C10" i="107"/>
  <c r="C11" i="107"/>
  <c r="C12" i="107"/>
  <c r="C14" i="107"/>
  <c r="AC41" i="91"/>
  <c r="M41" i="104"/>
  <c r="M43" i="104"/>
  <c r="AC19" i="91"/>
  <c r="M63" i="104"/>
  <c r="M24" i="104"/>
  <c r="M35" i="104"/>
  <c r="M64" i="104"/>
  <c r="M45" i="104"/>
  <c r="M30" i="104"/>
  <c r="M28" i="104"/>
  <c r="M40" i="104"/>
  <c r="M47" i="104"/>
  <c r="M20" i="104"/>
  <c r="M18" i="104"/>
  <c r="M49" i="104"/>
  <c r="M42" i="104"/>
  <c r="M36" i="104"/>
  <c r="M29" i="104"/>
  <c r="M57" i="104"/>
  <c r="M27" i="104"/>
  <c r="M34" i="104"/>
  <c r="M55" i="104"/>
  <c r="M32" i="104"/>
  <c r="M14" i="104"/>
  <c r="M56" i="104"/>
  <c r="M16" i="104"/>
  <c r="M46" i="104"/>
  <c r="M17" i="104"/>
  <c r="M51" i="104"/>
  <c r="M53" i="104"/>
  <c r="M50" i="104"/>
  <c r="M48" i="104"/>
  <c r="M21" i="104"/>
  <c r="M15" i="104"/>
  <c r="M39" i="104"/>
  <c r="M25" i="104"/>
  <c r="AC37" i="91"/>
  <c r="J39" i="98" s="1"/>
  <c r="J21" i="98"/>
  <c r="AC10" i="91"/>
  <c r="Q12" i="98" s="1"/>
  <c r="J43" i="98"/>
  <c r="AC49" i="91"/>
  <c r="B45" i="98"/>
  <c r="W45" i="98" s="1"/>
  <c r="Z45" i="98" s="1"/>
  <c r="AC44" i="91"/>
  <c r="AC12" i="91"/>
  <c r="AC16" i="91"/>
  <c r="AC30" i="91"/>
  <c r="AC40" i="91"/>
  <c r="AC47" i="91"/>
  <c r="AC23" i="91"/>
  <c r="AC25" i="91"/>
  <c r="AC9" i="91"/>
  <c r="AC31" i="91"/>
  <c r="AC51" i="91"/>
  <c r="AC17" i="91"/>
  <c r="AC48" i="91"/>
  <c r="AC53" i="91"/>
  <c r="AC45" i="91"/>
  <c r="AC29" i="91"/>
  <c r="AC21" i="91"/>
  <c r="AC13" i="91"/>
  <c r="AC8" i="91"/>
  <c r="AC24" i="91"/>
  <c r="AC18" i="91"/>
  <c r="AC39" i="91"/>
  <c r="AC54" i="91"/>
  <c r="AC38" i="91"/>
  <c r="AC22" i="91"/>
  <c r="AC50" i="91"/>
  <c r="AC34" i="91"/>
  <c r="AC33" i="91"/>
  <c r="AC42" i="91"/>
  <c r="AC26" i="91"/>
  <c r="Z28" i="91"/>
  <c r="AC32" i="91"/>
  <c r="AC6" i="91"/>
  <c r="AC55" i="91"/>
  <c r="AC15" i="91"/>
  <c r="Z16" i="91"/>
  <c r="AA56" i="91"/>
  <c r="AB56" i="91"/>
  <c r="Z40" i="91"/>
  <c r="Z8" i="91"/>
  <c r="Z48" i="91"/>
  <c r="Z30" i="91"/>
  <c r="Z13" i="91"/>
  <c r="Z29" i="91"/>
  <c r="Z45" i="91"/>
  <c r="Z18" i="91"/>
  <c r="Z15" i="91"/>
  <c r="Z47" i="91"/>
  <c r="AC43" i="91"/>
  <c r="AC27" i="91"/>
  <c r="AC11" i="91"/>
  <c r="Z12" i="91"/>
  <c r="Z24" i="91"/>
  <c r="Z32" i="91"/>
  <c r="Z44" i="91"/>
  <c r="Z5" i="91"/>
  <c r="Z50" i="91"/>
  <c r="Z21" i="91"/>
  <c r="Z37" i="91"/>
  <c r="Z53" i="91"/>
  <c r="Z46" i="91"/>
  <c r="Z31" i="91"/>
  <c r="AC52" i="91"/>
  <c r="AC46" i="91"/>
  <c r="AC36" i="91"/>
  <c r="AC28" i="91"/>
  <c r="AC20" i="91"/>
  <c r="AC14" i="91"/>
  <c r="AC5" i="91"/>
  <c r="AC35" i="91"/>
  <c r="AC7" i="91"/>
  <c r="Z22" i="91"/>
  <c r="Z9" i="91"/>
  <c r="Z25" i="91"/>
  <c r="Z41" i="91"/>
  <c r="Z6" i="91"/>
  <c r="Z26" i="91"/>
  <c r="Z54" i="91"/>
  <c r="Z19" i="91"/>
  <c r="Z35" i="91"/>
  <c r="Z51" i="91"/>
  <c r="Z10" i="91"/>
  <c r="Z34" i="91"/>
  <c r="Z7" i="91"/>
  <c r="Z23" i="91"/>
  <c r="Z39" i="91"/>
  <c r="Z55" i="91"/>
  <c r="Z20" i="91"/>
  <c r="Z36" i="91"/>
  <c r="Z52" i="91"/>
  <c r="Z42" i="91"/>
  <c r="Z17" i="91"/>
  <c r="Z33" i="91"/>
  <c r="Z49" i="91"/>
  <c r="Z14" i="91"/>
  <c r="Z38" i="91"/>
  <c r="Z11" i="91"/>
  <c r="Z27" i="91"/>
  <c r="C12" i="98" l="1"/>
  <c r="J7" i="98"/>
  <c r="J42" i="98"/>
  <c r="J9" i="98"/>
  <c r="Q16" i="98"/>
  <c r="J16" i="98"/>
  <c r="J48" i="98"/>
  <c r="J34" i="98"/>
  <c r="J35" i="98"/>
  <c r="J40" i="98"/>
  <c r="Q19" i="98"/>
  <c r="J19" i="98"/>
  <c r="J27" i="98"/>
  <c r="J32" i="98"/>
  <c r="J44" i="98"/>
  <c r="J20" i="98"/>
  <c r="J23" i="98"/>
  <c r="J11" i="98"/>
  <c r="J46" i="98"/>
  <c r="J22" i="98"/>
  <c r="J13" i="98"/>
  <c r="J17" i="98"/>
  <c r="J36" i="98"/>
  <c r="J56" i="98"/>
  <c r="J10" i="98"/>
  <c r="Q47" i="98"/>
  <c r="J47" i="98"/>
  <c r="J25" i="98"/>
  <c r="J18" i="98"/>
  <c r="J38" i="98"/>
  <c r="J8" i="98"/>
  <c r="J50" i="98"/>
  <c r="Q30" i="98"/>
  <c r="J30" i="98"/>
  <c r="J29" i="98"/>
  <c r="J57" i="98"/>
  <c r="J28" i="98"/>
  <c r="J41" i="98"/>
  <c r="J33" i="98"/>
  <c r="J49" i="98"/>
  <c r="J14" i="98"/>
  <c r="I57" i="98"/>
  <c r="W57" i="98" s="1"/>
  <c r="Z57" i="98" s="1"/>
  <c r="I28" i="98"/>
  <c r="W28" i="98" s="1"/>
  <c r="Z28" i="98" s="1"/>
  <c r="I11" i="98"/>
  <c r="W11" i="98" s="1"/>
  <c r="Z11" i="98" s="1"/>
  <c r="I32" i="98"/>
  <c r="W32" i="98" s="1"/>
  <c r="Z32" i="98" s="1"/>
  <c r="Q15" i="98"/>
  <c r="C15" i="98"/>
  <c r="Q51" i="98"/>
  <c r="C51" i="98"/>
  <c r="I40" i="98"/>
  <c r="W40" i="98" s="1"/>
  <c r="Z40" i="98" s="1"/>
  <c r="I38" i="98"/>
  <c r="W38" i="98" s="1"/>
  <c r="Z38" i="98" s="1"/>
  <c r="I41" i="98"/>
  <c r="W41" i="98" s="1"/>
  <c r="Z41" i="98" s="1"/>
  <c r="P12" i="98"/>
  <c r="B12" i="98"/>
  <c r="W12" i="98" s="1"/>
  <c r="Z12" i="98" s="1"/>
  <c r="P37" i="98"/>
  <c r="B37" i="98"/>
  <c r="W37" i="98" s="1"/>
  <c r="Z37" i="98" s="1"/>
  <c r="I48" i="98"/>
  <c r="W48" i="98" s="1"/>
  <c r="Z48" i="98" s="1"/>
  <c r="P26" i="98"/>
  <c r="B26" i="98"/>
  <c r="W26" i="98" s="1"/>
  <c r="Z26" i="98" s="1"/>
  <c r="P47" i="98"/>
  <c r="I47" i="98"/>
  <c r="W47" i="98" s="1"/>
  <c r="Z47" i="98" s="1"/>
  <c r="Q24" i="98"/>
  <c r="C24" i="98"/>
  <c r="I16" i="98"/>
  <c r="W16" i="98" s="1"/>
  <c r="Z16" i="98" s="1"/>
  <c r="P16" i="98"/>
  <c r="I44" i="98"/>
  <c r="W44" i="98" s="1"/>
  <c r="Z44" i="98" s="1"/>
  <c r="I22" i="98"/>
  <c r="W22" i="98" s="1"/>
  <c r="Z22" i="98" s="1"/>
  <c r="I25" i="98"/>
  <c r="W25" i="98" s="1"/>
  <c r="Z25" i="98" s="1"/>
  <c r="I21" i="98"/>
  <c r="W21" i="98" s="1"/>
  <c r="Z21" i="98" s="1"/>
  <c r="I43" i="98"/>
  <c r="W43" i="98" s="1"/>
  <c r="Z43" i="98" s="1"/>
  <c r="P55" i="98"/>
  <c r="B55" i="98"/>
  <c r="W55" i="98" s="1"/>
  <c r="Z55" i="98" s="1"/>
  <c r="I7" i="98"/>
  <c r="W7" i="98" s="1"/>
  <c r="I14" i="98"/>
  <c r="W14" i="98" s="1"/>
  <c r="Z14" i="98" s="1"/>
  <c r="I49" i="98"/>
  <c r="W49" i="98" s="1"/>
  <c r="Z49" i="98" s="1"/>
  <c r="I10" i="98"/>
  <c r="W10" i="98" s="1"/>
  <c r="Z10" i="98" s="1"/>
  <c r="I18" i="98"/>
  <c r="W18" i="98" s="1"/>
  <c r="Z18" i="98" s="1"/>
  <c r="I29" i="98"/>
  <c r="W29" i="98" s="1"/>
  <c r="Z29" i="98" s="1"/>
  <c r="P51" i="98"/>
  <c r="B51" i="98"/>
  <c r="W51" i="98" s="1"/>
  <c r="Z51" i="98" s="1"/>
  <c r="I9" i="98"/>
  <c r="W9" i="98" s="1"/>
  <c r="Z9" i="98" s="1"/>
  <c r="I56" i="98"/>
  <c r="W56" i="98" s="1"/>
  <c r="Z56" i="98" s="1"/>
  <c r="I27" i="98"/>
  <c r="W27" i="98" s="1"/>
  <c r="Z27" i="98" s="1"/>
  <c r="Q37" i="98"/>
  <c r="C37" i="98"/>
  <c r="Q54" i="98"/>
  <c r="C54" i="98"/>
  <c r="I39" i="98"/>
  <c r="W39" i="98" s="1"/>
  <c r="Z39" i="98" s="1"/>
  <c r="I46" i="98"/>
  <c r="W46" i="98" s="1"/>
  <c r="Z46" i="98" s="1"/>
  <c r="I17" i="98"/>
  <c r="W17" i="98" s="1"/>
  <c r="Z17" i="98" s="1"/>
  <c r="P15" i="98"/>
  <c r="B15" i="98"/>
  <c r="W15" i="98" s="1"/>
  <c r="Z15" i="98" s="1"/>
  <c r="I42" i="98"/>
  <c r="W42" i="98" s="1"/>
  <c r="Z42" i="98" s="1"/>
  <c r="I30" i="98"/>
  <c r="W30" i="98" s="1"/>
  <c r="Z30" i="98" s="1"/>
  <c r="P30" i="98"/>
  <c r="C53" i="98"/>
  <c r="I35" i="98"/>
  <c r="W35" i="98" s="1"/>
  <c r="Z35" i="98" s="1"/>
  <c r="Q55" i="98"/>
  <c r="C55" i="98"/>
  <c r="C45" i="98"/>
  <c r="I13" i="98"/>
  <c r="W13" i="98" s="1"/>
  <c r="Z13" i="98" s="1"/>
  <c r="P54" i="98"/>
  <c r="B54" i="98"/>
  <c r="W54" i="98" s="1"/>
  <c r="Z54" i="98" s="1"/>
  <c r="I36" i="98"/>
  <c r="W36" i="98" s="1"/>
  <c r="Z36" i="98" s="1"/>
  <c r="B53" i="98"/>
  <c r="W53" i="98" s="1"/>
  <c r="Z53" i="98" s="1"/>
  <c r="I33" i="98"/>
  <c r="W33" i="98" s="1"/>
  <c r="Z33" i="98" s="1"/>
  <c r="I23" i="98"/>
  <c r="W23" i="98" s="1"/>
  <c r="Z23" i="98" s="1"/>
  <c r="I34" i="98"/>
  <c r="W34" i="98" s="1"/>
  <c r="Z34" i="98" s="1"/>
  <c r="I20" i="98"/>
  <c r="W20" i="98" s="1"/>
  <c r="Z20" i="98" s="1"/>
  <c r="C52" i="98"/>
  <c r="P19" i="98"/>
  <c r="I19" i="98"/>
  <c r="W19" i="98" s="1"/>
  <c r="Z19" i="98" s="1"/>
  <c r="I8" i="98"/>
  <c r="W8" i="98" s="1"/>
  <c r="Z8" i="98" s="1"/>
  <c r="P24" i="98"/>
  <c r="B24" i="98"/>
  <c r="W24" i="98" s="1"/>
  <c r="Z24" i="98" s="1"/>
  <c r="B52" i="98"/>
  <c r="W52" i="98" s="1"/>
  <c r="Z52" i="98" s="1"/>
  <c r="I50" i="98"/>
  <c r="W50" i="98" s="1"/>
  <c r="Z50" i="98" s="1"/>
  <c r="B31" i="98"/>
  <c r="W31" i="98" s="1"/>
  <c r="Z31" i="98" s="1"/>
  <c r="Q26" i="98"/>
  <c r="C26" i="98"/>
  <c r="C31" i="98"/>
  <c r="AC56" i="91"/>
  <c r="Z56" i="91"/>
  <c r="W58" i="98" l="1"/>
  <c r="Z7" i="98"/>
  <c r="Q58" i="98"/>
  <c r="P58" i="98"/>
  <c r="I58" i="98"/>
  <c r="C58" i="98"/>
  <c r="B58" i="98"/>
  <c r="Z58" i="98" l="1"/>
  <c r="AA7" i="98"/>
  <c r="K57" i="98"/>
  <c r="K34" i="98"/>
  <c r="K44" i="98"/>
  <c r="K23" i="98"/>
  <c r="K16" i="98"/>
  <c r="K47" i="98"/>
  <c r="K13" i="98"/>
  <c r="K27" i="98"/>
  <c r="K17" i="98"/>
  <c r="K32" i="98"/>
  <c r="K48" i="98"/>
  <c r="K41" i="98"/>
  <c r="K11" i="98"/>
  <c r="K21" i="98"/>
  <c r="K50" i="98"/>
  <c r="K40" i="98"/>
  <c r="K22" i="98"/>
  <c r="K25" i="98"/>
  <c r="K18" i="98"/>
  <c r="K30" i="98"/>
  <c r="K39" i="98"/>
  <c r="K19" i="98"/>
  <c r="K29" i="98"/>
  <c r="K43" i="98"/>
  <c r="K9" i="98"/>
  <c r="K33" i="98"/>
  <c r="K35" i="98"/>
  <c r="K36" i="98"/>
  <c r="K20" i="98"/>
  <c r="K49" i="98"/>
  <c r="K14" i="98"/>
  <c r="K38" i="98"/>
  <c r="K42" i="98"/>
  <c r="K28" i="98"/>
  <c r="K10" i="98"/>
  <c r="K56" i="98"/>
  <c r="K46" i="98"/>
  <c r="AA45" i="98" l="1"/>
  <c r="AA33" i="98"/>
  <c r="AA37" i="98"/>
  <c r="AA52" i="98"/>
  <c r="AA36" i="98"/>
  <c r="AA35" i="98"/>
  <c r="AA24" i="98"/>
  <c r="AA13" i="98"/>
  <c r="AA31" i="98"/>
  <c r="AA14" i="98"/>
  <c r="AA55" i="98"/>
  <c r="AA17" i="98"/>
  <c r="AA40" i="98"/>
  <c r="AA42" i="98"/>
  <c r="AA48" i="98"/>
  <c r="AA30" i="98"/>
  <c r="AA23" i="98"/>
  <c r="AA11" i="98"/>
  <c r="AA34" i="98"/>
  <c r="AA26" i="98"/>
  <c r="AA10" i="98"/>
  <c r="AA29" i="98"/>
  <c r="AA12" i="98"/>
  <c r="AA47" i="98"/>
  <c r="AA28" i="98"/>
  <c r="AA15" i="98"/>
  <c r="AA56" i="98"/>
  <c r="AA49" i="98"/>
  <c r="AA51" i="98"/>
  <c r="AA46" i="98"/>
  <c r="AA25" i="98"/>
  <c r="AA43" i="98"/>
  <c r="AA27" i="98"/>
  <c r="AA19" i="98"/>
  <c r="AA16" i="98"/>
  <c r="AA9" i="98"/>
  <c r="AA44" i="98"/>
  <c r="AA41" i="98"/>
  <c r="AA21" i="98"/>
  <c r="AA53" i="98"/>
  <c r="AA57" i="98"/>
  <c r="AA32" i="98"/>
  <c r="AA50" i="98"/>
  <c r="AA39" i="98"/>
  <c r="AA54" i="98"/>
  <c r="AA22" i="98"/>
  <c r="AA38" i="98"/>
  <c r="AA18" i="98"/>
  <c r="AA20" i="98"/>
  <c r="AA8" i="98"/>
  <c r="K7" i="98"/>
  <c r="E9" i="98"/>
  <c r="E32" i="98"/>
  <c r="E14" i="98"/>
  <c r="E22" i="98"/>
  <c r="E34" i="98"/>
  <c r="E36" i="98"/>
  <c r="E46" i="98"/>
  <c r="E56" i="98"/>
  <c r="E10" i="98"/>
  <c r="E16" i="98"/>
  <c r="R16" i="98"/>
  <c r="S16" i="98" s="1"/>
  <c r="E19" i="98"/>
  <c r="R19" i="98"/>
  <c r="S19" i="98" s="1"/>
  <c r="R54" i="98"/>
  <c r="S54" i="98" s="1"/>
  <c r="D54" i="98"/>
  <c r="E54" i="98" s="1"/>
  <c r="R24" i="98"/>
  <c r="S24" i="98" s="1"/>
  <c r="D24" i="98"/>
  <c r="E24" i="98" s="1"/>
  <c r="D53" i="98"/>
  <c r="E53" i="98" s="1"/>
  <c r="R51" i="98"/>
  <c r="S51" i="98" s="1"/>
  <c r="D51" i="98"/>
  <c r="E51" i="98" s="1"/>
  <c r="R55" i="98"/>
  <c r="S55" i="98" s="1"/>
  <c r="D55" i="98"/>
  <c r="E55" i="98" s="1"/>
  <c r="R26" i="98"/>
  <c r="S26" i="98" s="1"/>
  <c r="D26" i="98"/>
  <c r="E26" i="98" s="1"/>
  <c r="D45" i="98"/>
  <c r="E45" i="98" s="1"/>
  <c r="E25" i="98"/>
  <c r="E50" i="98"/>
  <c r="E48" i="98"/>
  <c r="E13" i="98"/>
  <c r="E39" i="98"/>
  <c r="E57" i="98"/>
  <c r="E42" i="98"/>
  <c r="E40" i="98"/>
  <c r="E17" i="98"/>
  <c r="R12" i="98"/>
  <c r="D12" i="98"/>
  <c r="E12" i="98" s="1"/>
  <c r="E47" i="98"/>
  <c r="R47" i="98"/>
  <c r="S47" i="98" s="1"/>
  <c r="E21" i="98"/>
  <c r="E49" i="98"/>
  <c r="E35" i="98"/>
  <c r="E38" i="98"/>
  <c r="E43" i="98"/>
  <c r="D52" i="98"/>
  <c r="E52" i="98" s="1"/>
  <c r="E44" i="98"/>
  <c r="E23" i="98"/>
  <c r="R15" i="98"/>
  <c r="S15" i="98" s="1"/>
  <c r="D15" i="98"/>
  <c r="E15" i="98" s="1"/>
  <c r="E41" i="98"/>
  <c r="E20" i="98"/>
  <c r="E33" i="98"/>
  <c r="E30" i="98"/>
  <c r="R30" i="98"/>
  <c r="S30" i="98" s="1"/>
  <c r="E11" i="98"/>
  <c r="E29" i="98"/>
  <c r="E18" i="98"/>
  <c r="R37" i="98"/>
  <c r="S37" i="98" s="1"/>
  <c r="D37" i="98"/>
  <c r="E37" i="98" s="1"/>
  <c r="D31" i="98"/>
  <c r="E31" i="98" s="1"/>
  <c r="E27" i="98"/>
  <c r="K8" i="98"/>
  <c r="E28" i="98"/>
  <c r="J58" i="98"/>
  <c r="E7" i="98"/>
  <c r="AA58" i="98" l="1"/>
  <c r="D58" i="98"/>
  <c r="E8" i="98"/>
  <c r="E58" i="98" s="1"/>
  <c r="AD56" i="91"/>
  <c r="R58" i="98"/>
  <c r="S12" i="98"/>
  <c r="S58" i="98" l="1"/>
  <c r="T12" i="98" s="1"/>
  <c r="AL10" i="91" s="1"/>
  <c r="D6" i="107" s="1"/>
  <c r="F7" i="98"/>
  <c r="F33" i="98"/>
  <c r="F20" i="98"/>
  <c r="F38" i="98"/>
  <c r="F23" i="98"/>
  <c r="F13" i="98"/>
  <c r="F48" i="98"/>
  <c r="F37" i="98"/>
  <c r="AK35" i="91" s="1"/>
  <c r="F55" i="98"/>
  <c r="AK53" i="91" s="1"/>
  <c r="F56" i="98"/>
  <c r="F24" i="98"/>
  <c r="AK22" i="91" s="1"/>
  <c r="F12" i="98"/>
  <c r="AK10" i="91" s="1"/>
  <c r="F52" i="98"/>
  <c r="AK50" i="91" s="1"/>
  <c r="F43" i="98"/>
  <c r="F35" i="98"/>
  <c r="F49" i="98"/>
  <c r="F42" i="98"/>
  <c r="F16" i="98"/>
  <c r="F27" i="98"/>
  <c r="F53" i="98"/>
  <c r="AK51" i="91" s="1"/>
  <c r="F21" i="98"/>
  <c r="F50" i="98"/>
  <c r="F51" i="98"/>
  <c r="AK49" i="91" s="1"/>
  <c r="F34" i="98"/>
  <c r="F54" i="98"/>
  <c r="AK52" i="91" s="1"/>
  <c r="F39" i="98"/>
  <c r="F36" i="98"/>
  <c r="F45" i="98"/>
  <c r="AK43" i="91" s="1"/>
  <c r="F28" i="98"/>
  <c r="F26" i="98"/>
  <c r="AK24" i="91" s="1"/>
  <c r="F17" i="98"/>
  <c r="F41" i="98"/>
  <c r="F57" i="98"/>
  <c r="F31" i="98"/>
  <c r="AK29" i="91" s="1"/>
  <c r="F40" i="98"/>
  <c r="F44" i="98"/>
  <c r="F18" i="98"/>
  <c r="F19" i="98"/>
  <c r="F9" i="98"/>
  <c r="F8" i="98"/>
  <c r="F14" i="98"/>
  <c r="F10" i="98"/>
  <c r="F47" i="98"/>
  <c r="F32" i="98"/>
  <c r="F11" i="98"/>
  <c r="F46" i="98"/>
  <c r="F15" i="98"/>
  <c r="AK13" i="91" s="1"/>
  <c r="F22" i="98"/>
  <c r="F25" i="98"/>
  <c r="F30" i="98"/>
  <c r="F29" i="98"/>
  <c r="C14" i="110" l="1"/>
  <c r="I15" i="104"/>
  <c r="C52" i="110"/>
  <c r="E52" i="110" s="1"/>
  <c r="I23" i="104"/>
  <c r="C30" i="110"/>
  <c r="E30" i="110" s="1"/>
  <c r="I18" i="104"/>
  <c r="C54" i="110"/>
  <c r="D54" i="110" s="1"/>
  <c r="E54" i="110" s="1"/>
  <c r="I25" i="104"/>
  <c r="C44" i="110"/>
  <c r="E44" i="110" s="1"/>
  <c r="I20" i="104"/>
  <c r="C25" i="110"/>
  <c r="E25" i="110" s="1"/>
  <c r="I17" i="104"/>
  <c r="C50" i="110"/>
  <c r="D50" i="110" s="1"/>
  <c r="E50" i="110" s="1"/>
  <c r="I21" i="104"/>
  <c r="C36" i="110"/>
  <c r="E36" i="110" s="1"/>
  <c r="I19" i="104"/>
  <c r="C51" i="110"/>
  <c r="E51" i="110" s="1"/>
  <c r="I22" i="104"/>
  <c r="C23" i="110"/>
  <c r="E23" i="110" s="1"/>
  <c r="I16" i="104"/>
  <c r="C53" i="110"/>
  <c r="E53" i="110" s="1"/>
  <c r="I24" i="104"/>
  <c r="C11" i="110"/>
  <c r="E11" i="110" s="1"/>
  <c r="F11" i="110" s="1"/>
  <c r="E6" i="107"/>
  <c r="D14" i="110"/>
  <c r="E14" i="110" s="1"/>
  <c r="T43" i="98"/>
  <c r="T44" i="98"/>
  <c r="T48" i="98"/>
  <c r="T35" i="98"/>
  <c r="T49" i="98"/>
  <c r="T57" i="98"/>
  <c r="T27" i="98"/>
  <c r="T41" i="98"/>
  <c r="T36" i="98"/>
  <c r="T33" i="98"/>
  <c r="T39" i="98"/>
  <c r="T28" i="98"/>
  <c r="T23" i="98"/>
  <c r="T21" i="98"/>
  <c r="T31" i="98"/>
  <c r="T29" i="98"/>
  <c r="T32" i="98"/>
  <c r="T40" i="98"/>
  <c r="T25" i="98"/>
  <c r="T45" i="98"/>
  <c r="T17" i="98"/>
  <c r="T9" i="98"/>
  <c r="T11" i="98"/>
  <c r="T22" i="98"/>
  <c r="T10" i="98"/>
  <c r="T50" i="98"/>
  <c r="T20" i="98"/>
  <c r="T13" i="98"/>
  <c r="T18" i="98"/>
  <c r="T56" i="98"/>
  <c r="T52" i="98"/>
  <c r="T34" i="98"/>
  <c r="T38" i="98"/>
  <c r="T14" i="98"/>
  <c r="T7" i="98"/>
  <c r="T53" i="98"/>
  <c r="T8" i="98"/>
  <c r="T42" i="98"/>
  <c r="T46" i="98"/>
  <c r="T30" i="98"/>
  <c r="AL28" i="91" s="1"/>
  <c r="T19" i="98"/>
  <c r="AL17" i="91" s="1"/>
  <c r="T55" i="98"/>
  <c r="AL53" i="91" s="1"/>
  <c r="D17" i="107" s="1"/>
  <c r="T51" i="98"/>
  <c r="AL49" i="91" s="1"/>
  <c r="D15" i="107" s="1"/>
  <c r="T47" i="98"/>
  <c r="AL45" i="91" s="1"/>
  <c r="T16" i="98"/>
  <c r="AL14" i="91" s="1"/>
  <c r="D8" i="107" s="1"/>
  <c r="T54" i="98"/>
  <c r="AL52" i="91" s="1"/>
  <c r="D16" i="107" s="1"/>
  <c r="T26" i="98"/>
  <c r="AL24" i="91" s="1"/>
  <c r="D11" i="107" s="1"/>
  <c r="T15" i="98"/>
  <c r="AL13" i="91" s="1"/>
  <c r="D7" i="107" s="1"/>
  <c r="T37" i="98"/>
  <c r="AL35" i="91" s="1"/>
  <c r="D13" i="107" s="1"/>
  <c r="T24" i="98"/>
  <c r="AL22" i="91" s="1"/>
  <c r="D10" i="107" s="1"/>
  <c r="L7" i="98"/>
  <c r="F58" i="98"/>
  <c r="F74" i="100" l="1"/>
  <c r="E11" i="111"/>
  <c r="F187" i="111" s="1"/>
  <c r="I62" i="104"/>
  <c r="D14" i="107"/>
  <c r="I48" i="104"/>
  <c r="M37" i="104" s="1"/>
  <c r="D12" i="107"/>
  <c r="I39" i="104"/>
  <c r="M26" i="104" s="1"/>
  <c r="D9" i="107"/>
  <c r="I14" i="104"/>
  <c r="C26" i="104"/>
  <c r="M33" i="104"/>
  <c r="M61" i="104"/>
  <c r="M52" i="104"/>
  <c r="M62" i="104"/>
  <c r="M38" i="104"/>
  <c r="M59" i="104"/>
  <c r="M44" i="104"/>
  <c r="M60" i="104"/>
  <c r="M31" i="104"/>
  <c r="M58" i="104"/>
  <c r="M22" i="104"/>
  <c r="I36" i="104"/>
  <c r="C68" i="104"/>
  <c r="C69" i="104" s="1"/>
  <c r="M54" i="104"/>
  <c r="C18" i="107"/>
  <c r="F44" i="110"/>
  <c r="K44" i="110"/>
  <c r="J44" i="110"/>
  <c r="G44" i="110"/>
  <c r="F23" i="110"/>
  <c r="G23" i="110"/>
  <c r="K23" i="110"/>
  <c r="J23" i="110"/>
  <c r="F30" i="110"/>
  <c r="J30" i="110"/>
  <c r="K30" i="110"/>
  <c r="G30" i="110"/>
  <c r="J14" i="110"/>
  <c r="G14" i="110"/>
  <c r="K14" i="110"/>
  <c r="F54" i="110"/>
  <c r="J54" i="110"/>
  <c r="G54" i="110"/>
  <c r="K54" i="110"/>
  <c r="F25" i="110"/>
  <c r="J25" i="110"/>
  <c r="G25" i="110"/>
  <c r="K25" i="110"/>
  <c r="F52" i="110"/>
  <c r="K52" i="110"/>
  <c r="J52" i="110"/>
  <c r="G52" i="110"/>
  <c r="F51" i="110"/>
  <c r="G51" i="110"/>
  <c r="J51" i="110"/>
  <c r="K51" i="110"/>
  <c r="F14" i="110"/>
  <c r="F50" i="110"/>
  <c r="J50" i="110"/>
  <c r="G50" i="110"/>
  <c r="K50" i="110"/>
  <c r="K36" i="110"/>
  <c r="G36" i="110"/>
  <c r="J36" i="110"/>
  <c r="G11" i="110"/>
  <c r="K11" i="110"/>
  <c r="J11" i="110"/>
  <c r="F53" i="110"/>
  <c r="K53" i="110"/>
  <c r="J53" i="110"/>
  <c r="G53" i="110"/>
  <c r="F36" i="110"/>
  <c r="O12" i="100"/>
  <c r="O14" i="100"/>
  <c r="O15" i="100"/>
  <c r="O10" i="100"/>
  <c r="O6" i="100"/>
  <c r="E7" i="107"/>
  <c r="E16" i="107"/>
  <c r="E15" i="107"/>
  <c r="E17" i="107"/>
  <c r="E54" i="111" s="1"/>
  <c r="F230" i="111" s="1"/>
  <c r="E11" i="107"/>
  <c r="E25" i="111" s="1"/>
  <c r="F201" i="111" s="1"/>
  <c r="E10" i="107"/>
  <c r="E13" i="107"/>
  <c r="T58" i="98"/>
  <c r="K58" i="98"/>
  <c r="L55" i="98"/>
  <c r="L57" i="98"/>
  <c r="L38" i="98"/>
  <c r="L12" i="98"/>
  <c r="L53" i="98"/>
  <c r="L44" i="98"/>
  <c r="L42" i="98"/>
  <c r="L14" i="98"/>
  <c r="L13" i="98"/>
  <c r="L43" i="98"/>
  <c r="L50" i="98"/>
  <c r="L26" i="98"/>
  <c r="L19" i="98"/>
  <c r="L46" i="98"/>
  <c r="L20" i="98"/>
  <c r="L24" i="98"/>
  <c r="L51" i="98"/>
  <c r="L17" i="98"/>
  <c r="L9" i="98"/>
  <c r="L15" i="98"/>
  <c r="L45" i="98"/>
  <c r="L8" i="98"/>
  <c r="L22" i="98"/>
  <c r="L54" i="98"/>
  <c r="L11" i="98"/>
  <c r="L27" i="98"/>
  <c r="L21" i="98"/>
  <c r="L25" i="98"/>
  <c r="L37" i="98"/>
  <c r="L49" i="98"/>
  <c r="L34" i="98"/>
  <c r="L23" i="98"/>
  <c r="L28" i="98"/>
  <c r="L33" i="98"/>
  <c r="L56" i="98"/>
  <c r="L16" i="98"/>
  <c r="L39" i="98"/>
  <c r="L31" i="98"/>
  <c r="L10" i="98"/>
  <c r="L30" i="98"/>
  <c r="L48" i="98"/>
  <c r="L35" i="98"/>
  <c r="L36" i="98"/>
  <c r="L40" i="98"/>
  <c r="L47" i="98"/>
  <c r="L29" i="98"/>
  <c r="L41" i="98"/>
  <c r="L32" i="98"/>
  <c r="L52" i="98"/>
  <c r="L18" i="98"/>
  <c r="L9" i="111" l="1"/>
  <c r="L17" i="111"/>
  <c r="F113" i="100"/>
  <c r="E50" i="111"/>
  <c r="F226" i="111" s="1"/>
  <c r="F116" i="100"/>
  <c r="E53" i="111"/>
  <c r="F229" i="111" s="1"/>
  <c r="F77" i="100"/>
  <c r="E14" i="111"/>
  <c r="F190" i="111" s="1"/>
  <c r="L6" i="111"/>
  <c r="F99" i="100"/>
  <c r="E36" i="111"/>
  <c r="F212" i="111" s="1"/>
  <c r="F86" i="100"/>
  <c r="E23" i="111"/>
  <c r="F199" i="111" s="1"/>
  <c r="G113" i="100"/>
  <c r="G74" i="100"/>
  <c r="G117" i="100"/>
  <c r="G86" i="100"/>
  <c r="G93" i="100"/>
  <c r="G107" i="100"/>
  <c r="G116" i="100"/>
  <c r="G114" i="100"/>
  <c r="G88" i="100"/>
  <c r="G99" i="100"/>
  <c r="G115" i="100"/>
  <c r="G77" i="100"/>
  <c r="M19" i="104"/>
  <c r="M23" i="104"/>
  <c r="O9" i="100"/>
  <c r="F88" i="100"/>
  <c r="O17" i="100"/>
  <c r="F117" i="100"/>
  <c r="O8" i="100"/>
  <c r="O11" i="100"/>
  <c r="O7" i="100"/>
  <c r="O13" i="100"/>
  <c r="O16" i="100"/>
  <c r="L58" i="98"/>
  <c r="L62" i="98" s="1"/>
  <c r="M65" i="104" l="1"/>
  <c r="L8" i="111"/>
  <c r="L7" i="111"/>
  <c r="L13" i="111"/>
  <c r="L16" i="111"/>
  <c r="L11" i="111"/>
  <c r="O18" i="100"/>
  <c r="M42" i="98"/>
  <c r="M56" i="98"/>
  <c r="M26" i="98"/>
  <c r="M16" i="98"/>
  <c r="M13" i="98"/>
  <c r="M49" i="98"/>
  <c r="M44" i="98"/>
  <c r="M21" i="98"/>
  <c r="M8" i="98"/>
  <c r="M47" i="98"/>
  <c r="M28" i="98"/>
  <c r="M30" i="98"/>
  <c r="M35" i="98"/>
  <c r="M19" i="98"/>
  <c r="M57" i="98"/>
  <c r="M17" i="98"/>
  <c r="M36" i="98"/>
  <c r="M52" i="98"/>
  <c r="M45" i="98"/>
  <c r="M11" i="98"/>
  <c r="M10" i="98"/>
  <c r="M34" i="98"/>
  <c r="M14" i="98"/>
  <c r="M38" i="98"/>
  <c r="M54" i="98"/>
  <c r="M23" i="98"/>
  <c r="M48" i="98"/>
  <c r="M39" i="98"/>
  <c r="M37" i="98"/>
  <c r="M22" i="98"/>
  <c r="M15" i="98"/>
  <c r="M9" i="98"/>
  <c r="M51" i="98"/>
  <c r="M25" i="98"/>
  <c r="M43" i="98"/>
  <c r="M46" i="98"/>
  <c r="M12" i="98"/>
  <c r="M32" i="98"/>
  <c r="M55" i="98"/>
  <c r="M7" i="98"/>
  <c r="M18" i="98"/>
  <c r="M33" i="98"/>
  <c r="M31" i="98"/>
  <c r="M29" i="98"/>
  <c r="M41" i="98"/>
  <c r="M40" i="98"/>
  <c r="M27" i="98"/>
  <c r="M50" i="98"/>
  <c r="M24" i="98"/>
  <c r="M53" i="98"/>
  <c r="M20" i="98"/>
  <c r="L18" i="111" l="1"/>
  <c r="AK39" i="91"/>
  <c r="C59" i="105" s="1"/>
  <c r="AK16" i="91"/>
  <c r="C40" i="105" s="1"/>
  <c r="AK8" i="91"/>
  <c r="C34" i="105" s="1"/>
  <c r="AK34" i="91"/>
  <c r="C55" i="105" s="1"/>
  <c r="AK33" i="91"/>
  <c r="C54" i="105" s="1"/>
  <c r="AK6" i="91"/>
  <c r="C32" i="105" s="1"/>
  <c r="AK11" i="91"/>
  <c r="C36" i="105" s="1"/>
  <c r="AK40" i="91"/>
  <c r="C60" i="105" s="1"/>
  <c r="AK48" i="91"/>
  <c r="C67" i="105" s="1"/>
  <c r="AK27" i="91"/>
  <c r="C49" i="105" s="1"/>
  <c r="AK5" i="91"/>
  <c r="C31" i="105" s="1"/>
  <c r="AK44" i="91"/>
  <c r="C63" i="105" s="1"/>
  <c r="AK7" i="91"/>
  <c r="C33" i="105" s="1"/>
  <c r="AK37" i="91"/>
  <c r="C57" i="105" s="1"/>
  <c r="AK36" i="91"/>
  <c r="C56" i="105" s="1"/>
  <c r="AK9" i="91"/>
  <c r="C35" i="105" s="1"/>
  <c r="AK15" i="91"/>
  <c r="C39" i="105" s="1"/>
  <c r="AK28" i="91"/>
  <c r="C50" i="105" s="1"/>
  <c r="AK19" i="91"/>
  <c r="C43" i="105" s="1"/>
  <c r="AK14" i="91"/>
  <c r="C38" i="105" s="1"/>
  <c r="AK18" i="91"/>
  <c r="C42" i="105" s="1"/>
  <c r="AK25" i="91"/>
  <c r="C47" i="105" s="1"/>
  <c r="AK41" i="91"/>
  <c r="C61" i="105" s="1"/>
  <c r="AK46" i="91"/>
  <c r="C65" i="105" s="1"/>
  <c r="AK12" i="91"/>
  <c r="C37" i="105" s="1"/>
  <c r="AK55" i="91"/>
  <c r="C69" i="105" s="1"/>
  <c r="AK26" i="91"/>
  <c r="C48" i="105" s="1"/>
  <c r="AK42" i="91"/>
  <c r="C62" i="105" s="1"/>
  <c r="AK38" i="91"/>
  <c r="C58" i="105" s="1"/>
  <c r="AK31" i="91"/>
  <c r="C52" i="105" s="1"/>
  <c r="AK30" i="91"/>
  <c r="C51" i="105" s="1"/>
  <c r="AK23" i="91"/>
  <c r="C46" i="105" s="1"/>
  <c r="AK20" i="91"/>
  <c r="C44" i="105" s="1"/>
  <c r="AK21" i="91"/>
  <c r="C45" i="105" s="1"/>
  <c r="AK32" i="91"/>
  <c r="C53" i="105" s="1"/>
  <c r="AK17" i="91"/>
  <c r="C41" i="105" s="1"/>
  <c r="AK45" i="91"/>
  <c r="C64" i="105" s="1"/>
  <c r="AK47" i="91"/>
  <c r="C66" i="105" s="1"/>
  <c r="AK54" i="91"/>
  <c r="C68" i="105" s="1"/>
  <c r="M58" i="98"/>
  <c r="C70" i="105" l="1"/>
  <c r="D53" i="105"/>
  <c r="C33" i="110"/>
  <c r="D61" i="105"/>
  <c r="C42" i="110"/>
  <c r="D56" i="105"/>
  <c r="C37" i="110"/>
  <c r="D34" i="105"/>
  <c r="C9" i="110"/>
  <c r="D45" i="105"/>
  <c r="C22" i="110"/>
  <c r="C56" i="110"/>
  <c r="D50" i="105"/>
  <c r="C29" i="110"/>
  <c r="E12" i="107"/>
  <c r="D57" i="105"/>
  <c r="C38" i="110"/>
  <c r="D32" i="105"/>
  <c r="C7" i="110"/>
  <c r="D44" i="105"/>
  <c r="C21" i="110"/>
  <c r="D37" i="105"/>
  <c r="C13" i="110"/>
  <c r="D39" i="105"/>
  <c r="C16" i="110"/>
  <c r="D41" i="105"/>
  <c r="C18" i="110"/>
  <c r="E9" i="107"/>
  <c r="D46" i="105"/>
  <c r="C24" i="110"/>
  <c r="D62" i="105"/>
  <c r="C43" i="110"/>
  <c r="D65" i="105"/>
  <c r="C47" i="110"/>
  <c r="D38" i="105"/>
  <c r="C15" i="110"/>
  <c r="D35" i="105"/>
  <c r="C10" i="110"/>
  <c r="D63" i="105"/>
  <c r="C45" i="110"/>
  <c r="D60" i="105"/>
  <c r="C41" i="110"/>
  <c r="D55" i="105"/>
  <c r="C35" i="110"/>
  <c r="D48" i="105"/>
  <c r="C27" i="110"/>
  <c r="D31" i="105"/>
  <c r="C6" i="110"/>
  <c r="D40" i="105"/>
  <c r="C17" i="110"/>
  <c r="D68" i="105"/>
  <c r="C55" i="110"/>
  <c r="D51" i="105"/>
  <c r="C31" i="110"/>
  <c r="D43" i="105"/>
  <c r="C20" i="110"/>
  <c r="D36" i="105"/>
  <c r="C12" i="110"/>
  <c r="D66" i="105"/>
  <c r="C48" i="110"/>
  <c r="D52" i="105"/>
  <c r="C32" i="110"/>
  <c r="D47" i="105"/>
  <c r="C26" i="110"/>
  <c r="D49" i="105"/>
  <c r="C28" i="110"/>
  <c r="D64" i="105"/>
  <c r="C46" i="110"/>
  <c r="E14" i="107"/>
  <c r="D58" i="105"/>
  <c r="C39" i="110"/>
  <c r="D42" i="105"/>
  <c r="C19" i="110"/>
  <c r="D33" i="105"/>
  <c r="C8" i="110"/>
  <c r="D67" i="105"/>
  <c r="C49" i="110"/>
  <c r="D54" i="105"/>
  <c r="C34" i="110"/>
  <c r="D59" i="105"/>
  <c r="C40" i="110"/>
  <c r="D69" i="105"/>
  <c r="AL56" i="91"/>
  <c r="AK56" i="91"/>
  <c r="F109" i="100" l="1"/>
  <c r="E46" i="111"/>
  <c r="F222" i="111" s="1"/>
  <c r="F81" i="100"/>
  <c r="E18" i="111"/>
  <c r="F194" i="111" s="1"/>
  <c r="F92" i="100"/>
  <c r="E29" i="111"/>
  <c r="F205" i="111" s="1"/>
  <c r="E78" i="100"/>
  <c r="D15" i="111"/>
  <c r="F140" i="111" s="1"/>
  <c r="E85" i="100"/>
  <c r="D22" i="111"/>
  <c r="F147" i="111" s="1"/>
  <c r="E84" i="100"/>
  <c r="D21" i="111"/>
  <c r="F146" i="111" s="1"/>
  <c r="E72" i="100"/>
  <c r="D9" i="111"/>
  <c r="F134" i="111" s="1"/>
  <c r="E82" i="100"/>
  <c r="D19" i="111"/>
  <c r="F144" i="111" s="1"/>
  <c r="E102" i="100"/>
  <c r="D39" i="111"/>
  <c r="F164" i="111" s="1"/>
  <c r="E90" i="100"/>
  <c r="D27" i="111"/>
  <c r="F152" i="111" s="1"/>
  <c r="E106" i="100"/>
  <c r="D43" i="111"/>
  <c r="F168" i="111" s="1"/>
  <c r="E111" i="100"/>
  <c r="D48" i="111"/>
  <c r="F173" i="111" s="1"/>
  <c r="E75" i="100"/>
  <c r="D12" i="111"/>
  <c r="F137" i="111" s="1"/>
  <c r="E100" i="100"/>
  <c r="D37" i="111"/>
  <c r="F162" i="111" s="1"/>
  <c r="E76" i="100"/>
  <c r="D13" i="111"/>
  <c r="F138" i="111" s="1"/>
  <c r="E110" i="100"/>
  <c r="D47" i="111"/>
  <c r="F172" i="111" s="1"/>
  <c r="E83" i="100"/>
  <c r="D20" i="111"/>
  <c r="F145" i="111" s="1"/>
  <c r="E97" i="100"/>
  <c r="D34" i="111"/>
  <c r="F159" i="111" s="1"/>
  <c r="E70" i="100"/>
  <c r="D7" i="111"/>
  <c r="F132" i="111" s="1"/>
  <c r="E91" i="100"/>
  <c r="D28" i="111"/>
  <c r="F153" i="111" s="1"/>
  <c r="E94" i="100"/>
  <c r="D31" i="111"/>
  <c r="F156" i="111" s="1"/>
  <c r="E104" i="100"/>
  <c r="D41" i="111"/>
  <c r="F166" i="111" s="1"/>
  <c r="E87" i="100"/>
  <c r="D24" i="111"/>
  <c r="F149" i="111" s="1"/>
  <c r="E79" i="100"/>
  <c r="D16" i="111"/>
  <c r="F141" i="111" s="1"/>
  <c r="E119" i="100"/>
  <c r="D56" i="111"/>
  <c r="F181" i="111" s="1"/>
  <c r="E103" i="100"/>
  <c r="D40" i="111"/>
  <c r="F165" i="111" s="1"/>
  <c r="E109" i="100"/>
  <c r="D46" i="111"/>
  <c r="F171" i="111" s="1"/>
  <c r="E101" i="100"/>
  <c r="D38" i="111"/>
  <c r="F163" i="111" s="1"/>
  <c r="E105" i="100"/>
  <c r="D42" i="111"/>
  <c r="F167" i="111" s="1"/>
  <c r="E69" i="100"/>
  <c r="D6" i="111"/>
  <c r="F131" i="111" s="1"/>
  <c r="E98" i="100"/>
  <c r="D35" i="111"/>
  <c r="F160" i="111" s="1"/>
  <c r="E112" i="100"/>
  <c r="D49" i="111"/>
  <c r="F174" i="111" s="1"/>
  <c r="E89" i="100"/>
  <c r="D26" i="111"/>
  <c r="F151" i="111" s="1"/>
  <c r="E118" i="100"/>
  <c r="D55" i="111"/>
  <c r="F180" i="111" s="1"/>
  <c r="E108" i="100"/>
  <c r="D45" i="111"/>
  <c r="F170" i="111" s="1"/>
  <c r="E71" i="100"/>
  <c r="D8" i="111"/>
  <c r="F133" i="111" s="1"/>
  <c r="E81" i="100"/>
  <c r="D18" i="111"/>
  <c r="F143" i="111" s="1"/>
  <c r="E96" i="100"/>
  <c r="D33" i="111"/>
  <c r="F158" i="111" s="1"/>
  <c r="E95" i="100"/>
  <c r="D32" i="111"/>
  <c r="F157" i="111" s="1"/>
  <c r="E80" i="100"/>
  <c r="D17" i="111"/>
  <c r="F142" i="111" s="1"/>
  <c r="E73" i="100"/>
  <c r="D10" i="111"/>
  <c r="F135" i="111" s="1"/>
  <c r="E92" i="100"/>
  <c r="D29" i="111"/>
  <c r="F154" i="111" s="1"/>
  <c r="N46" i="100"/>
  <c r="N36" i="100"/>
  <c r="N28" i="100"/>
  <c r="N30" i="100"/>
  <c r="N27" i="100"/>
  <c r="N33" i="100"/>
  <c r="N47" i="100"/>
  <c r="N32" i="100"/>
  <c r="N22" i="100"/>
  <c r="N53" i="100"/>
  <c r="N43" i="100"/>
  <c r="N50" i="100"/>
  <c r="N31" i="100"/>
  <c r="N42" i="100"/>
  <c r="N20" i="100"/>
  <c r="N44" i="100"/>
  <c r="N37" i="100"/>
  <c r="N39" i="100"/>
  <c r="N48" i="100"/>
  <c r="N34" i="100"/>
  <c r="N19" i="100"/>
  <c r="N24" i="100"/>
  <c r="N45" i="100"/>
  <c r="N49" i="100"/>
  <c r="N25" i="100"/>
  <c r="N35" i="100"/>
  <c r="N56" i="100"/>
  <c r="N51" i="100"/>
  <c r="N54" i="100"/>
  <c r="N55" i="100"/>
  <c r="N21" i="100"/>
  <c r="N41" i="100"/>
  <c r="N57" i="100"/>
  <c r="N40" i="100"/>
  <c r="N23" i="100"/>
  <c r="N52" i="100"/>
  <c r="N29" i="100"/>
  <c r="N38" i="100"/>
  <c r="D39" i="110"/>
  <c r="E39" i="110" s="1"/>
  <c r="D34" i="110"/>
  <c r="E34" i="110" s="1"/>
  <c r="D48" i="110"/>
  <c r="E48" i="110" s="1"/>
  <c r="D6" i="110"/>
  <c r="E6" i="110" s="1"/>
  <c r="D15" i="110"/>
  <c r="E15" i="110" s="1"/>
  <c r="D56" i="110"/>
  <c r="E56" i="110" s="1"/>
  <c r="D13" i="110"/>
  <c r="E13" i="110" s="1"/>
  <c r="D22" i="110"/>
  <c r="E22" i="110" s="1"/>
  <c r="D12" i="110"/>
  <c r="E12" i="110" s="1"/>
  <c r="D27" i="110"/>
  <c r="E27" i="110" s="1"/>
  <c r="D47" i="110"/>
  <c r="E47" i="110" s="1"/>
  <c r="D40" i="110"/>
  <c r="E40" i="110" s="1"/>
  <c r="D21" i="110"/>
  <c r="E21" i="110" s="1"/>
  <c r="D9" i="110"/>
  <c r="E9" i="110" s="1"/>
  <c r="D46" i="110"/>
  <c r="E46" i="110" s="1"/>
  <c r="D20" i="110"/>
  <c r="E20" i="110" s="1"/>
  <c r="D35" i="110"/>
  <c r="E35" i="110" s="1"/>
  <c r="D43" i="110"/>
  <c r="E43" i="110" s="1"/>
  <c r="D7" i="110"/>
  <c r="E7" i="110" s="1"/>
  <c r="D37" i="110"/>
  <c r="E37" i="110" s="1"/>
  <c r="D28" i="110"/>
  <c r="E28" i="110" s="1"/>
  <c r="D31" i="110"/>
  <c r="E31" i="110" s="1"/>
  <c r="D41" i="110"/>
  <c r="E41" i="110" s="1"/>
  <c r="D24" i="110"/>
  <c r="E24" i="110" s="1"/>
  <c r="D38" i="110"/>
  <c r="E38" i="110" s="1"/>
  <c r="D42" i="110"/>
  <c r="E42" i="110" s="1"/>
  <c r="D26" i="110"/>
  <c r="E26" i="110" s="1"/>
  <c r="D55" i="110"/>
  <c r="E55" i="110" s="1"/>
  <c r="D45" i="110"/>
  <c r="E45" i="110" s="1"/>
  <c r="D18" i="110"/>
  <c r="E18" i="110" s="1"/>
  <c r="D33" i="110"/>
  <c r="E33" i="110" s="1"/>
  <c r="D32" i="110"/>
  <c r="E32" i="110" s="1"/>
  <c r="D17" i="110"/>
  <c r="E17" i="110" s="1"/>
  <c r="D10" i="110"/>
  <c r="E10" i="110" s="1"/>
  <c r="D29" i="110"/>
  <c r="E29" i="110" s="1"/>
  <c r="D49" i="110"/>
  <c r="E49" i="110" s="1"/>
  <c r="D8" i="110"/>
  <c r="E8" i="110" s="1"/>
  <c r="D19" i="110"/>
  <c r="E19" i="110" s="1"/>
  <c r="D16" i="110"/>
  <c r="E16" i="110" s="1"/>
  <c r="C57" i="110"/>
  <c r="E8" i="107"/>
  <c r="D18" i="107"/>
  <c r="D70" i="105"/>
  <c r="F78" i="100" l="1"/>
  <c r="E15" i="111"/>
  <c r="F191" i="111" s="1"/>
  <c r="L29" i="111"/>
  <c r="L38" i="111"/>
  <c r="L52" i="111"/>
  <c r="K52" i="111"/>
  <c r="K46" i="111"/>
  <c r="K35" i="111"/>
  <c r="L39" i="111"/>
  <c r="K39" i="111"/>
  <c r="K25" i="111"/>
  <c r="K47" i="111"/>
  <c r="K28" i="111"/>
  <c r="K55" i="111"/>
  <c r="K37" i="111"/>
  <c r="K44" i="111"/>
  <c r="K30" i="111"/>
  <c r="K56" i="111"/>
  <c r="K29" i="111"/>
  <c r="K57" i="111"/>
  <c r="K24" i="111"/>
  <c r="K41" i="111"/>
  <c r="K43" i="111"/>
  <c r="K20" i="111"/>
  <c r="K22" i="111"/>
  <c r="K38" i="111"/>
  <c r="K27" i="111"/>
  <c r="K42" i="111"/>
  <c r="K32" i="111"/>
  <c r="K40" i="111"/>
  <c r="K21" i="111"/>
  <c r="K19" i="111"/>
  <c r="K54" i="111"/>
  <c r="K23" i="111"/>
  <c r="K49" i="111"/>
  <c r="K31" i="111"/>
  <c r="K33" i="111"/>
  <c r="K51" i="111"/>
  <c r="K34" i="111"/>
  <c r="K50" i="111"/>
  <c r="K48" i="111"/>
  <c r="K45" i="111"/>
  <c r="K53" i="111"/>
  <c r="K36" i="111"/>
  <c r="K26" i="111"/>
  <c r="G49" i="110"/>
  <c r="K49" i="110"/>
  <c r="J49" i="110"/>
  <c r="F40" i="110"/>
  <c r="G40" i="110"/>
  <c r="J40" i="110"/>
  <c r="K40" i="110"/>
  <c r="F19" i="110"/>
  <c r="K19" i="110"/>
  <c r="G19" i="110"/>
  <c r="J19" i="110"/>
  <c r="F9" i="110"/>
  <c r="K9" i="110"/>
  <c r="J9" i="110"/>
  <c r="G9" i="110"/>
  <c r="K34" i="110"/>
  <c r="G34" i="110"/>
  <c r="J34" i="110"/>
  <c r="F8" i="110"/>
  <c r="K8" i="110"/>
  <c r="J8" i="110"/>
  <c r="G8" i="110"/>
  <c r="F38" i="110"/>
  <c r="J38" i="110"/>
  <c r="G38" i="110"/>
  <c r="K38" i="110"/>
  <c r="F21" i="110"/>
  <c r="G21" i="110"/>
  <c r="K21" i="110"/>
  <c r="J21" i="110"/>
  <c r="F39" i="110"/>
  <c r="K39" i="110"/>
  <c r="G39" i="110"/>
  <c r="J39" i="110"/>
  <c r="F29" i="110"/>
  <c r="K29" i="110"/>
  <c r="J29" i="110"/>
  <c r="G29" i="110"/>
  <c r="F41" i="110"/>
  <c r="K41" i="110"/>
  <c r="J41" i="110"/>
  <c r="G41" i="110"/>
  <c r="G47" i="110"/>
  <c r="J47" i="110"/>
  <c r="K47" i="110"/>
  <c r="F10" i="110"/>
  <c r="K10" i="110"/>
  <c r="G10" i="110"/>
  <c r="J10" i="110"/>
  <c r="F28" i="110"/>
  <c r="G28" i="110"/>
  <c r="K28" i="110"/>
  <c r="J28" i="110"/>
  <c r="K32" i="110"/>
  <c r="J32" i="110"/>
  <c r="G32" i="110"/>
  <c r="F24" i="110"/>
  <c r="J24" i="110"/>
  <c r="G24" i="110"/>
  <c r="K24" i="110"/>
  <c r="F37" i="110"/>
  <c r="G37" i="110"/>
  <c r="J37" i="110"/>
  <c r="K37" i="110"/>
  <c r="F7" i="110"/>
  <c r="K7" i="110"/>
  <c r="J7" i="110"/>
  <c r="G7" i="110"/>
  <c r="F27" i="110"/>
  <c r="J27" i="110"/>
  <c r="G27" i="110"/>
  <c r="K27" i="110"/>
  <c r="F22" i="110"/>
  <c r="J22" i="110"/>
  <c r="G22" i="110"/>
  <c r="K22" i="110"/>
  <c r="F18" i="110"/>
  <c r="J18" i="110"/>
  <c r="G18" i="110"/>
  <c r="K18" i="110"/>
  <c r="F32" i="110"/>
  <c r="F31" i="110"/>
  <c r="J31" i="110"/>
  <c r="K31" i="110"/>
  <c r="G31" i="110"/>
  <c r="F33" i="110"/>
  <c r="K33" i="110"/>
  <c r="J33" i="110"/>
  <c r="G33" i="110"/>
  <c r="F13" i="110"/>
  <c r="G13" i="110"/>
  <c r="K13" i="110"/>
  <c r="J13" i="110"/>
  <c r="F43" i="110"/>
  <c r="J43" i="110"/>
  <c r="K43" i="110"/>
  <c r="G43" i="110"/>
  <c r="F56" i="110"/>
  <c r="K56" i="110"/>
  <c r="J56" i="110"/>
  <c r="G56" i="110"/>
  <c r="F45" i="110"/>
  <c r="J45" i="110"/>
  <c r="G45" i="110"/>
  <c r="K45" i="110"/>
  <c r="F35" i="110"/>
  <c r="G35" i="110"/>
  <c r="K35" i="110"/>
  <c r="J35" i="110"/>
  <c r="F15" i="110"/>
  <c r="G15" i="110"/>
  <c r="K15" i="110"/>
  <c r="J15" i="110"/>
  <c r="F49" i="110"/>
  <c r="F6" i="110"/>
  <c r="G6" i="110"/>
  <c r="J6" i="110"/>
  <c r="K6" i="110"/>
  <c r="F34" i="110"/>
  <c r="F12" i="110"/>
  <c r="J12" i="110"/>
  <c r="K12" i="110"/>
  <c r="G12" i="110"/>
  <c r="F55" i="110"/>
  <c r="K55" i="110"/>
  <c r="G55" i="110"/>
  <c r="J55" i="110"/>
  <c r="F20" i="110"/>
  <c r="K20" i="110"/>
  <c r="J20" i="110"/>
  <c r="G20" i="110"/>
  <c r="F16" i="110"/>
  <c r="G16" i="110"/>
  <c r="K16" i="110"/>
  <c r="J16" i="110"/>
  <c r="F26" i="110"/>
  <c r="J26" i="110"/>
  <c r="G26" i="110"/>
  <c r="K26" i="110"/>
  <c r="F46" i="110"/>
  <c r="K46" i="110"/>
  <c r="J46" i="110"/>
  <c r="G46" i="110"/>
  <c r="F48" i="110"/>
  <c r="G48" i="110"/>
  <c r="J48" i="110"/>
  <c r="K48" i="110"/>
  <c r="F47" i="110"/>
  <c r="F17" i="110"/>
  <c r="K17" i="110"/>
  <c r="J17" i="110"/>
  <c r="G17" i="110"/>
  <c r="F42" i="110"/>
  <c r="J42" i="110"/>
  <c r="G42" i="110"/>
  <c r="K42" i="110"/>
  <c r="O42" i="100"/>
  <c r="O46" i="100"/>
  <c r="O51" i="100"/>
  <c r="O31" i="100"/>
  <c r="O49" i="100"/>
  <c r="O55" i="100"/>
  <c r="O56" i="100"/>
  <c r="O22" i="100"/>
  <c r="O34" i="100"/>
  <c r="O48" i="100"/>
  <c r="O35" i="100"/>
  <c r="O45" i="100"/>
  <c r="O38" i="100"/>
  <c r="O23" i="100"/>
  <c r="O39" i="100"/>
  <c r="O19" i="100"/>
  <c r="O30" i="100"/>
  <c r="O24" i="100"/>
  <c r="O26" i="100"/>
  <c r="O21" i="100"/>
  <c r="O40" i="100"/>
  <c r="O44" i="100"/>
  <c r="O33" i="100"/>
  <c r="O27" i="100"/>
  <c r="O28" i="100"/>
  <c r="O41" i="100"/>
  <c r="O20" i="100"/>
  <c r="O25" i="100"/>
  <c r="O36" i="100"/>
  <c r="O37" i="100"/>
  <c r="O52" i="100"/>
  <c r="O54" i="100"/>
  <c r="O32" i="100"/>
  <c r="O43" i="100"/>
  <c r="O53" i="100"/>
  <c r="O47" i="100"/>
  <c r="O57" i="100"/>
  <c r="O50" i="100"/>
  <c r="O29" i="100"/>
  <c r="E57" i="110"/>
  <c r="F58" i="111" s="1"/>
  <c r="G58" i="111" s="1"/>
  <c r="N26" i="100"/>
  <c r="E18" i="107"/>
  <c r="L26" i="111" l="1"/>
  <c r="L58" i="111" s="1"/>
  <c r="L59" i="111" s="1"/>
  <c r="E57" i="111"/>
  <c r="K58" i="111"/>
  <c r="G90" i="100"/>
  <c r="G87" i="100"/>
  <c r="G102" i="100"/>
  <c r="G71" i="100"/>
  <c r="G110" i="100"/>
  <c r="G101" i="100"/>
  <c r="G106" i="100"/>
  <c r="G108" i="100"/>
  <c r="G70" i="100"/>
  <c r="G95" i="100"/>
  <c r="G81" i="100"/>
  <c r="G84" i="100"/>
  <c r="G97" i="100"/>
  <c r="G103" i="100"/>
  <c r="G82" i="100"/>
  <c r="G89" i="100"/>
  <c r="G78" i="100"/>
  <c r="G91" i="100"/>
  <c r="G104" i="100"/>
  <c r="G94" i="100"/>
  <c r="G76" i="100"/>
  <c r="G80" i="100"/>
  <c r="G96" i="100"/>
  <c r="G109" i="100"/>
  <c r="G100" i="100"/>
  <c r="G112" i="100"/>
  <c r="G105" i="100"/>
  <c r="G118" i="100"/>
  <c r="G119" i="100"/>
  <c r="G111" i="100"/>
  <c r="G85" i="100"/>
  <c r="G72" i="100"/>
  <c r="G83" i="100"/>
  <c r="G69" i="100"/>
  <c r="G79" i="100"/>
  <c r="G75" i="100"/>
  <c r="G98" i="100"/>
  <c r="G73" i="100"/>
  <c r="G92" i="100"/>
  <c r="F57" i="110"/>
  <c r="G57" i="100"/>
  <c r="H57" i="100"/>
  <c r="B64" i="110"/>
  <c r="O58" i="100"/>
  <c r="O59" i="100" s="1"/>
  <c r="N58" i="100"/>
  <c r="G58" i="100" l="1"/>
  <c r="L31" i="110"/>
  <c r="L50" i="110"/>
  <c r="F50" i="111" s="1"/>
  <c r="L27" i="110"/>
  <c r="L12" i="110"/>
  <c r="L53" i="110"/>
  <c r="F53" i="111" s="1"/>
  <c r="L11" i="110"/>
  <c r="F11" i="111" s="1"/>
  <c r="L49" i="110"/>
  <c r="L9" i="110"/>
  <c r="L41" i="110"/>
  <c r="L46" i="110"/>
  <c r="L17" i="110"/>
  <c r="L36" i="110"/>
  <c r="F36" i="111" s="1"/>
  <c r="L15" i="110"/>
  <c r="L56" i="110"/>
  <c r="L34" i="110"/>
  <c r="F57" i="100"/>
  <c r="F17" i="111" l="1"/>
  <c r="M28" i="111" s="1"/>
  <c r="F46" i="111"/>
  <c r="F273" i="111" s="1"/>
  <c r="F41" i="111"/>
  <c r="M48" i="111" s="1"/>
  <c r="F9" i="111"/>
  <c r="M22" i="111" s="1"/>
  <c r="F49" i="111"/>
  <c r="F276" i="111" s="1"/>
  <c r="F12" i="111"/>
  <c r="M24" i="111" s="1"/>
  <c r="F34" i="111"/>
  <c r="F261" i="111" s="1"/>
  <c r="F27" i="111"/>
  <c r="F254" i="111" s="1"/>
  <c r="F56" i="111"/>
  <c r="F283" i="111" s="1"/>
  <c r="F15" i="111"/>
  <c r="F242" i="111" s="1"/>
  <c r="F31" i="111"/>
  <c r="F258" i="111" s="1"/>
  <c r="F238" i="111"/>
  <c r="M6" i="111"/>
  <c r="F280" i="111"/>
  <c r="M16" i="111"/>
  <c r="F263" i="111"/>
  <c r="M11" i="111"/>
  <c r="F277" i="111"/>
  <c r="M13" i="111"/>
  <c r="M52" i="111"/>
  <c r="L10" i="110"/>
  <c r="F10" i="111" s="1"/>
  <c r="L39" i="110"/>
  <c r="F39" i="111" s="1"/>
  <c r="L52" i="110"/>
  <c r="F52" i="111" s="1"/>
  <c r="L13" i="110"/>
  <c r="F13" i="111" s="1"/>
  <c r="L20" i="110"/>
  <c r="F20" i="111" s="1"/>
  <c r="L28" i="110"/>
  <c r="F28" i="111" s="1"/>
  <c r="L30" i="110"/>
  <c r="F30" i="111" s="1"/>
  <c r="L8" i="110"/>
  <c r="F8" i="111" s="1"/>
  <c r="L18" i="110"/>
  <c r="F18" i="111" s="1"/>
  <c r="L42" i="110"/>
  <c r="F42" i="111" s="1"/>
  <c r="L14" i="110"/>
  <c r="F14" i="111" s="1"/>
  <c r="L32" i="110"/>
  <c r="F32" i="111" s="1"/>
  <c r="L6" i="110"/>
  <c r="F6" i="111" s="1"/>
  <c r="J57" i="110"/>
  <c r="J59" i="110" s="1"/>
  <c r="L35" i="110"/>
  <c r="F35" i="111" s="1"/>
  <c r="L38" i="110"/>
  <c r="F38" i="111" s="1"/>
  <c r="L29" i="110"/>
  <c r="F29" i="111" s="1"/>
  <c r="L24" i="110"/>
  <c r="F24" i="111" s="1"/>
  <c r="L40" i="110"/>
  <c r="F40" i="111" s="1"/>
  <c r="L7" i="110"/>
  <c r="F7" i="111" s="1"/>
  <c r="L51" i="110"/>
  <c r="F51" i="111" s="1"/>
  <c r="L19" i="110"/>
  <c r="F19" i="111" s="1"/>
  <c r="L26" i="110"/>
  <c r="F26" i="111" s="1"/>
  <c r="L45" i="110"/>
  <c r="F45" i="111" s="1"/>
  <c r="L47" i="110"/>
  <c r="F47" i="111" s="1"/>
  <c r="L22" i="110"/>
  <c r="F22" i="111" s="1"/>
  <c r="L44" i="110"/>
  <c r="F44" i="111" s="1"/>
  <c r="L33" i="110"/>
  <c r="F33" i="111" s="1"/>
  <c r="L43" i="110"/>
  <c r="F43" i="111" s="1"/>
  <c r="L54" i="110"/>
  <c r="F54" i="111" s="1"/>
  <c r="L55" i="110"/>
  <c r="F55" i="111" s="1"/>
  <c r="L48" i="110"/>
  <c r="F48" i="111" s="1"/>
  <c r="K57" i="110"/>
  <c r="K59" i="110" s="1"/>
  <c r="L37" i="110"/>
  <c r="F37" i="111" s="1"/>
  <c r="L25" i="110"/>
  <c r="F25" i="111" s="1"/>
  <c r="L23" i="110"/>
  <c r="F23" i="111" s="1"/>
  <c r="L16" i="110"/>
  <c r="F16" i="111" s="1"/>
  <c r="L21" i="110"/>
  <c r="F21" i="111" s="1"/>
  <c r="B25" i="105"/>
  <c r="B71" i="105" s="1"/>
  <c r="M42" i="111" l="1"/>
  <c r="M26" i="111"/>
  <c r="F239" i="111"/>
  <c r="M36" i="111"/>
  <c r="M55" i="111"/>
  <c r="M39" i="111"/>
  <c r="M57" i="111"/>
  <c r="F236" i="111"/>
  <c r="F268" i="111"/>
  <c r="F57" i="111"/>
  <c r="F244" i="111"/>
  <c r="F281" i="111"/>
  <c r="M17" i="111"/>
  <c r="F251" i="111"/>
  <c r="M34" i="111"/>
  <c r="F255" i="111"/>
  <c r="M37" i="111"/>
  <c r="F265" i="111"/>
  <c r="M45" i="111"/>
  <c r="F240" i="111"/>
  <c r="M25" i="111"/>
  <c r="F247" i="111"/>
  <c r="M31" i="111"/>
  <c r="F262" i="111"/>
  <c r="M43" i="111"/>
  <c r="F279" i="111"/>
  <c r="M15" i="111"/>
  <c r="F256" i="111"/>
  <c r="M38" i="111"/>
  <c r="F266" i="111"/>
  <c r="M46" i="111"/>
  <c r="F274" i="111"/>
  <c r="M53" i="111"/>
  <c r="F237" i="111"/>
  <c r="M23" i="111"/>
  <c r="F250" i="111"/>
  <c r="M8" i="111"/>
  <c r="F259" i="111"/>
  <c r="M40" i="111"/>
  <c r="F271" i="111"/>
  <c r="M12" i="111"/>
  <c r="F253" i="111"/>
  <c r="M35" i="111"/>
  <c r="F241" i="111"/>
  <c r="M7" i="111"/>
  <c r="F249" i="111"/>
  <c r="M33" i="111"/>
  <c r="F269" i="111"/>
  <c r="M49" i="111"/>
  <c r="F270" i="111"/>
  <c r="M50" i="111"/>
  <c r="F248" i="111"/>
  <c r="M32" i="111"/>
  <c r="F252" i="111"/>
  <c r="M9" i="111"/>
  <c r="F246" i="111"/>
  <c r="M30" i="111"/>
  <c r="F278" i="111"/>
  <c r="M14" i="111"/>
  <c r="F245" i="111"/>
  <c r="M29" i="111"/>
  <c r="F272" i="111"/>
  <c r="M51" i="111"/>
  <c r="F264" i="111"/>
  <c r="M44" i="111"/>
  <c r="F275" i="111"/>
  <c r="M54" i="111"/>
  <c r="F234" i="111"/>
  <c r="M20" i="111"/>
  <c r="F235" i="111"/>
  <c r="M21" i="111"/>
  <c r="F260" i="111"/>
  <c r="M41" i="111"/>
  <c r="F243" i="111"/>
  <c r="M27" i="111"/>
  <c r="F282" i="111"/>
  <c r="M56" i="111"/>
  <c r="F267" i="111"/>
  <c r="M47" i="111"/>
  <c r="F257" i="111"/>
  <c r="M10" i="111"/>
  <c r="F233" i="111"/>
  <c r="M19" i="111"/>
  <c r="L57" i="110"/>
  <c r="B11" i="105"/>
  <c r="M18" i="111" l="1"/>
  <c r="M58" i="111"/>
  <c r="L59" i="110"/>
  <c r="C64" i="110" s="1"/>
  <c r="C20" i="105"/>
  <c r="D20" i="105" s="1"/>
  <c r="C21" i="105"/>
  <c r="D21" i="105" s="1"/>
  <c r="C13" i="105"/>
  <c r="D13" i="105" s="1"/>
  <c r="C22" i="105"/>
  <c r="D22" i="105" s="1"/>
  <c r="C23" i="105"/>
  <c r="D23" i="105" s="1"/>
  <c r="C17" i="105"/>
  <c r="D17" i="105" s="1"/>
  <c r="C24" i="105"/>
  <c r="D24" i="105" s="1"/>
  <c r="C19" i="105"/>
  <c r="D19" i="105" s="1"/>
  <c r="C14" i="105"/>
  <c r="D14" i="105" s="1"/>
  <c r="C15" i="105"/>
  <c r="D15" i="105" s="1"/>
  <c r="C16" i="105"/>
  <c r="D16" i="105" s="1"/>
  <c r="C18" i="105"/>
  <c r="D18" i="105" s="1"/>
  <c r="M59" i="111" l="1"/>
  <c r="E77" i="100"/>
  <c r="D14" i="111"/>
  <c r="F139" i="111" s="1"/>
  <c r="E74" i="100"/>
  <c r="D11" i="111"/>
  <c r="F136" i="111" s="1"/>
  <c r="E99" i="100"/>
  <c r="D36" i="111"/>
  <c r="F161" i="111" s="1"/>
  <c r="E86" i="100"/>
  <c r="D23" i="111"/>
  <c r="F148" i="111" s="1"/>
  <c r="E116" i="100"/>
  <c r="D53" i="111"/>
  <c r="F178" i="111" s="1"/>
  <c r="E115" i="100"/>
  <c r="D52" i="111"/>
  <c r="F177" i="111" s="1"/>
  <c r="E107" i="100"/>
  <c r="D44" i="111"/>
  <c r="F169" i="111" s="1"/>
  <c r="E117" i="100"/>
  <c r="D54" i="111"/>
  <c r="F179" i="111" s="1"/>
  <c r="E114" i="100"/>
  <c r="D51" i="111"/>
  <c r="F176" i="111" s="1"/>
  <c r="E88" i="100"/>
  <c r="D25" i="111"/>
  <c r="F150" i="111" s="1"/>
  <c r="E93" i="100"/>
  <c r="D30" i="111"/>
  <c r="F155" i="111" s="1"/>
  <c r="E113" i="100"/>
  <c r="D50" i="111"/>
  <c r="F175" i="111" s="1"/>
  <c r="N15" i="100"/>
  <c r="N6" i="100"/>
  <c r="N8" i="100"/>
  <c r="N7" i="100"/>
  <c r="N14" i="100"/>
  <c r="N13" i="100"/>
  <c r="N17" i="100"/>
  <c r="N12" i="100"/>
  <c r="N11" i="100"/>
  <c r="N16" i="100"/>
  <c r="N10" i="100"/>
  <c r="N9" i="100"/>
  <c r="D25" i="105"/>
  <c r="D71" i="105" s="1"/>
  <c r="E57" i="100"/>
  <c r="C25" i="105"/>
  <c r="C71" i="105" s="1"/>
  <c r="K13" i="111" l="1"/>
  <c r="K8" i="111"/>
  <c r="K15" i="111"/>
  <c r="K6" i="111"/>
  <c r="D57" i="111"/>
  <c r="K17" i="111"/>
  <c r="K10" i="111"/>
  <c r="K9" i="111"/>
  <c r="K11" i="111"/>
  <c r="K7" i="111"/>
  <c r="K16" i="111"/>
  <c r="K14" i="111"/>
  <c r="K12" i="111"/>
  <c r="N18" i="100"/>
  <c r="N59" i="100" s="1"/>
  <c r="K18" i="111" l="1"/>
  <c r="K59" i="111" s="1"/>
  <c r="D116" i="100"/>
  <c r="H116" i="100" s="1"/>
  <c r="D87" i="100"/>
  <c r="H87" i="100" s="1"/>
  <c r="D113" i="100"/>
  <c r="H113" i="100" s="1"/>
  <c r="D117" i="100"/>
  <c r="H117" i="100" s="1"/>
  <c r="D100" i="100"/>
  <c r="H100" i="100" s="1"/>
  <c r="P54" i="100"/>
  <c r="P8" i="100"/>
  <c r="P19" i="100"/>
  <c r="D73" i="100" l="1"/>
  <c r="H73" i="100" s="1"/>
  <c r="D105" i="100"/>
  <c r="H105" i="100" s="1"/>
  <c r="D72" i="100"/>
  <c r="H72" i="100" s="1"/>
  <c r="D86" i="100"/>
  <c r="H86" i="100" s="1"/>
  <c r="D79" i="100"/>
  <c r="H79" i="100" s="1"/>
  <c r="D80" i="100"/>
  <c r="H80" i="100" s="1"/>
  <c r="D77" i="100"/>
  <c r="H77" i="100" s="1"/>
  <c r="M44" i="100"/>
  <c r="I37" i="100"/>
  <c r="D91" i="100"/>
  <c r="H91" i="100" s="1"/>
  <c r="D93" i="100"/>
  <c r="H93" i="100" s="1"/>
  <c r="I54" i="100"/>
  <c r="M17" i="100"/>
  <c r="D85" i="100"/>
  <c r="H85" i="100" s="1"/>
  <c r="D75" i="100"/>
  <c r="H75" i="100" s="1"/>
  <c r="D102" i="100"/>
  <c r="H102" i="100" s="1"/>
  <c r="D119" i="100"/>
  <c r="H119" i="100" s="1"/>
  <c r="D89" i="100"/>
  <c r="H89" i="100" s="1"/>
  <c r="D98" i="100"/>
  <c r="H98" i="100" s="1"/>
  <c r="D111" i="100"/>
  <c r="H111" i="100" s="1"/>
  <c r="D115" i="100"/>
  <c r="H115" i="100" s="1"/>
  <c r="M13" i="100"/>
  <c r="I50" i="100"/>
  <c r="D109" i="100"/>
  <c r="H109" i="100" s="1"/>
  <c r="D92" i="100"/>
  <c r="H92" i="100" s="1"/>
  <c r="D81" i="100"/>
  <c r="H81" i="100" s="1"/>
  <c r="D88" i="100"/>
  <c r="H88" i="100" s="1"/>
  <c r="D118" i="100"/>
  <c r="H118" i="100" s="1"/>
  <c r="D108" i="100"/>
  <c r="H108" i="100" s="1"/>
  <c r="D99" i="100"/>
  <c r="H99" i="100" s="1"/>
  <c r="D97" i="100"/>
  <c r="H97" i="100" s="1"/>
  <c r="D69" i="100"/>
  <c r="H69" i="100" s="1"/>
  <c r="D90" i="100"/>
  <c r="H90" i="100" s="1"/>
  <c r="D95" i="100"/>
  <c r="H95" i="100" s="1"/>
  <c r="D71" i="100"/>
  <c r="H71" i="100" s="1"/>
  <c r="D82" i="100"/>
  <c r="H82" i="100" s="1"/>
  <c r="D104" i="100"/>
  <c r="H104" i="100" s="1"/>
  <c r="D96" i="100"/>
  <c r="H96" i="100" s="1"/>
  <c r="M34" i="100"/>
  <c r="I24" i="100"/>
  <c r="D76" i="100"/>
  <c r="H76" i="100" s="1"/>
  <c r="D101" i="100"/>
  <c r="H101" i="100" s="1"/>
  <c r="D83" i="100"/>
  <c r="H83" i="100" s="1"/>
  <c r="M16" i="100"/>
  <c r="I53" i="100"/>
  <c r="D103" i="100"/>
  <c r="H103" i="100" s="1"/>
  <c r="D78" i="100"/>
  <c r="H78" i="100" s="1"/>
  <c r="D70" i="100"/>
  <c r="H70" i="100" s="1"/>
  <c r="D114" i="100"/>
  <c r="H114" i="100" s="1"/>
  <c r="D112" i="100"/>
  <c r="H112" i="100" s="1"/>
  <c r="D107" i="100"/>
  <c r="H107" i="100" s="1"/>
  <c r="D110" i="100"/>
  <c r="H110" i="100" s="1"/>
  <c r="D84" i="100"/>
  <c r="H84" i="100" s="1"/>
  <c r="D106" i="100"/>
  <c r="H106" i="100" s="1"/>
  <c r="D94" i="100"/>
  <c r="H94" i="100" s="1"/>
  <c r="D74" i="100"/>
  <c r="H74" i="100" s="1"/>
  <c r="P29" i="100"/>
  <c r="P28" i="100"/>
  <c r="P34" i="100"/>
  <c r="P46" i="100"/>
  <c r="P16" i="100"/>
  <c r="P30" i="100"/>
  <c r="P36" i="100"/>
  <c r="P40" i="100"/>
  <c r="P7" i="100"/>
  <c r="P21" i="100"/>
  <c r="P43" i="100"/>
  <c r="P10" i="100"/>
  <c r="P37" i="100"/>
  <c r="P9" i="100"/>
  <c r="P56" i="100"/>
  <c r="P15" i="100"/>
  <c r="P26" i="100"/>
  <c r="P51" i="100"/>
  <c r="P44" i="100"/>
  <c r="Q44" i="100" s="1"/>
  <c r="P12" i="100"/>
  <c r="P48" i="100"/>
  <c r="P41" i="100"/>
  <c r="P52" i="100"/>
  <c r="P53" i="100"/>
  <c r="P32" i="100"/>
  <c r="P45" i="100"/>
  <c r="P13" i="100"/>
  <c r="Q13" i="100" s="1"/>
  <c r="P11" i="100"/>
  <c r="P27" i="100"/>
  <c r="P47" i="100"/>
  <c r="P57" i="100"/>
  <c r="P14" i="100"/>
  <c r="P55" i="100"/>
  <c r="P42" i="100"/>
  <c r="P35" i="100"/>
  <c r="P25" i="100"/>
  <c r="P6" i="100"/>
  <c r="P31" i="100"/>
  <c r="P17" i="100"/>
  <c r="P33" i="100"/>
  <c r="P24" i="100"/>
  <c r="P49" i="100"/>
  <c r="P22" i="100"/>
  <c r="P23" i="100"/>
  <c r="P38" i="100"/>
  <c r="P50" i="100"/>
  <c r="P39" i="100"/>
  <c r="Q34" i="100" l="1"/>
  <c r="M41" i="100"/>
  <c r="I33" i="100"/>
  <c r="D57" i="100"/>
  <c r="M19" i="100"/>
  <c r="I6" i="100"/>
  <c r="M29" i="100"/>
  <c r="Q29" i="100" s="1"/>
  <c r="I18" i="100"/>
  <c r="I44" i="100"/>
  <c r="M12" i="100"/>
  <c r="Q12" i="100" s="1"/>
  <c r="M48" i="100"/>
  <c r="Q48" i="100" s="1"/>
  <c r="I41" i="100"/>
  <c r="M38" i="100"/>
  <c r="Q38" i="100" s="1"/>
  <c r="I29" i="100"/>
  <c r="M27" i="100"/>
  <c r="Q27" i="100" s="1"/>
  <c r="I16" i="100"/>
  <c r="M42" i="100"/>
  <c r="Q42" i="100" s="1"/>
  <c r="I34" i="100"/>
  <c r="M6" i="100"/>
  <c r="Q6" i="100" s="1"/>
  <c r="I11" i="100"/>
  <c r="M55" i="100"/>
  <c r="Q55" i="100" s="1"/>
  <c r="I49" i="100"/>
  <c r="M35" i="100"/>
  <c r="Q35" i="100" s="1"/>
  <c r="I26" i="100"/>
  <c r="I30" i="100"/>
  <c r="M10" i="100"/>
  <c r="Q10" i="100" s="1"/>
  <c r="M31" i="100"/>
  <c r="Q31" i="100" s="1"/>
  <c r="I20" i="100"/>
  <c r="M30" i="100"/>
  <c r="Q30" i="100" s="1"/>
  <c r="I19" i="100"/>
  <c r="M11" i="100"/>
  <c r="Q11" i="100" s="1"/>
  <c r="I36" i="100"/>
  <c r="M52" i="100"/>
  <c r="Q52" i="100" s="1"/>
  <c r="I46" i="100"/>
  <c r="M8" i="100"/>
  <c r="Q8" i="100" s="1"/>
  <c r="I23" i="100"/>
  <c r="M43" i="100"/>
  <c r="Q43" i="100" s="1"/>
  <c r="I35" i="100"/>
  <c r="M39" i="100"/>
  <c r="Q39" i="100" s="1"/>
  <c r="I31" i="100"/>
  <c r="M14" i="100"/>
  <c r="Q14" i="100" s="1"/>
  <c r="I51" i="100"/>
  <c r="M57" i="100"/>
  <c r="Q57" i="100" s="1"/>
  <c r="I56" i="100"/>
  <c r="M37" i="100"/>
  <c r="Q37" i="100" s="1"/>
  <c r="I28" i="100"/>
  <c r="M45" i="100"/>
  <c r="Q45" i="100" s="1"/>
  <c r="I38" i="100"/>
  <c r="M21" i="100"/>
  <c r="Q21" i="100" s="1"/>
  <c r="I8" i="100"/>
  <c r="M51" i="100"/>
  <c r="Q51" i="100" s="1"/>
  <c r="I45" i="100"/>
  <c r="M22" i="100"/>
  <c r="Q22" i="100" s="1"/>
  <c r="I9" i="100"/>
  <c r="Q17" i="100"/>
  <c r="Q16" i="100"/>
  <c r="M50" i="100"/>
  <c r="Q50" i="100" s="1"/>
  <c r="I43" i="100"/>
  <c r="M20" i="100"/>
  <c r="I7" i="100"/>
  <c r="M46" i="100"/>
  <c r="Q46" i="100" s="1"/>
  <c r="I39" i="100"/>
  <c r="Q41" i="100"/>
  <c r="M25" i="100"/>
  <c r="Q25" i="100" s="1"/>
  <c r="I13" i="100"/>
  <c r="M40" i="100"/>
  <c r="Q40" i="100" s="1"/>
  <c r="I32" i="100"/>
  <c r="M56" i="100"/>
  <c r="Q56" i="100" s="1"/>
  <c r="I55" i="100"/>
  <c r="M49" i="100"/>
  <c r="Q49" i="100" s="1"/>
  <c r="I42" i="100"/>
  <c r="M32" i="100"/>
  <c r="Q32" i="100" s="1"/>
  <c r="I21" i="100"/>
  <c r="M26" i="100"/>
  <c r="Q26" i="100" s="1"/>
  <c r="I15" i="100"/>
  <c r="I52" i="100"/>
  <c r="M15" i="100"/>
  <c r="Q15" i="100" s="1"/>
  <c r="M24" i="100"/>
  <c r="Q24" i="100" s="1"/>
  <c r="I12" i="100"/>
  <c r="I14" i="100"/>
  <c r="M7" i="100"/>
  <c r="Q7" i="100" s="1"/>
  <c r="M36" i="100"/>
  <c r="Q36" i="100" s="1"/>
  <c r="I27" i="100"/>
  <c r="M9" i="100"/>
  <c r="Q9" i="100" s="1"/>
  <c r="I25" i="100"/>
  <c r="M23" i="100"/>
  <c r="Q23" i="100" s="1"/>
  <c r="I10" i="100"/>
  <c r="M53" i="100"/>
  <c r="Q53" i="100" s="1"/>
  <c r="I47" i="100"/>
  <c r="M47" i="100"/>
  <c r="Q47" i="100" s="1"/>
  <c r="I40" i="100"/>
  <c r="M54" i="100"/>
  <c r="Q54" i="100" s="1"/>
  <c r="I48" i="100"/>
  <c r="M33" i="100"/>
  <c r="Q33" i="100" s="1"/>
  <c r="I22" i="100"/>
  <c r="M28" i="100"/>
  <c r="Q28" i="100" s="1"/>
  <c r="I17" i="100"/>
  <c r="P18" i="100"/>
  <c r="P20" i="100"/>
  <c r="C57" i="100"/>
  <c r="D58" i="100" l="1"/>
  <c r="I57" i="100"/>
  <c r="M58" i="100"/>
  <c r="Q19" i="100"/>
  <c r="M18" i="100"/>
  <c r="Q18" i="100"/>
  <c r="Q20" i="100"/>
  <c r="Q58" i="100" s="1"/>
  <c r="P58" i="100"/>
  <c r="P59" i="100" s="1"/>
  <c r="Q59" i="100" l="1"/>
  <c r="M59" i="100"/>
  <c r="D7" i="104"/>
  <c r="D9" i="104" s="1"/>
  <c r="D25" i="104"/>
  <c r="D33" i="104"/>
  <c r="D8" i="104" l="1"/>
  <c r="E24" i="104" s="1"/>
  <c r="E38" i="104"/>
  <c r="E29" i="104"/>
  <c r="D53" i="104"/>
  <c r="D29" i="104"/>
  <c r="D18" i="104"/>
  <c r="D32" i="104"/>
  <c r="E19" i="104"/>
  <c r="E67" i="104"/>
  <c r="E53" i="104"/>
  <c r="F53" i="104" s="1"/>
  <c r="C35" i="111" s="1"/>
  <c r="F109" i="111" s="1"/>
  <c r="E56" i="104"/>
  <c r="D22" i="104"/>
  <c r="D52" i="104"/>
  <c r="E21" i="104"/>
  <c r="D45" i="104"/>
  <c r="E47" i="104"/>
  <c r="E58" i="104"/>
  <c r="E36" i="104"/>
  <c r="D67" i="104"/>
  <c r="J29" i="104"/>
  <c r="N14" i="104" s="1"/>
  <c r="D61" i="104"/>
  <c r="D16" i="104"/>
  <c r="E14" i="104"/>
  <c r="D14" i="104"/>
  <c r="D54" i="104"/>
  <c r="D24" i="104"/>
  <c r="D49" i="104"/>
  <c r="E23" i="104"/>
  <c r="E39" i="104"/>
  <c r="E44" i="104"/>
  <c r="E46" i="104"/>
  <c r="D42" i="104"/>
  <c r="E20" i="104"/>
  <c r="E64" i="104"/>
  <c r="E51" i="104"/>
  <c r="E63" i="104"/>
  <c r="D31" i="104"/>
  <c r="D20" i="104"/>
  <c r="E15" i="104"/>
  <c r="D40" i="104"/>
  <c r="E60" i="104"/>
  <c r="E59" i="104"/>
  <c r="E43" i="104"/>
  <c r="D59" i="104"/>
  <c r="D56" i="104"/>
  <c r="F29" i="104"/>
  <c r="C6" i="111" s="1"/>
  <c r="F80" i="111" s="1"/>
  <c r="D66" i="104"/>
  <c r="D15" i="104"/>
  <c r="D60" i="104"/>
  <c r="D23" i="104"/>
  <c r="E22" i="104"/>
  <c r="E35" i="104"/>
  <c r="E40" i="104"/>
  <c r="E54" i="104"/>
  <c r="D58" i="104"/>
  <c r="E18" i="104"/>
  <c r="F18" i="104" s="1"/>
  <c r="C30" i="111" s="1"/>
  <c r="F104" i="111" s="1"/>
  <c r="E32" i="104"/>
  <c r="E34" i="104"/>
  <c r="E50" i="104"/>
  <c r="D41" i="104"/>
  <c r="D37" i="104"/>
  <c r="E16" i="104"/>
  <c r="D19" i="104"/>
  <c r="E30" i="104"/>
  <c r="E65" i="104"/>
  <c r="E48" i="104"/>
  <c r="D44" i="104"/>
  <c r="D50" i="104"/>
  <c r="D46" i="104"/>
  <c r="E66" i="104"/>
  <c r="E55" i="104"/>
  <c r="E62" i="104"/>
  <c r="E37" i="104"/>
  <c r="D64" i="104"/>
  <c r="D36" i="104"/>
  <c r="D17" i="104"/>
  <c r="D57" i="104"/>
  <c r="D55" i="104"/>
  <c r="E17" i="104"/>
  <c r="D51" i="104"/>
  <c r="E42" i="104"/>
  <c r="E49" i="104"/>
  <c r="E45" i="104"/>
  <c r="E61" i="104"/>
  <c r="D34" i="104"/>
  <c r="D63" i="104"/>
  <c r="D43" i="104"/>
  <c r="D65" i="104"/>
  <c r="D62" i="104"/>
  <c r="D38" i="104"/>
  <c r="D39" i="104"/>
  <c r="E25" i="104"/>
  <c r="J25" i="104" s="1"/>
  <c r="N62" i="104" s="1"/>
  <c r="E52" i="104"/>
  <c r="E57" i="104"/>
  <c r="E31" i="104"/>
  <c r="D30" i="104"/>
  <c r="D68" i="104" s="1"/>
  <c r="D48" i="104"/>
  <c r="D47" i="104"/>
  <c r="D21" i="104"/>
  <c r="D35" i="104"/>
  <c r="E41" i="104"/>
  <c r="E33" i="104"/>
  <c r="J33" i="104" s="1"/>
  <c r="N18" i="104" s="1"/>
  <c r="N43" i="111" l="1"/>
  <c r="O43" i="111" s="1"/>
  <c r="G35" i="111"/>
  <c r="N10" i="111"/>
  <c r="O10" i="111" s="1"/>
  <c r="G30" i="111"/>
  <c r="N19" i="111"/>
  <c r="G6" i="111"/>
  <c r="J53" i="104"/>
  <c r="N43" i="104" s="1"/>
  <c r="E68" i="104"/>
  <c r="E26" i="104"/>
  <c r="F16" i="104"/>
  <c r="C23" i="111" s="1"/>
  <c r="F97" i="111" s="1"/>
  <c r="J16" i="104"/>
  <c r="N31" i="104" s="1"/>
  <c r="F61" i="104"/>
  <c r="C45" i="111" s="1"/>
  <c r="F119" i="111" s="1"/>
  <c r="J61" i="104"/>
  <c r="N53" i="104" s="1"/>
  <c r="J51" i="104"/>
  <c r="N41" i="104" s="1"/>
  <c r="F51" i="104"/>
  <c r="C33" i="111" s="1"/>
  <c r="F107" i="111" s="1"/>
  <c r="J50" i="104"/>
  <c r="N40" i="104" s="1"/>
  <c r="F50" i="104"/>
  <c r="C32" i="111" s="1"/>
  <c r="F106" i="111" s="1"/>
  <c r="F59" i="104"/>
  <c r="C42" i="111" s="1"/>
  <c r="F116" i="111" s="1"/>
  <c r="J59" i="104"/>
  <c r="N50" i="104" s="1"/>
  <c r="F67" i="104"/>
  <c r="C56" i="111" s="1"/>
  <c r="F130" i="111" s="1"/>
  <c r="J67" i="104"/>
  <c r="N64" i="104" s="1"/>
  <c r="J32" i="104"/>
  <c r="N17" i="104" s="1"/>
  <c r="F32" i="104"/>
  <c r="C9" i="111" s="1"/>
  <c r="F83" i="111" s="1"/>
  <c r="F42" i="104"/>
  <c r="C21" i="111" s="1"/>
  <c r="F95" i="111" s="1"/>
  <c r="J42" i="104"/>
  <c r="N29" i="104" s="1"/>
  <c r="J39" i="104"/>
  <c r="N26" i="104" s="1"/>
  <c r="F39" i="104"/>
  <c r="C18" i="111" s="1"/>
  <c r="F92" i="111" s="1"/>
  <c r="J44" i="104"/>
  <c r="N32" i="104" s="1"/>
  <c r="F44" i="104"/>
  <c r="C24" i="111" s="1"/>
  <c r="F98" i="111" s="1"/>
  <c r="F58" i="104"/>
  <c r="C41" i="111" s="1"/>
  <c r="F115" i="111" s="1"/>
  <c r="J58" i="104"/>
  <c r="N49" i="104" s="1"/>
  <c r="J35" i="104"/>
  <c r="N21" i="104" s="1"/>
  <c r="F35" i="104"/>
  <c r="C13" i="111" s="1"/>
  <c r="F87" i="111" s="1"/>
  <c r="J65" i="104"/>
  <c r="N57" i="104" s="1"/>
  <c r="F65" i="104"/>
  <c r="C49" i="111" s="1"/>
  <c r="F123" i="111" s="1"/>
  <c r="J17" i="104"/>
  <c r="N33" i="104" s="1"/>
  <c r="F17" i="104"/>
  <c r="C25" i="111" s="1"/>
  <c r="F99" i="111" s="1"/>
  <c r="F40" i="104"/>
  <c r="C19" i="111" s="1"/>
  <c r="F93" i="111" s="1"/>
  <c r="J40" i="104"/>
  <c r="N27" i="104" s="1"/>
  <c r="J18" i="104"/>
  <c r="N38" i="104" s="1"/>
  <c r="J23" i="104"/>
  <c r="N60" i="104" s="1"/>
  <c r="F23" i="104"/>
  <c r="C52" i="111" s="1"/>
  <c r="F126" i="111" s="1"/>
  <c r="J38" i="104"/>
  <c r="N25" i="104" s="1"/>
  <c r="F38" i="104"/>
  <c r="C17" i="111" s="1"/>
  <c r="F91" i="111" s="1"/>
  <c r="J55" i="104"/>
  <c r="N46" i="104" s="1"/>
  <c r="F55" i="104"/>
  <c r="C38" i="111" s="1"/>
  <c r="F112" i="111" s="1"/>
  <c r="F62" i="104"/>
  <c r="C46" i="111" s="1"/>
  <c r="F120" i="111" s="1"/>
  <c r="J62" i="104"/>
  <c r="N54" i="104" s="1"/>
  <c r="J57" i="104"/>
  <c r="N48" i="104" s="1"/>
  <c r="F57" i="104"/>
  <c r="C40" i="111" s="1"/>
  <c r="F114" i="111" s="1"/>
  <c r="J21" i="104"/>
  <c r="N58" i="104" s="1"/>
  <c r="F21" i="104"/>
  <c r="C50" i="111" s="1"/>
  <c r="F124" i="111" s="1"/>
  <c r="F43" i="104"/>
  <c r="C22" i="111" s="1"/>
  <c r="F96" i="111" s="1"/>
  <c r="J43" i="104"/>
  <c r="N30" i="104" s="1"/>
  <c r="F36" i="104"/>
  <c r="C15" i="111" s="1"/>
  <c r="F89" i="111" s="1"/>
  <c r="J36" i="104"/>
  <c r="N23" i="104" s="1"/>
  <c r="J19" i="104"/>
  <c r="N44" i="104" s="1"/>
  <c r="F19" i="104"/>
  <c r="C36" i="111" s="1"/>
  <c r="F110" i="111" s="1"/>
  <c r="F47" i="104"/>
  <c r="C28" i="111" s="1"/>
  <c r="F102" i="111" s="1"/>
  <c r="J47" i="104"/>
  <c r="N36" i="104" s="1"/>
  <c r="J63" i="104"/>
  <c r="N55" i="104" s="1"/>
  <c r="F63" i="104"/>
  <c r="C47" i="111" s="1"/>
  <c r="F121" i="111" s="1"/>
  <c r="F64" i="104"/>
  <c r="C48" i="111" s="1"/>
  <c r="F122" i="111" s="1"/>
  <c r="J64" i="104"/>
  <c r="N56" i="104" s="1"/>
  <c r="J48" i="104"/>
  <c r="N37" i="104" s="1"/>
  <c r="F48" i="104"/>
  <c r="C29" i="111" s="1"/>
  <c r="F103" i="111" s="1"/>
  <c r="J34" i="104"/>
  <c r="N20" i="104" s="1"/>
  <c r="F34" i="104"/>
  <c r="C12" i="111" s="1"/>
  <c r="F86" i="111" s="1"/>
  <c r="F37" i="104"/>
  <c r="C16" i="111" s="1"/>
  <c r="F90" i="111" s="1"/>
  <c r="J37" i="104"/>
  <c r="N24" i="104" s="1"/>
  <c r="F60" i="104"/>
  <c r="C43" i="111" s="1"/>
  <c r="F117" i="111" s="1"/>
  <c r="J60" i="104"/>
  <c r="N51" i="104" s="1"/>
  <c r="F49" i="104"/>
  <c r="C31" i="111" s="1"/>
  <c r="F105" i="111" s="1"/>
  <c r="J49" i="104"/>
  <c r="N39" i="104" s="1"/>
  <c r="F45" i="104"/>
  <c r="C26" i="111" s="1"/>
  <c r="F100" i="111" s="1"/>
  <c r="J45" i="104"/>
  <c r="N34" i="104" s="1"/>
  <c r="J46" i="104"/>
  <c r="N35" i="104" s="1"/>
  <c r="F46" i="104"/>
  <c r="C27" i="111" s="1"/>
  <c r="F101" i="111" s="1"/>
  <c r="J56" i="104"/>
  <c r="N47" i="104" s="1"/>
  <c r="F56" i="104"/>
  <c r="C39" i="111" s="1"/>
  <c r="F113" i="111" s="1"/>
  <c r="J41" i="104"/>
  <c r="N28" i="104" s="1"/>
  <c r="F41" i="104"/>
  <c r="C20" i="111" s="1"/>
  <c r="F94" i="111" s="1"/>
  <c r="F15" i="104"/>
  <c r="C14" i="111" s="1"/>
  <c r="F88" i="111" s="1"/>
  <c r="J15" i="104"/>
  <c r="N22" i="104" s="1"/>
  <c r="F20" i="104"/>
  <c r="C44" i="111" s="1"/>
  <c r="F118" i="111" s="1"/>
  <c r="J20" i="104"/>
  <c r="N52" i="104" s="1"/>
  <c r="F24" i="104"/>
  <c r="C53" i="111" s="1"/>
  <c r="F127" i="111" s="1"/>
  <c r="J24" i="104"/>
  <c r="N61" i="104" s="1"/>
  <c r="F25" i="104"/>
  <c r="C54" i="111" s="1"/>
  <c r="F128" i="111" s="1"/>
  <c r="J30" i="104"/>
  <c r="N15" i="104" s="1"/>
  <c r="F30" i="104"/>
  <c r="C7" i="111" s="1"/>
  <c r="F81" i="111" s="1"/>
  <c r="F66" i="104"/>
  <c r="C55" i="111" s="1"/>
  <c r="F129" i="111" s="1"/>
  <c r="J66" i="104"/>
  <c r="N63" i="104" s="1"/>
  <c r="F31" i="104"/>
  <c r="C8" i="111" s="1"/>
  <c r="F82" i="111" s="1"/>
  <c r="J31" i="104"/>
  <c r="N16" i="104" s="1"/>
  <c r="J54" i="104"/>
  <c r="N45" i="104" s="1"/>
  <c r="F54" i="104"/>
  <c r="C37" i="111" s="1"/>
  <c r="F111" i="111" s="1"/>
  <c r="F52" i="104"/>
  <c r="C34" i="111" s="1"/>
  <c r="F108" i="111" s="1"/>
  <c r="J52" i="104"/>
  <c r="N42" i="104" s="1"/>
  <c r="J14" i="104"/>
  <c r="N19" i="104" s="1"/>
  <c r="D26" i="104"/>
  <c r="D69" i="104" s="1"/>
  <c r="F14" i="104"/>
  <c r="C11" i="111" s="1"/>
  <c r="F85" i="111" s="1"/>
  <c r="F22" i="104"/>
  <c r="C51" i="111" s="1"/>
  <c r="F125" i="111" s="1"/>
  <c r="J22" i="104"/>
  <c r="N59" i="104" s="1"/>
  <c r="F33" i="104"/>
  <c r="C10" i="111" s="1"/>
  <c r="F84" i="111" s="1"/>
  <c r="C57" i="111" l="1"/>
  <c r="N7" i="111"/>
  <c r="O7" i="111" s="1"/>
  <c r="G14" i="111"/>
  <c r="N50" i="111"/>
  <c r="O50" i="111" s="1"/>
  <c r="G43" i="111"/>
  <c r="N37" i="111"/>
  <c r="O37" i="111" s="1"/>
  <c r="G28" i="111"/>
  <c r="N52" i="111"/>
  <c r="O52" i="111" s="1"/>
  <c r="G46" i="111"/>
  <c r="N55" i="111"/>
  <c r="O55" i="111" s="1"/>
  <c r="G49" i="111"/>
  <c r="N22" i="111"/>
  <c r="O22" i="111" s="1"/>
  <c r="G9" i="111"/>
  <c r="N21" i="111"/>
  <c r="O21" i="111" s="1"/>
  <c r="G8" i="111"/>
  <c r="N31" i="111"/>
  <c r="O31" i="111" s="1"/>
  <c r="G20" i="111"/>
  <c r="N11" i="111"/>
  <c r="O11" i="111" s="1"/>
  <c r="G36" i="111"/>
  <c r="N45" i="111"/>
  <c r="O45" i="111" s="1"/>
  <c r="G38" i="111"/>
  <c r="N8" i="111"/>
  <c r="O8" i="111" s="1"/>
  <c r="G23" i="111"/>
  <c r="N27" i="111"/>
  <c r="O27" i="111" s="1"/>
  <c r="G16" i="111"/>
  <c r="N25" i="111"/>
  <c r="O25" i="111" s="1"/>
  <c r="G13" i="111"/>
  <c r="N46" i="111"/>
  <c r="O46" i="111" s="1"/>
  <c r="G39" i="111"/>
  <c r="N24" i="111"/>
  <c r="O24" i="111" s="1"/>
  <c r="G12" i="111"/>
  <c r="N28" i="111"/>
  <c r="O28" i="111" s="1"/>
  <c r="G17" i="111"/>
  <c r="N57" i="111"/>
  <c r="O57" i="111" s="1"/>
  <c r="G56" i="111"/>
  <c r="N23" i="111"/>
  <c r="O23" i="111" s="1"/>
  <c r="G10" i="111"/>
  <c r="N14" i="111"/>
  <c r="O14" i="111" s="1"/>
  <c r="G51" i="111"/>
  <c r="N26" i="111"/>
  <c r="O26" i="111" s="1"/>
  <c r="G15" i="111"/>
  <c r="N56" i="111"/>
  <c r="O56" i="111" s="1"/>
  <c r="G55" i="111"/>
  <c r="N36" i="111"/>
  <c r="O36" i="111" s="1"/>
  <c r="G27" i="111"/>
  <c r="N38" i="111"/>
  <c r="O38" i="111" s="1"/>
  <c r="G29" i="111"/>
  <c r="N15" i="111"/>
  <c r="O15" i="111" s="1"/>
  <c r="G52" i="111"/>
  <c r="N48" i="111"/>
  <c r="O48" i="111" s="1"/>
  <c r="G41" i="111"/>
  <c r="N49" i="111"/>
  <c r="O49" i="111" s="1"/>
  <c r="G42" i="111"/>
  <c r="N17" i="111"/>
  <c r="O17" i="111" s="1"/>
  <c r="G54" i="111"/>
  <c r="N33" i="111"/>
  <c r="O33" i="111" s="1"/>
  <c r="G22" i="111"/>
  <c r="N34" i="111"/>
  <c r="O34" i="111" s="1"/>
  <c r="G24" i="111"/>
  <c r="N40" i="111"/>
  <c r="O40" i="111" s="1"/>
  <c r="G32" i="111"/>
  <c r="N20" i="111"/>
  <c r="O20" i="111" s="1"/>
  <c r="G7" i="111"/>
  <c r="N13" i="111"/>
  <c r="O13" i="111" s="1"/>
  <c r="G50" i="111"/>
  <c r="O19" i="111"/>
  <c r="N6" i="111"/>
  <c r="G11" i="111"/>
  <c r="N16" i="111"/>
  <c r="O16" i="111" s="1"/>
  <c r="G53" i="111"/>
  <c r="N35" i="111"/>
  <c r="O35" i="111" s="1"/>
  <c r="G26" i="111"/>
  <c r="N54" i="111"/>
  <c r="O54" i="111" s="1"/>
  <c r="G48" i="111"/>
  <c r="N29" i="111"/>
  <c r="O29" i="111" s="1"/>
  <c r="G18" i="111"/>
  <c r="N41" i="111"/>
  <c r="O41" i="111" s="1"/>
  <c r="G33" i="111"/>
  <c r="N42" i="111"/>
  <c r="O42" i="111" s="1"/>
  <c r="G34" i="111"/>
  <c r="N53" i="111"/>
  <c r="O53" i="111" s="1"/>
  <c r="G47" i="111"/>
  <c r="N47" i="111"/>
  <c r="O47" i="111" s="1"/>
  <c r="G40" i="111"/>
  <c r="N30" i="111"/>
  <c r="O30" i="111" s="1"/>
  <c r="G19" i="111"/>
  <c r="N44" i="111"/>
  <c r="O44" i="111" s="1"/>
  <c r="G37" i="111"/>
  <c r="N12" i="111"/>
  <c r="O12" i="111" s="1"/>
  <c r="G44" i="111"/>
  <c r="N39" i="111"/>
  <c r="O39" i="111" s="1"/>
  <c r="G31" i="111"/>
  <c r="N9" i="111"/>
  <c r="O9" i="111" s="1"/>
  <c r="G25" i="111"/>
  <c r="N32" i="111"/>
  <c r="O32" i="111" s="1"/>
  <c r="G21" i="111"/>
  <c r="N51" i="111"/>
  <c r="O51" i="111" s="1"/>
  <c r="G45" i="111"/>
  <c r="F68" i="104"/>
  <c r="N65" i="104"/>
  <c r="O65" i="104" s="1"/>
  <c r="E69" i="104"/>
  <c r="F26" i="104"/>
  <c r="G57" i="111" l="1"/>
  <c r="N18" i="111"/>
  <c r="O6" i="111"/>
  <c r="O18" i="111" s="1"/>
  <c r="F69" i="104"/>
  <c r="O58" i="111"/>
  <c r="N58" i="111"/>
  <c r="N59" i="111" s="1"/>
  <c r="O59" i="111" l="1"/>
</calcChain>
</file>

<file path=xl/sharedStrings.xml><?xml version="1.0" encoding="utf-8"?>
<sst xmlns="http://schemas.openxmlformats.org/spreadsheetml/2006/main" count="1857" uniqueCount="241">
  <si>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</si>
  <si>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</si>
  <si>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</si>
  <si>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</si>
  <si>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</si>
  <si>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</si>
  <si>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</si>
  <si>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</si>
  <si>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</si>
  <si>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</si>
  <si>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</si>
  <si>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</si>
  <si>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</si>
  <si>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</si>
  <si>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</si>
  <si>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</si>
  <si>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</si>
  <si>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</si>
  <si>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</si>
  <si>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</si>
  <si>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</si>
  <si>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</si>
  <si>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</si>
  <si>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</si>
  <si>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</si>
  <si>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</si>
  <si>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</si>
  <si>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</si>
  <si>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</si>
  <si>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</si>
  <si>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</si>
  <si>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</si>
  <si>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</si>
  <si>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</si>
  <si>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</si>
  <si>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</si>
  <si>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</si>
  <si>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</si>
  <si>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</si>
  <si>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</si>
  <si>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</si>
  <si>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</si>
  <si>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</si>
  <si>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</si>
  <si>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</si>
  <si>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</si>
  <si>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</si>
  <si>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</si>
  <si>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</si>
  <si>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</si>
  <si>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</si>
  <si>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</si>
  <si>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</si>
  <si>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</si>
  <si>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COEFICIENTE DE PARTICIPACIÓN</t>
  </si>
  <si>
    <t>Fondo General de Participaciones (FGP)</t>
  </si>
  <si>
    <t>Impuesto Especial sobre Producción y Servicios (IEPS)</t>
  </si>
  <si>
    <t>Fondo de Fiscalización y Recaudación (FOFIR)</t>
  </si>
  <si>
    <t xml:space="preserve">Impuesto sobre Adquisición de Vehículos Nuevos (ISAN) </t>
  </si>
  <si>
    <t>IEPSGyD</t>
  </si>
  <si>
    <t>Fondo de Fomento Municipal (FFM) 70%</t>
  </si>
  <si>
    <t>Fondo de Fomento Municipal (FFM) 30%</t>
  </si>
  <si>
    <t>INFORMACIÓN MUNICIPIOS</t>
  </si>
  <si>
    <t>Municipio</t>
  </si>
  <si>
    <t>DISTRIBUCIÓN POR EFECTIVIDAD RECAUDACIÓN  PREDIAL</t>
  </si>
  <si>
    <t>DISTRIBUCIÓN POR POBLACIÓN Y TERRITORIO</t>
  </si>
  <si>
    <t>DISTRIBUCIÓN POR ÍNDICE DE POBREZA</t>
  </si>
  <si>
    <t>MONTO OBS. + ESTIM. DE PARTICIPACIONES</t>
  </si>
  <si>
    <t>$</t>
  </si>
  <si>
    <t>CER*50%</t>
  </si>
  <si>
    <t>CEPT*25%</t>
  </si>
  <si>
    <t>CIMP*25%</t>
  </si>
  <si>
    <t>MAE1=(CEPT*25%)+(CIMP*25%)+(CER*50%)</t>
  </si>
  <si>
    <t>CEP= MAE1/∑MAE1</t>
  </si>
  <si>
    <t>Facturación y Recaudación del Impuesto Predial                                                                          Facturación y Recaudación del Impuesto Predial                                                                          Facturación y Recaudación del Impuesto Predial</t>
  </si>
  <si>
    <t>índice Municipal de Pobreza                              índice Municipal de Pobreza                                          índice Municipal de Pobreza</t>
  </si>
  <si>
    <t>Territorio</t>
  </si>
  <si>
    <t>Población y Territorio</t>
  </si>
  <si>
    <t>Coeficiente de Recaudación Predial</t>
  </si>
  <si>
    <t>85% población</t>
  </si>
  <si>
    <t>15% Territorio</t>
  </si>
  <si>
    <t>Coeficiente Población y Territorio</t>
  </si>
  <si>
    <t>Coeficiente índice de Pobreza Municipal</t>
  </si>
  <si>
    <t>COEFICIENTE DE DISTRIBUCIÓN ANTES DE GARANTÍA FRAC. I</t>
  </si>
  <si>
    <t>SECRETARÍA DE FINANZAS Y TESORERÍA GENERAL DEL ESTADO</t>
  </si>
  <si>
    <t>COORDINACIÓN DE PLANEACIÓN HACENDARIA</t>
  </si>
  <si>
    <t>Monto</t>
  </si>
  <si>
    <t>Porcentaje de distribución</t>
  </si>
  <si>
    <t>Monto a distribuir</t>
  </si>
  <si>
    <t>Fondo de Desa Muni, Descen, Segur</t>
  </si>
  <si>
    <t>Fondo de Ultracrecimiento</t>
  </si>
  <si>
    <t>No AMM</t>
  </si>
  <si>
    <t>Zona de No Crec</t>
  </si>
  <si>
    <t>AMM</t>
  </si>
  <si>
    <t>Zona de Crec</t>
  </si>
  <si>
    <t xml:space="preserve">Coeficientes FI  2020  1er S  NO AMM                              Coeficientes FI 2020 1er S NO AMM                                      Coeficientes  2020 1er S </t>
  </si>
  <si>
    <t xml:space="preserve"> </t>
  </si>
  <si>
    <t xml:space="preserve">Coeficientes FI  2020  1er S                            Coeficientes FI 2020 1er S                                    Coeficientes  2020 1er S </t>
  </si>
  <si>
    <t>ESTIMACIÓN 2020 AMM</t>
  </si>
  <si>
    <t>ESTIMACIÓN PPEF NO AMM</t>
  </si>
  <si>
    <t>ESTIMACIÓN 2020 ZONA DE CRECIMIENTO</t>
  </si>
  <si>
    <t xml:space="preserve">     Coeficiente Fracción I   AMM y No AMM</t>
  </si>
  <si>
    <t>COEFICIENTE DE DISTRIBUCIÓN  FRAC. I</t>
  </si>
  <si>
    <t xml:space="preserve">     Coeficiente Fracción I   Ultracrecimiento</t>
  </si>
  <si>
    <t>Fondo del Estado</t>
  </si>
  <si>
    <t>Fondo de Compensacion ISAN</t>
  </si>
  <si>
    <t>Los montos no incluyen descuentos ni compensación alguna.</t>
  </si>
  <si>
    <t>Monto del Estado</t>
  </si>
  <si>
    <t>Monto a distribuir PEF</t>
  </si>
  <si>
    <t>Impuesto a las Erogaciones de Juegos con Apuestas</t>
  </si>
  <si>
    <t>¿ Cuál es el mayor entre el 1.845 de Participaciones o Ley de Egresos ?</t>
  </si>
  <si>
    <t xml:space="preserve">Regla </t>
  </si>
  <si>
    <t xml:space="preserve">Cantidades </t>
  </si>
  <si>
    <t>Fondo de Seguridad para los Municipios: Total</t>
  </si>
  <si>
    <t>Fondo del Estado
Fondo de Seguridad para los Municipios</t>
  </si>
  <si>
    <t>Población Ultracrecimiento</t>
  </si>
  <si>
    <t>Proporción Población Ultracrecimiento</t>
  </si>
  <si>
    <t>Concepto</t>
  </si>
  <si>
    <t xml:space="preserve">PRESUPUESTO LEY DE EGRESOS </t>
  </si>
  <si>
    <t>35% de Impto. Erog. Juegos Apuesta</t>
  </si>
  <si>
    <t>Monto Total</t>
  </si>
  <si>
    <t>Monto a Distribuir de manera Equitativa</t>
  </si>
  <si>
    <t>Suma estatal</t>
  </si>
  <si>
    <t>Diferencia</t>
  </si>
  <si>
    <t>60% Distr. Área Metropolitana</t>
  </si>
  <si>
    <t>40% Distr. Área No Metropolitana</t>
  </si>
  <si>
    <t>Distribución Equitativa</t>
  </si>
  <si>
    <t>Distribución
Población</t>
  </si>
  <si>
    <t>60% ZONA METROPOLITANA</t>
  </si>
  <si>
    <t>SUBTOTAL</t>
  </si>
  <si>
    <t>40% ZONA NO METROPOLITANA</t>
  </si>
  <si>
    <t>Población AMM</t>
  </si>
  <si>
    <t>Proporción Población AMM</t>
  </si>
  <si>
    <t>Población NO AMM</t>
  </si>
  <si>
    <t>Proporción Población NO AMM</t>
  </si>
  <si>
    <t xml:space="preserve">MONTO A DISTRIBUIR CON GARANTÍA A MUNICIPIOS </t>
  </si>
  <si>
    <t>FONDO PARA SEGURIDAD PARA LOS MUNICIPIOS</t>
  </si>
  <si>
    <t>MONTO A DISTRIBUIR</t>
  </si>
  <si>
    <t>PARTES IGUALES</t>
  </si>
  <si>
    <t>COEFICIENTE
Art 14 fracc I</t>
  </si>
  <si>
    <t>MONTO</t>
  </si>
  <si>
    <t>2.56 PARTES IGUALES</t>
  </si>
  <si>
    <t>Art 14 Fracc I</t>
  </si>
  <si>
    <t>1.28PARTES IGUALES</t>
  </si>
  <si>
    <t>FONDO DE DESARROLLO MUNICIPAL</t>
  </si>
  <si>
    <t>50% Restante Población</t>
  </si>
  <si>
    <t>50% Fracción I</t>
  </si>
  <si>
    <t>0.54% Participaciones del
 estado Estimado 2020</t>
  </si>
  <si>
    <t>Fondo del Estado
Fondo de Ultracrecimiento</t>
  </si>
  <si>
    <t>FONDO DE ULTRACRECIMIENTO</t>
  </si>
  <si>
    <t>Fondo del Estado
Fondos Descentralizados</t>
  </si>
  <si>
    <t>Participaciones del estado Estimado 2020</t>
  </si>
  <si>
    <t>¿ Cuál es el mayor entre el 1.28% de Participaciones o Ley de Egresos ?</t>
  </si>
  <si>
    <t>60% AMM</t>
  </si>
  <si>
    <t>40%   NO AMM</t>
  </si>
  <si>
    <t>Fondo Compensatorio</t>
  </si>
  <si>
    <t>Descentralizados</t>
  </si>
  <si>
    <t>DISTRIBUCIÓN
Art 14 fracc I</t>
  </si>
  <si>
    <t>¿POR LEY RECIBE LO MISMO QUE EN t-1?</t>
  </si>
  <si>
    <t>3.68% Partes Iguales</t>
  </si>
  <si>
    <t>3.68% PARTES IGUALES</t>
  </si>
  <si>
    <t>50% RESTANTE POBLACIÓN</t>
  </si>
  <si>
    <t>Fondo del Estado
Fondo Desarrollo Municipal</t>
  </si>
  <si>
    <t>Fondos Descentralizados: Total</t>
  </si>
  <si>
    <t>FONDOS DESCENTRALIZADOS</t>
  </si>
  <si>
    <t xml:space="preserve">CÁLCULO DE APORTACIONES </t>
  </si>
  <si>
    <t>DESARROLLO MUNICIPAL</t>
  </si>
  <si>
    <t>ULTRACRECIMIENTO</t>
  </si>
  <si>
    <t>DESCENTRALIZADOS</t>
  </si>
  <si>
    <t>SEGURIDAD</t>
  </si>
  <si>
    <t>Ley de Egresos 2021</t>
  </si>
  <si>
    <t>ISR por Enajenacion de Bienes Inmuebles</t>
  </si>
  <si>
    <t>CÁLCULO DE DISTRIBUCIÓN DEL FONDO DE ULTRACRECIMIENTO ESTIMACION 2021</t>
  </si>
  <si>
    <t>CÁLCULO DE DISTRIBUCIÓN DEL FONDO DE DESARROLLO MUNICIPAL ESTIMADO 2021</t>
  </si>
  <si>
    <t>CÁLCULO DE DISTRIBUCIÓN DEL FONDO PARA SEGURIDAD PARA LOS MUNICIPIOS
ESTIMACION 2021</t>
  </si>
  <si>
    <t>ESTIMACIÓN 2021</t>
  </si>
  <si>
    <t>Población 2020 INEGI</t>
  </si>
  <si>
    <t>Aportaciones 2020</t>
  </si>
  <si>
    <t>Recaudación 2020</t>
  </si>
  <si>
    <t>Facturación 2020</t>
  </si>
  <si>
    <t>Eficiencia 2020</t>
  </si>
  <si>
    <t>Crecimiento Rec 2020</t>
  </si>
  <si>
    <t>Eficiencia de Recaudación Predial ponderada por Monto 2020</t>
  </si>
  <si>
    <t>FEXHI</t>
  </si>
  <si>
    <t>CÁLCULO DE DISTRIBUCIÓN DE LOS FONDOS DESCENTRALIZADOS ESTIMACION 2022</t>
  </si>
  <si>
    <t>seg</t>
  </si>
  <si>
    <t>apuestas</t>
  </si>
  <si>
    <t>Total</t>
  </si>
  <si>
    <t>1.28% Participaciones del
 estado</t>
  </si>
  <si>
    <t>CERRALVO</t>
  </si>
  <si>
    <t>IEJA</t>
  </si>
  <si>
    <t>COMPENSATORIO</t>
  </si>
  <si>
    <t>LOS ALDAMAS</t>
  </si>
  <si>
    <t>ANÁHUAC</t>
  </si>
  <si>
    <t>CADEREYTA JIMÉNEZ</t>
  </si>
  <si>
    <t>EL CARMEN</t>
  </si>
  <si>
    <t>CIÉNEGA DE FLORES</t>
  </si>
  <si>
    <t>DOCTOR GONZÁLEZ</t>
  </si>
  <si>
    <t>GARCÍA</t>
  </si>
  <si>
    <t>SAN PEDRO GARZA GARCÍA</t>
  </si>
  <si>
    <t>GENERAL TERÁN</t>
  </si>
  <si>
    <t>LOS HERRERAS</t>
  </si>
  <si>
    <t>JUÁREZ</t>
  </si>
  <si>
    <t>MARÍN</t>
  </si>
  <si>
    <t>PARÁS</t>
  </si>
  <si>
    <t>PESQUERÍA</t>
  </si>
  <si>
    <t>LOS RAMONES</t>
  </si>
  <si>
    <t>SAN NICOLÁS DE LOS GARZA</t>
  </si>
  <si>
    <t>Población en Pobreza del Municipio i
2015</t>
  </si>
  <si>
    <t>Intensidad de la pobreza en el Municipio i</t>
  </si>
  <si>
    <t>Coeficiente Intensidad de la pobreza en el Municipio i</t>
  </si>
  <si>
    <t>Eficacia en la disminución de la pobreza del Municipio i</t>
  </si>
  <si>
    <t>Coeficiente de Eficacia en disminución de la pobreza del Municipio i</t>
  </si>
  <si>
    <t>SEGURIDAD PARA LOS MUNICIPIOS</t>
  </si>
  <si>
    <t>Población en Pobreza del Municipio i
2020</t>
  </si>
  <si>
    <t>Incidencia de la pobreza en el Municipio i 
2020</t>
  </si>
  <si>
    <t>Carencias promedio en situación de pobreza 2020</t>
  </si>
  <si>
    <t>Coeficiente Intensidad de la pobreza en el Municipio i
85%</t>
  </si>
  <si>
    <t>15% Coeficiente de Eficacia</t>
  </si>
  <si>
    <t>COEFICIENTE  ÍNDICE MUNICIPAL DE POBREZA</t>
  </si>
  <si>
    <t>Fondo Descentralizados  Pagadas 2021</t>
  </si>
  <si>
    <t>PAGADO 2021</t>
  </si>
  <si>
    <t>PARTICIPACIONES 2022</t>
  </si>
  <si>
    <t>Participación Mes</t>
  </si>
  <si>
    <t>Ajuste mensual</t>
  </si>
  <si>
    <t>FEIEF</t>
  </si>
  <si>
    <t>Fondo de Extracción de Hidrocarburos (FEXHI)</t>
  </si>
  <si>
    <t>ISR Enajenación</t>
  </si>
  <si>
    <t>PARTICIPACIONES MENSUAL 2022</t>
  </si>
  <si>
    <t>2022 MUNICIPIOS</t>
  </si>
  <si>
    <t>1.28% Participaciones del
 estado Estimado 2022</t>
  </si>
  <si>
    <t>Ley de Egresos 2022</t>
  </si>
  <si>
    <t>Monto a distribuir Mes 2022</t>
  </si>
  <si>
    <t>FONDO</t>
  </si>
  <si>
    <t>VALOR</t>
  </si>
  <si>
    <t>MES</t>
  </si>
  <si>
    <t>MES_</t>
  </si>
  <si>
    <t>Comp Feief</t>
  </si>
  <si>
    <t>Recaudación 2021</t>
  </si>
  <si>
    <t>Facturación 2021</t>
  </si>
  <si>
    <t>MES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</si>
</sst>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\ &quot;$&quot;;[Red]\-#,##0\ &quot;$&quot;"/>
    <numFmt numFmtId="166" formatCode="&quot;$&quot;\ #,##0.00"/>
    <numFmt numFmtId="167" formatCode="\U\ #,##0.00"/>
    <numFmt numFmtId="168" formatCode="General_)"/>
    <numFmt numFmtId="169" formatCode="_-[$€-2]* #,##0.00_-;\-[$€-2]* #,##0.00_-;_-[$€-2]* &quot;-&quot;??_-"/>
    <numFmt numFmtId="170" formatCode="_-* #,##0_-;\-* #,##0_-;_-* &quot;-&quot;??_-;_-@_-"/>
    <numFmt numFmtId="171" formatCode="0.00%;[Red]\-0.00%;_-* &quot;-&quot;_-;_-@_-"/>
    <numFmt numFmtId="172" formatCode="#,##0_ ;\-#,##0\ "/>
    <numFmt numFmtId="173" formatCode="0.000000"/>
    <numFmt numFmtId="174" formatCode="#,##0;[Red]#,##0;_-* &quot;-&quot;_-;_-@_-"/>
    <numFmt numFmtId="175" formatCode="#,##0.000000;[Red]#,##0.000000;_-* &quot;-&quot;_-;_-@_-"/>
    <numFmt numFmtId="176" formatCode="#,##0;[Red]\-#,##0;_-* &quot;-&quot;_-;_-@_-"/>
    <numFmt numFmtId="177" formatCode="#,##0.000000;[Red]\-\-#,##0.000000;_-* &quot;-&quot;_-;_-@_-"/>
    <numFmt numFmtId="178" formatCode="#,##0.00000;[Red]\-#,##0.00000;_-* &quot;-&quot;_-;_-@_-"/>
    <numFmt numFmtId="179" formatCode="_(* #,##0_);_(* \(#,##0\);_(* &quot;-&quot;??_);_(@_)"/>
    <numFmt numFmtId="180" formatCode="#,##0.00;[Red]#,##0.00"/>
    <numFmt numFmtId="181" formatCode="#,##0.00000;\-#,##0.00000"/>
    <numFmt numFmtId="182" formatCode="0.00000000%"/>
    <numFmt numFmtId="183" formatCode="0.000%"/>
    <numFmt numFmtId="184" formatCode="#,##0.00000000;\-#,##0.00000000"/>
    <numFmt numFmtId="185" formatCode="_-* #,##0.000000_-;\-* #,##0.000000_-;_-* &quot;-&quot;??_-;_-@_-"/>
    <numFmt numFmtId="186" formatCode="_-* #,##0.0000_-;\-* #,##0.0000_-;_-* &quot;-&quot;??_-;_-@_-"/>
    <numFmt numFmtId="187" formatCode="0.0000%;[Red]\-0.0000%;_-* &quot;-&quot;_-;_-@_-"/>
  </numFmts>
  <fonts count="4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name val="MS Sans Serif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i/>
      <u/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 val="singleAccounting"/>
      <sz val="10"/>
      <name val="Bahnschrift Light SemiCondensed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5" fontId="9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30" fillId="0" borderId="0"/>
    <xf numFmtId="0" fontId="10" fillId="0" borderId="0"/>
    <xf numFmtId="0" fontId="13" fillId="23" borderId="4" applyNumberFormat="0" applyFont="0" applyAlignment="0" applyProtection="0"/>
    <xf numFmtId="166" fontId="10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67" fontId="11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8" fontId="9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9" fillId="0" borderId="0" applyFont="0" applyFill="0" applyBorder="0" applyAlignment="0" applyProtection="0"/>
    <xf numFmtId="0" fontId="21" fillId="3" borderId="0" applyNumberFormat="0" applyBorder="0" applyAlignment="0" applyProtection="0"/>
    <xf numFmtId="41" fontId="9" fillId="0" borderId="0" applyFont="0" applyFill="0" applyBorder="0" applyAlignment="0" applyProtection="0"/>
    <xf numFmtId="0" fontId="22" fillId="22" borderId="0" applyNumberFormat="0" applyBorder="0" applyAlignment="0" applyProtection="0"/>
    <xf numFmtId="0" fontId="9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8" fillId="0" borderId="0"/>
    <xf numFmtId="43" fontId="9" fillId="0" borderId="0" applyFont="0" applyFill="0" applyBorder="0" applyAlignment="0" applyProtection="0"/>
    <xf numFmtId="0" fontId="32" fillId="0" borderId="0"/>
    <xf numFmtId="0" fontId="7" fillId="0" borderId="0"/>
    <xf numFmtId="43" fontId="33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43" fontId="9" fillId="0" borderId="0" applyFont="0" applyFill="0" applyBorder="0" applyAlignment="0" applyProtection="0"/>
    <xf numFmtId="0" fontId="20" fillId="7" borderId="18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0" fontId="9" fillId="0" borderId="0"/>
    <xf numFmtId="0" fontId="13" fillId="23" borderId="20" applyNumberFormat="0" applyFont="0" applyAlignment="0" applyProtection="0"/>
    <xf numFmtId="166" fontId="9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0" fontId="20" fillId="7" borderId="18" applyNumberFormat="0" applyAlignment="0" applyProtection="0"/>
    <xf numFmtId="41" fontId="9" fillId="0" borderId="0" applyFont="0" applyFill="0" applyBorder="0" applyAlignment="0" applyProtection="0"/>
    <xf numFmtId="0" fontId="9" fillId="23" borderId="20" applyNumberFormat="0" applyFont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0" fontId="6" fillId="0" borderId="0"/>
    <xf numFmtId="43" fontId="9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37" fontId="34" fillId="0" borderId="0"/>
    <xf numFmtId="0" fontId="1" fillId="0" borderId="0"/>
    <xf numFmtId="43" fontId="39" fillId="0" borderId="0" applyFont="0" applyFill="0" applyBorder="0" applyAlignment="0" applyProtection="0"/>
    <xf numFmtId="0" fontId="9" fillId="0" borderId="0"/>
  </cellStyleXfs>
  <cellXfs count="396">
    <xf numFmtId="0" fontId="0" fillId="0" borderId="0" xfId="0"/>
    <xf numFmtId="0" fontId="9" fillId="24" borderId="0" xfId="132" applyFill="1"/>
    <xf numFmtId="0" fontId="12" fillId="24" borderId="24" xfId="132" applyFont="1" applyFill="1" applyBorder="1" applyAlignment="1">
      <alignment horizontal="center" vertical="center"/>
    </xf>
    <xf numFmtId="0" fontId="12" fillId="24" borderId="32" xfId="132" applyFont="1" applyFill="1" applyBorder="1" applyAlignment="1">
      <alignment horizontal="center" vertical="center" wrapText="1"/>
    </xf>
    <xf numFmtId="0" fontId="12" fillId="24" borderId="25" xfId="132" applyFont="1" applyFill="1" applyBorder="1" applyAlignment="1">
      <alignment horizontal="center" vertical="center" wrapText="1"/>
    </xf>
    <xf numFmtId="0" fontId="12" fillId="24" borderId="33" xfId="132" applyFont="1" applyFill="1" applyBorder="1" applyAlignment="1">
      <alignment horizontal="center" vertical="center" wrapText="1"/>
    </xf>
    <xf numFmtId="0" fontId="12" fillId="24" borderId="26" xfId="132" applyFont="1" applyFill="1" applyBorder="1" applyAlignment="1">
      <alignment horizontal="center" vertical="center" wrapText="1"/>
    </xf>
    <xf numFmtId="0" fontId="12" fillId="24" borderId="34" xfId="132" applyFont="1" applyFill="1" applyBorder="1" applyAlignment="1">
      <alignment horizontal="center" vertical="center" wrapText="1"/>
    </xf>
    <xf numFmtId="170" fontId="0" fillId="24" borderId="17" xfId="49" applyNumberFormat="1" applyFont="1" applyFill="1" applyBorder="1"/>
    <xf numFmtId="170" fontId="0" fillId="24" borderId="0" xfId="49" applyNumberFormat="1" applyFont="1" applyFill="1" applyBorder="1"/>
    <xf numFmtId="0" fontId="12" fillId="24" borderId="13" xfId="132" applyFont="1" applyFill="1" applyBorder="1"/>
    <xf numFmtId="170" fontId="12" fillId="24" borderId="36" xfId="49" applyNumberFormat="1" applyFont="1" applyFill="1" applyBorder="1"/>
    <xf numFmtId="170" fontId="12" fillId="24" borderId="14" xfId="49" applyNumberFormat="1" applyFont="1" applyFill="1" applyBorder="1"/>
    <xf numFmtId="0" fontId="0" fillId="24" borderId="0" xfId="0" applyFill="1"/>
    <xf numFmtId="171" fontId="0" fillId="24" borderId="0" xfId="49" applyNumberFormat="1" applyFont="1" applyFill="1" applyBorder="1"/>
    <xf numFmtId="49" fontId="12" fillId="24" borderId="27" xfId="132" applyNumberFormat="1" applyFont="1" applyFill="1" applyBorder="1" applyAlignment="1">
      <alignment horizontal="center" vertical="center"/>
    </xf>
    <xf numFmtId="49" fontId="12" fillId="24" borderId="28" xfId="132" applyNumberFormat="1" applyFont="1" applyFill="1" applyBorder="1" applyAlignment="1">
      <alignment horizontal="center" vertical="center" wrapText="1"/>
    </xf>
    <xf numFmtId="49" fontId="12" fillId="24" borderId="11" xfId="132" applyNumberFormat="1" applyFont="1" applyFill="1" applyBorder="1"/>
    <xf numFmtId="172" fontId="0" fillId="24" borderId="0" xfId="49" applyNumberFormat="1" applyFont="1" applyFill="1" applyBorder="1"/>
    <xf numFmtId="172" fontId="12" fillId="24" borderId="14" xfId="49" applyNumberFormat="1" applyFont="1" applyFill="1" applyBorder="1"/>
    <xf numFmtId="170" fontId="12" fillId="24" borderId="39" xfId="49" applyNumberFormat="1" applyFont="1" applyFill="1" applyBorder="1"/>
    <xf numFmtId="171" fontId="12" fillId="24" borderId="14" xfId="49" applyNumberFormat="1" applyFont="1" applyFill="1" applyBorder="1"/>
    <xf numFmtId="37" fontId="9" fillId="24" borderId="0" xfId="138" applyFont="1" applyFill="1" applyProtection="1">
      <protection hidden="1"/>
    </xf>
    <xf numFmtId="0" fontId="12" fillId="24" borderId="0" xfId="110" applyFont="1" applyFill="1" applyBorder="1" applyAlignment="1" applyProtection="1">
      <alignment horizontal="center" vertical="center" wrapText="1"/>
      <protection hidden="1"/>
    </xf>
    <xf numFmtId="0" fontId="31" fillId="24" borderId="0" xfId="110" applyFont="1" applyFill="1" applyBorder="1" applyAlignment="1" applyProtection="1">
      <alignment horizontal="center" vertical="center" wrapText="1"/>
      <protection hidden="1"/>
    </xf>
    <xf numFmtId="37" fontId="31" fillId="24" borderId="0" xfId="138" applyFont="1" applyFill="1" applyAlignment="1" applyProtection="1">
      <alignment horizontal="center" vertical="center"/>
      <protection hidden="1"/>
    </xf>
    <xf numFmtId="37" fontId="31" fillId="24" borderId="0" xfId="138" applyFont="1" applyFill="1" applyProtection="1">
      <protection hidden="1"/>
    </xf>
    <xf numFmtId="37" fontId="31" fillId="24" borderId="0" xfId="138" applyFont="1" applyFill="1" applyAlignment="1" applyProtection="1">
      <alignment horizontal="center" vertical="center" wrapText="1"/>
      <protection hidden="1"/>
    </xf>
    <xf numFmtId="0" fontId="12" fillId="24" borderId="42" xfId="132" applyFont="1" applyFill="1" applyBorder="1" applyAlignment="1">
      <alignment horizontal="center" vertical="center" wrapText="1"/>
    </xf>
    <xf numFmtId="175" fontId="9" fillId="24" borderId="0" xfId="132" applyNumberFormat="1" applyFill="1" applyBorder="1"/>
    <xf numFmtId="175" fontId="9" fillId="24" borderId="14" xfId="132" applyNumberFormat="1" applyFill="1" applyBorder="1"/>
    <xf numFmtId="0" fontId="9" fillId="24" borderId="0" xfId="132" applyFill="1" applyAlignment="1">
      <alignment horizontal="center" vertical="center"/>
    </xf>
    <xf numFmtId="0" fontId="12" fillId="24" borderId="0" xfId="132" applyFont="1" applyFill="1" applyBorder="1" applyAlignment="1">
      <alignment horizontal="center" vertical="center"/>
    </xf>
    <xf numFmtId="175" fontId="38" fillId="24" borderId="0" xfId="132" applyNumberFormat="1" applyFont="1" applyFill="1" applyBorder="1"/>
    <xf numFmtId="175" fontId="38" fillId="24" borderId="14" xfId="132" applyNumberFormat="1" applyFont="1" applyFill="1" applyBorder="1"/>
    <xf numFmtId="175" fontId="38" fillId="24" borderId="12" xfId="132" applyNumberFormat="1" applyFont="1" applyFill="1" applyBorder="1"/>
    <xf numFmtId="175" fontId="38" fillId="24" borderId="15" xfId="132" applyNumberFormat="1" applyFont="1" applyFill="1" applyBorder="1"/>
    <xf numFmtId="0" fontId="9" fillId="29" borderId="0" xfId="132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173" fontId="38" fillId="24" borderId="0" xfId="38" applyNumberFormat="1" applyFont="1" applyFill="1" applyBorder="1" applyProtection="1">
      <protection hidden="1"/>
    </xf>
    <xf numFmtId="173" fontId="12" fillId="24" borderId="0" xfId="38" applyNumberFormat="1" applyFont="1" applyFill="1" applyBorder="1" applyProtection="1">
      <protection hidden="1"/>
    </xf>
    <xf numFmtId="0" fontId="35" fillId="24" borderId="0" xfId="110" applyFont="1" applyFill="1" applyBorder="1" applyAlignment="1">
      <alignment horizontal="center" vertical="center" wrapText="1"/>
    </xf>
    <xf numFmtId="0" fontId="0" fillId="24" borderId="0" xfId="0" applyFill="1" applyBorder="1"/>
    <xf numFmtId="0" fontId="12" fillId="24" borderId="44" xfId="132" applyFont="1" applyFill="1" applyBorder="1"/>
    <xf numFmtId="0" fontId="12" fillId="24" borderId="45" xfId="132" applyFont="1" applyFill="1" applyBorder="1"/>
    <xf numFmtId="0" fontId="12" fillId="24" borderId="46" xfId="132" applyFont="1" applyFill="1" applyBorder="1"/>
    <xf numFmtId="176" fontId="9" fillId="24" borderId="42" xfId="138" applyNumberFormat="1" applyFont="1" applyFill="1" applyBorder="1" applyProtection="1">
      <protection hidden="1"/>
    </xf>
    <xf numFmtId="176" fontId="9" fillId="24" borderId="29" xfId="138" applyNumberFormat="1" applyFont="1" applyFill="1" applyBorder="1" applyProtection="1">
      <protection hidden="1"/>
    </xf>
    <xf numFmtId="176" fontId="9" fillId="24" borderId="35" xfId="138" applyNumberFormat="1" applyFont="1" applyFill="1" applyBorder="1" applyProtection="1">
      <protection hidden="1"/>
    </xf>
    <xf numFmtId="176" fontId="9" fillId="24" borderId="0" xfId="138" applyNumberFormat="1" applyFont="1" applyFill="1" applyBorder="1" applyProtection="1">
      <protection hidden="1"/>
    </xf>
    <xf numFmtId="176" fontId="9" fillId="24" borderId="16" xfId="138" applyNumberFormat="1" applyFont="1" applyFill="1" applyBorder="1" applyProtection="1">
      <protection hidden="1"/>
    </xf>
    <xf numFmtId="176" fontId="12" fillId="24" borderId="14" xfId="138" applyNumberFormat="1" applyFont="1" applyFill="1" applyBorder="1" applyProtection="1">
      <protection hidden="1"/>
    </xf>
    <xf numFmtId="176" fontId="12" fillId="24" borderId="37" xfId="138" applyNumberFormat="1" applyFont="1" applyFill="1" applyBorder="1" applyProtection="1">
      <protection hidden="1"/>
    </xf>
    <xf numFmtId="176" fontId="9" fillId="24" borderId="47" xfId="138" applyNumberFormat="1" applyFont="1" applyFill="1" applyBorder="1" applyProtection="1">
      <protection hidden="1"/>
    </xf>
    <xf numFmtId="177" fontId="38" fillId="24" borderId="39" xfId="38" applyNumberFormat="1" applyFont="1" applyFill="1" applyBorder="1" applyProtection="1">
      <protection hidden="1"/>
    </xf>
    <xf numFmtId="177" fontId="38" fillId="24" borderId="43" xfId="38" applyNumberFormat="1" applyFont="1" applyFill="1" applyBorder="1" applyProtection="1">
      <protection hidden="1"/>
    </xf>
    <xf numFmtId="177" fontId="38" fillId="24" borderId="38" xfId="38" applyNumberFormat="1" applyFont="1" applyFill="1" applyBorder="1" applyProtection="1">
      <protection hidden="1"/>
    </xf>
    <xf numFmtId="171" fontId="0" fillId="24" borderId="41" xfId="49" applyNumberFormat="1" applyFont="1" applyFill="1" applyBorder="1"/>
    <xf numFmtId="178" fontId="9" fillId="24" borderId="0" xfId="138" applyNumberFormat="1" applyFont="1" applyFill="1" applyProtection="1">
      <protection hidden="1"/>
    </xf>
    <xf numFmtId="177" fontId="12" fillId="24" borderId="39" xfId="38" applyNumberFormat="1" applyFont="1" applyFill="1" applyBorder="1" applyProtection="1">
      <protection hidden="1"/>
    </xf>
    <xf numFmtId="170" fontId="12" fillId="24" borderId="48" xfId="49" applyNumberFormat="1" applyFont="1" applyFill="1" applyBorder="1" applyAlignment="1">
      <alignment horizontal="center" vertical="center" wrapText="1"/>
    </xf>
    <xf numFmtId="170" fontId="12" fillId="24" borderId="49" xfId="49" applyNumberFormat="1" applyFont="1" applyFill="1" applyBorder="1" applyAlignment="1">
      <alignment horizontal="center" vertical="center"/>
    </xf>
    <xf numFmtId="170" fontId="12" fillId="24" borderId="38" xfId="49" applyNumberFormat="1" applyFont="1" applyFill="1" applyBorder="1"/>
    <xf numFmtId="170" fontId="12" fillId="24" borderId="50" xfId="49" applyNumberFormat="1" applyFont="1" applyFill="1" applyBorder="1" applyAlignment="1">
      <alignment horizontal="center" vertical="center" wrapText="1"/>
    </xf>
    <xf numFmtId="170" fontId="12" fillId="24" borderId="45" xfId="49" applyNumberFormat="1" applyFont="1" applyFill="1" applyBorder="1"/>
    <xf numFmtId="170" fontId="12" fillId="24" borderId="46" xfId="49" applyNumberFormat="1" applyFont="1" applyFill="1" applyBorder="1"/>
    <xf numFmtId="0" fontId="9" fillId="0" borderId="0" xfId="51"/>
    <xf numFmtId="179" fontId="9" fillId="0" borderId="0" xfId="51" applyNumberFormat="1"/>
    <xf numFmtId="0" fontId="12" fillId="24" borderId="0" xfId="132" applyFont="1" applyFill="1" applyAlignment="1">
      <alignment horizontal="center" vertical="center"/>
    </xf>
    <xf numFmtId="37" fontId="12" fillId="24" borderId="0" xfId="138" applyFont="1" applyFill="1" applyProtection="1">
      <protection hidden="1"/>
    </xf>
    <xf numFmtId="170" fontId="9" fillId="24" borderId="0" xfId="140" applyNumberFormat="1" applyFont="1" applyFill="1" applyBorder="1"/>
    <xf numFmtId="49" fontId="12" fillId="24" borderId="52" xfId="132" applyNumberFormat="1" applyFont="1" applyFill="1" applyBorder="1" applyAlignment="1">
      <alignment horizontal="center" vertical="center" wrapText="1"/>
    </xf>
    <xf numFmtId="170" fontId="0" fillId="24" borderId="11" xfId="49" applyNumberFormat="1" applyFont="1" applyFill="1" applyBorder="1"/>
    <xf numFmtId="170" fontId="12" fillId="24" borderId="13" xfId="49" applyNumberFormat="1" applyFont="1" applyFill="1" applyBorder="1"/>
    <xf numFmtId="0" fontId="12" fillId="24" borderId="54" xfId="132" applyFont="1" applyFill="1" applyBorder="1" applyAlignment="1">
      <alignment horizontal="center" vertical="center" wrapText="1"/>
    </xf>
    <xf numFmtId="0" fontId="12" fillId="24" borderId="54" xfId="132" applyFont="1" applyFill="1" applyBorder="1" applyAlignment="1">
      <alignment horizontal="center" vertical="center"/>
    </xf>
    <xf numFmtId="0" fontId="12" fillId="24" borderId="55" xfId="132" applyFont="1" applyFill="1" applyBorder="1" applyAlignment="1">
      <alignment horizontal="center" vertical="center" wrapText="1"/>
    </xf>
    <xf numFmtId="49" fontId="12" fillId="24" borderId="56" xfId="132" applyNumberFormat="1" applyFont="1" applyFill="1" applyBorder="1" applyAlignment="1">
      <alignment horizontal="center" vertical="center" wrapText="1"/>
    </xf>
    <xf numFmtId="0" fontId="12" fillId="24" borderId="53" xfId="132" applyFont="1" applyFill="1" applyBorder="1" applyAlignment="1">
      <alignment wrapText="1"/>
    </xf>
    <xf numFmtId="174" fontId="9" fillId="24" borderId="11" xfId="132" applyNumberFormat="1" applyFill="1" applyBorder="1"/>
    <xf numFmtId="174" fontId="9" fillId="24" borderId="13" xfId="132" applyNumberFormat="1" applyFill="1" applyBorder="1"/>
    <xf numFmtId="0" fontId="12" fillId="24" borderId="0" xfId="132" applyFont="1" applyFill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0" fontId="9" fillId="24" borderId="0" xfId="141" applyFill="1"/>
    <xf numFmtId="49" fontId="12" fillId="26" borderId="56" xfId="141" applyNumberFormat="1" applyFont="1" applyFill="1" applyBorder="1" applyAlignment="1">
      <alignment horizontal="center" vertical="center" wrapText="1"/>
    </xf>
    <xf numFmtId="49" fontId="12" fillId="24" borderId="0" xfId="141" applyNumberFormat="1" applyFont="1" applyFill="1" applyBorder="1"/>
    <xf numFmtId="0" fontId="12" fillId="27" borderId="14" xfId="141" applyFont="1" applyFill="1" applyBorder="1"/>
    <xf numFmtId="180" fontId="9" fillId="24" borderId="0" xfId="132" applyNumberFormat="1" applyFill="1"/>
    <xf numFmtId="181" fontId="31" fillId="24" borderId="0" xfId="138" applyNumberFormat="1" applyFont="1" applyFill="1" applyProtection="1">
      <protection hidden="1"/>
    </xf>
    <xf numFmtId="0" fontId="12" fillId="24" borderId="53" xfId="132" applyFont="1" applyFill="1" applyBorder="1" applyAlignment="1">
      <alignment horizontal="center" vertical="center" wrapText="1"/>
    </xf>
    <xf numFmtId="175" fontId="12" fillId="24" borderId="11" xfId="132" applyNumberFormat="1" applyFont="1" applyFill="1" applyBorder="1"/>
    <xf numFmtId="175" fontId="12" fillId="24" borderId="13" xfId="132" applyNumberFormat="1" applyFont="1" applyFill="1" applyBorder="1"/>
    <xf numFmtId="0" fontId="12" fillId="0" borderId="10" xfId="51" applyFont="1" applyBorder="1" applyAlignment="1">
      <alignment horizontal="center" vertical="center" wrapText="1"/>
    </xf>
    <xf numFmtId="0" fontId="9" fillId="0" borderId="10" xfId="51" applyFont="1" applyBorder="1" applyAlignment="1">
      <alignment vertical="center" wrapText="1"/>
    </xf>
    <xf numFmtId="41" fontId="9" fillId="0" borderId="10" xfId="51" applyNumberFormat="1" applyFont="1" applyBorder="1" applyAlignment="1">
      <alignment horizontal="center" vertical="center" wrapText="1"/>
    </xf>
    <xf numFmtId="9" fontId="9" fillId="0" borderId="10" xfId="38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/>
    </xf>
    <xf numFmtId="41" fontId="12" fillId="0" borderId="10" xfId="51" applyNumberFormat="1" applyFont="1" applyBorder="1" applyAlignment="1">
      <alignment horizontal="center" vertical="center" wrapText="1"/>
    </xf>
    <xf numFmtId="0" fontId="9" fillId="0" borderId="0" xfId="51" applyFont="1" applyBorder="1" applyAlignment="1">
      <alignment vertical="center"/>
    </xf>
    <xf numFmtId="0" fontId="9" fillId="0" borderId="0" xfId="51" applyBorder="1" applyAlignment="1">
      <alignment horizontal="center" vertical="center"/>
    </xf>
    <xf numFmtId="3" fontId="9" fillId="0" borderId="0" xfId="51" applyNumberFormat="1" applyBorder="1" applyAlignment="1">
      <alignment horizontal="center" vertical="center"/>
    </xf>
    <xf numFmtId="0" fontId="9" fillId="0" borderId="0" xfId="51" applyFont="1"/>
    <xf numFmtId="41" fontId="9" fillId="0" borderId="0" xfId="51" applyNumberFormat="1" applyAlignment="1">
      <alignment horizontal="center" vertical="center"/>
    </xf>
    <xf numFmtId="170" fontId="9" fillId="0" borderId="10" xfId="51" applyNumberFormat="1" applyFont="1" applyBorder="1" applyAlignment="1">
      <alignment horizontal="center" vertical="center" wrapText="1"/>
    </xf>
    <xf numFmtId="38" fontId="9" fillId="0" borderId="10" xfId="51" applyNumberFormat="1" applyFont="1" applyBorder="1" applyAlignment="1">
      <alignment vertical="center" wrapText="1"/>
    </xf>
    <xf numFmtId="10" fontId="9" fillId="0" borderId="10" xfId="38" applyNumberFormat="1" applyFont="1" applyFill="1" applyBorder="1" applyAlignment="1">
      <alignment vertical="center" wrapText="1"/>
    </xf>
    <xf numFmtId="170" fontId="9" fillId="0" borderId="10" xfId="140" applyNumberFormat="1" applyFont="1" applyFill="1" applyBorder="1" applyAlignment="1">
      <alignment vertical="center" wrapText="1"/>
    </xf>
    <xf numFmtId="0" fontId="12" fillId="0" borderId="59" xfId="51" applyFont="1" applyBorder="1" applyAlignment="1">
      <alignment horizontal="center" vertical="center" wrapText="1"/>
    </xf>
    <xf numFmtId="0" fontId="12" fillId="0" borderId="60" xfId="51" applyFont="1" applyBorder="1" applyAlignment="1">
      <alignment horizontal="center" vertical="center" wrapText="1"/>
    </xf>
    <xf numFmtId="0" fontId="12" fillId="0" borderId="61" xfId="51" applyFont="1" applyBorder="1" applyAlignment="1">
      <alignment horizontal="center" vertical="center" wrapText="1"/>
    </xf>
    <xf numFmtId="0" fontId="12" fillId="0" borderId="62" xfId="51" applyFont="1" applyBorder="1" applyAlignment="1">
      <alignment horizontal="center" vertical="center" wrapText="1"/>
    </xf>
    <xf numFmtId="38" fontId="9" fillId="0" borderId="63" xfId="51" applyNumberFormat="1" applyFont="1" applyBorder="1" applyAlignment="1">
      <alignment vertical="center" wrapText="1"/>
    </xf>
    <xf numFmtId="10" fontId="9" fillId="0" borderId="63" xfId="38" applyNumberFormat="1" applyFont="1" applyFill="1" applyBorder="1" applyAlignment="1">
      <alignment vertical="center" wrapText="1"/>
    </xf>
    <xf numFmtId="170" fontId="9" fillId="0" borderId="63" xfId="140" applyNumberFormat="1" applyFont="1" applyFill="1" applyBorder="1" applyAlignment="1">
      <alignment vertical="center" wrapText="1"/>
    </xf>
    <xf numFmtId="0" fontId="9" fillId="0" borderId="64" xfId="51" applyBorder="1"/>
    <xf numFmtId="0" fontId="9" fillId="0" borderId="0" xfId="51" applyBorder="1"/>
    <xf numFmtId="0" fontId="9" fillId="0" borderId="65" xfId="51" applyBorder="1"/>
    <xf numFmtId="0" fontId="12" fillId="0" borderId="68" xfId="51" applyFont="1" applyBorder="1" applyAlignment="1">
      <alignment horizontal="center" vertical="center" wrapText="1"/>
    </xf>
    <xf numFmtId="174" fontId="9" fillId="24" borderId="0" xfId="132" applyNumberFormat="1" applyFont="1" applyFill="1" applyBorder="1"/>
    <xf numFmtId="174" fontId="9" fillId="24" borderId="14" xfId="132" applyNumberFormat="1" applyFont="1" applyFill="1" applyBorder="1"/>
    <xf numFmtId="37" fontId="9" fillId="0" borderId="0" xfId="138" applyFont="1" applyProtection="1">
      <protection hidden="1"/>
    </xf>
    <xf numFmtId="170" fontId="12" fillId="0" borderId="10" xfId="49" applyNumberFormat="1" applyFont="1" applyBorder="1" applyAlignment="1">
      <alignment wrapText="1"/>
    </xf>
    <xf numFmtId="39" fontId="12" fillId="0" borderId="0" xfId="138" applyNumberFormat="1" applyFont="1" applyAlignment="1" applyProtection="1">
      <alignment horizontal="center"/>
      <protection hidden="1"/>
    </xf>
    <xf numFmtId="170" fontId="9" fillId="0" borderId="10" xfId="49" applyNumberFormat="1" applyFont="1" applyBorder="1" applyAlignment="1">
      <alignment horizontal="center" wrapText="1"/>
    </xf>
    <xf numFmtId="39" fontId="12" fillId="0" borderId="10" xfId="138" applyNumberFormat="1" applyFont="1" applyBorder="1" applyProtection="1">
      <protection hidden="1"/>
    </xf>
    <xf numFmtId="37" fontId="9" fillId="0" borderId="10" xfId="138" applyFont="1" applyBorder="1" applyProtection="1">
      <protection hidden="1"/>
    </xf>
    <xf numFmtId="39" fontId="9" fillId="0" borderId="0" xfId="138" applyNumberFormat="1" applyFont="1" applyProtection="1">
      <protection hidden="1"/>
    </xf>
    <xf numFmtId="37" fontId="0" fillId="0" borderId="10" xfId="138" applyFont="1" applyBorder="1" applyProtection="1">
      <protection hidden="1"/>
    </xf>
    <xf numFmtId="37" fontId="0" fillId="0" borderId="0" xfId="138" applyFont="1" applyProtection="1">
      <protection hidden="1"/>
    </xf>
    <xf numFmtId="170" fontId="45" fillId="0" borderId="0" xfId="49" applyNumberFormat="1" applyFont="1" applyAlignment="1">
      <alignment horizontal="center" wrapText="1"/>
    </xf>
    <xf numFmtId="37" fontId="12" fillId="0" borderId="72" xfId="138" applyFont="1" applyFill="1" applyBorder="1" applyAlignment="1" applyProtection="1">
      <alignment horizontal="center" vertical="center" wrapText="1"/>
      <protection hidden="1"/>
    </xf>
    <xf numFmtId="39" fontId="42" fillId="0" borderId="72" xfId="52" applyNumberFormat="1" applyFont="1" applyFill="1" applyBorder="1" applyAlignment="1" applyProtection="1">
      <alignment horizontal="center" vertical="center" wrapText="1"/>
      <protection hidden="1"/>
    </xf>
    <xf numFmtId="37" fontId="12" fillId="0" borderId="0" xfId="138" applyFont="1" applyProtection="1">
      <protection hidden="1"/>
    </xf>
    <xf numFmtId="37" fontId="9" fillId="0" borderId="73" xfId="138" applyFont="1" applyFill="1" applyBorder="1" applyAlignment="1" applyProtection="1">
      <alignment horizontal="left"/>
      <protection hidden="1"/>
    </xf>
    <xf numFmtId="37" fontId="9" fillId="0" borderId="74" xfId="138" applyFont="1" applyFill="1" applyBorder="1" applyAlignment="1" applyProtection="1">
      <protection hidden="1"/>
    </xf>
    <xf numFmtId="179" fontId="44" fillId="0" borderId="74" xfId="52" applyNumberFormat="1" applyFont="1" applyFill="1" applyBorder="1" applyProtection="1">
      <protection hidden="1"/>
    </xf>
    <xf numFmtId="37" fontId="9" fillId="0" borderId="77" xfId="138" applyFont="1" applyFill="1" applyBorder="1" applyAlignment="1" applyProtection="1">
      <alignment horizontal="left"/>
      <protection hidden="1"/>
    </xf>
    <xf numFmtId="37" fontId="9" fillId="0" borderId="0" xfId="138" applyFont="1" applyFill="1" applyBorder="1" applyAlignment="1" applyProtection="1">
      <protection hidden="1"/>
    </xf>
    <xf numFmtId="179" fontId="44" fillId="0" borderId="0" xfId="52" applyNumberFormat="1" applyFont="1" applyFill="1" applyBorder="1" applyProtection="1">
      <protection hidden="1"/>
    </xf>
    <xf numFmtId="179" fontId="44" fillId="0" borderId="0" xfId="52" applyNumberFormat="1" applyFont="1" applyBorder="1" applyProtection="1">
      <protection hidden="1"/>
    </xf>
    <xf numFmtId="37" fontId="12" fillId="0" borderId="80" xfId="138" applyFont="1" applyFill="1" applyBorder="1" applyAlignment="1" applyProtection="1">
      <alignment horizontal="left"/>
      <protection hidden="1"/>
    </xf>
    <xf numFmtId="37" fontId="12" fillId="0" borderId="81" xfId="138" applyFont="1" applyFill="1" applyBorder="1" applyAlignment="1" applyProtection="1">
      <protection hidden="1"/>
    </xf>
    <xf numFmtId="179" fontId="46" fillId="0" borderId="81" xfId="52" applyNumberFormat="1" applyFont="1" applyBorder="1" applyProtection="1">
      <protection hidden="1"/>
    </xf>
    <xf numFmtId="37" fontId="12" fillId="0" borderId="0" xfId="138" applyFont="1" applyFill="1" applyBorder="1" applyAlignment="1" applyProtection="1">
      <alignment horizontal="left"/>
      <protection hidden="1"/>
    </xf>
    <xf numFmtId="182" fontId="44" fillId="0" borderId="0" xfId="38" applyNumberFormat="1" applyFont="1" applyBorder="1" applyProtection="1">
      <protection hidden="1"/>
    </xf>
    <xf numFmtId="39" fontId="44" fillId="0" borderId="0" xfId="38" applyNumberFormat="1" applyFont="1" applyBorder="1" applyProtection="1">
      <protection hidden="1"/>
    </xf>
    <xf numFmtId="37" fontId="12" fillId="0" borderId="0" xfId="138" applyFont="1" applyBorder="1" applyProtection="1">
      <protection hidden="1"/>
    </xf>
    <xf numFmtId="39" fontId="44" fillId="0" borderId="0" xfId="52" applyNumberFormat="1" applyFont="1" applyBorder="1" applyProtection="1">
      <protection hidden="1"/>
    </xf>
    <xf numFmtId="37" fontId="9" fillId="0" borderId="76" xfId="138" applyFont="1" applyFill="1" applyBorder="1" applyAlignment="1" applyProtection="1">
      <alignment horizontal="left"/>
      <protection hidden="1"/>
    </xf>
    <xf numFmtId="179" fontId="44" fillId="0" borderId="74" xfId="52" applyNumberFormat="1" applyFont="1" applyBorder="1" applyProtection="1">
      <protection hidden="1"/>
    </xf>
    <xf numFmtId="37" fontId="9" fillId="0" borderId="79" xfId="138" applyFont="1" applyFill="1" applyBorder="1" applyAlignment="1" applyProtection="1">
      <alignment horizontal="left"/>
      <protection hidden="1"/>
    </xf>
    <xf numFmtId="37" fontId="12" fillId="0" borderId="83" xfId="138" applyFont="1" applyFill="1" applyBorder="1" applyAlignment="1" applyProtection="1">
      <alignment horizontal="left"/>
      <protection hidden="1"/>
    </xf>
    <xf numFmtId="37" fontId="12" fillId="0" borderId="30" xfId="138" applyFont="1" applyFill="1" applyBorder="1" applyAlignment="1" applyProtection="1">
      <protection hidden="1"/>
    </xf>
    <xf numFmtId="179" fontId="46" fillId="0" borderId="30" xfId="52" applyNumberFormat="1" applyFont="1" applyBorder="1" applyProtection="1">
      <protection hidden="1"/>
    </xf>
    <xf numFmtId="37" fontId="9" fillId="0" borderId="0" xfId="138" applyFont="1" applyFill="1" applyProtection="1">
      <protection hidden="1"/>
    </xf>
    <xf numFmtId="37" fontId="12" fillId="0" borderId="82" xfId="138" applyFont="1" applyFill="1" applyBorder="1" applyAlignment="1" applyProtection="1">
      <alignment horizontal="left"/>
      <protection hidden="1"/>
    </xf>
    <xf numFmtId="183" fontId="9" fillId="0" borderId="0" xfId="38" applyNumberFormat="1" applyFont="1" applyProtection="1">
      <protection hidden="1"/>
    </xf>
    <xf numFmtId="0" fontId="43" fillId="24" borderId="0" xfId="132" applyFont="1" applyFill="1" applyAlignment="1">
      <alignment horizontal="center" vertical="center"/>
    </xf>
    <xf numFmtId="170" fontId="12" fillId="24" borderId="0" xfId="49" applyNumberFormat="1" applyFont="1" applyFill="1" applyAlignment="1"/>
    <xf numFmtId="39" fontId="41" fillId="24" borderId="0" xfId="138" applyNumberFormat="1" applyFont="1" applyFill="1" applyAlignment="1" applyProtection="1">
      <alignment horizontal="center"/>
      <protection hidden="1"/>
    </xf>
    <xf numFmtId="39" fontId="35" fillId="24" borderId="84" xfId="132" applyNumberFormat="1" applyFont="1" applyFill="1" applyBorder="1" applyAlignment="1">
      <alignment horizontal="center"/>
    </xf>
    <xf numFmtId="37" fontId="12" fillId="24" borderId="72" xfId="138" applyFont="1" applyFill="1" applyBorder="1" applyAlignment="1" applyProtection="1">
      <alignment horizontal="center" vertical="center" wrapText="1"/>
      <protection hidden="1"/>
    </xf>
    <xf numFmtId="39" fontId="12" fillId="24" borderId="10" xfId="132" applyNumberFormat="1" applyFont="1" applyFill="1" applyBorder="1" applyAlignment="1" applyProtection="1">
      <alignment horizontal="center" vertical="center" wrapText="1"/>
      <protection hidden="1"/>
    </xf>
    <xf numFmtId="39" fontId="9" fillId="24" borderId="0" xfId="138" applyNumberFormat="1" applyFont="1" applyFill="1" applyProtection="1">
      <protection hidden="1"/>
    </xf>
    <xf numFmtId="37" fontId="9" fillId="24" borderId="85" xfId="138" applyFont="1" applyFill="1" applyBorder="1" applyAlignment="1" applyProtection="1">
      <alignment horizontal="left"/>
      <protection hidden="1"/>
    </xf>
    <xf numFmtId="179" fontId="9" fillId="24" borderId="86" xfId="52" applyNumberFormat="1" applyFont="1" applyFill="1" applyBorder="1" applyAlignment="1" applyProtection="1">
      <protection hidden="1"/>
    </xf>
    <xf numFmtId="179" fontId="44" fillId="24" borderId="86" xfId="52" applyNumberFormat="1" applyFont="1" applyFill="1" applyBorder="1" applyProtection="1">
      <protection hidden="1"/>
    </xf>
    <xf numFmtId="39" fontId="9" fillId="24" borderId="87" xfId="52" applyNumberFormat="1" applyFont="1" applyFill="1" applyBorder="1" applyProtection="1">
      <protection hidden="1"/>
    </xf>
    <xf numFmtId="37" fontId="9" fillId="24" borderId="88" xfId="138" applyFont="1" applyFill="1" applyBorder="1" applyAlignment="1" applyProtection="1">
      <alignment horizontal="left"/>
      <protection hidden="1"/>
    </xf>
    <xf numFmtId="179" fontId="9" fillId="24" borderId="89" xfId="52" applyNumberFormat="1" applyFont="1" applyFill="1" applyBorder="1" applyAlignment="1" applyProtection="1">
      <protection hidden="1"/>
    </xf>
    <xf numFmtId="179" fontId="44" fillId="24" borderId="89" xfId="52" applyNumberFormat="1" applyFont="1" applyFill="1" applyBorder="1" applyProtection="1">
      <protection hidden="1"/>
    </xf>
    <xf numFmtId="39" fontId="9" fillId="24" borderId="90" xfId="52" applyNumberFormat="1" applyFont="1" applyFill="1" applyBorder="1" applyProtection="1">
      <protection hidden="1"/>
    </xf>
    <xf numFmtId="37" fontId="12" fillId="24" borderId="91" xfId="138" applyFont="1" applyFill="1" applyBorder="1" applyAlignment="1" applyProtection="1">
      <alignment horizontal="left"/>
      <protection hidden="1"/>
    </xf>
    <xf numFmtId="179" fontId="9" fillId="24" borderId="92" xfId="52" applyNumberFormat="1" applyFont="1" applyFill="1" applyBorder="1" applyAlignment="1" applyProtection="1">
      <protection hidden="1"/>
    </xf>
    <xf numFmtId="179" fontId="44" fillId="24" borderId="92" xfId="52" applyNumberFormat="1" applyFont="1" applyFill="1" applyBorder="1" applyProtection="1">
      <protection hidden="1"/>
    </xf>
    <xf numFmtId="39" fontId="9" fillId="24" borderId="93" xfId="52" applyNumberFormat="1" applyFont="1" applyFill="1" applyBorder="1" applyProtection="1">
      <protection hidden="1"/>
    </xf>
    <xf numFmtId="37" fontId="12" fillId="24" borderId="58" xfId="138" applyFont="1" applyFill="1" applyBorder="1" applyAlignment="1" applyProtection="1">
      <alignment horizontal="left"/>
      <protection hidden="1"/>
    </xf>
    <xf numFmtId="184" fontId="9" fillId="24" borderId="58" xfId="138" applyNumberFormat="1" applyFont="1" applyFill="1" applyBorder="1" applyAlignment="1" applyProtection="1">
      <protection hidden="1"/>
    </xf>
    <xf numFmtId="182" fontId="44" fillId="24" borderId="58" xfId="38" applyNumberFormat="1" applyFont="1" applyFill="1" applyBorder="1" applyProtection="1">
      <protection hidden="1"/>
    </xf>
    <xf numFmtId="39" fontId="9" fillId="24" borderId="58" xfId="52" applyNumberFormat="1" applyFont="1" applyFill="1" applyBorder="1" applyProtection="1">
      <protection hidden="1"/>
    </xf>
    <xf numFmtId="37" fontId="12" fillId="24" borderId="0" xfId="138" applyFont="1" applyFill="1" applyBorder="1" applyProtection="1">
      <protection hidden="1"/>
    </xf>
    <xf numFmtId="179" fontId="12" fillId="24" borderId="0" xfId="52" applyNumberFormat="1" applyFont="1" applyFill="1" applyBorder="1" applyAlignment="1" applyProtection="1">
      <protection hidden="1"/>
    </xf>
    <xf numFmtId="182" fontId="44" fillId="24" borderId="0" xfId="38" applyNumberFormat="1" applyFont="1" applyFill="1" applyBorder="1" applyProtection="1">
      <protection hidden="1"/>
    </xf>
    <xf numFmtId="39" fontId="9" fillId="24" borderId="0" xfId="52" applyNumberFormat="1" applyFont="1" applyFill="1" applyBorder="1" applyProtection="1">
      <protection hidden="1"/>
    </xf>
    <xf numFmtId="37" fontId="9" fillId="24" borderId="57" xfId="138" applyFont="1" applyFill="1" applyBorder="1" applyAlignment="1" applyProtection="1">
      <alignment horizontal="left"/>
      <protection hidden="1"/>
    </xf>
    <xf numFmtId="184" fontId="9" fillId="24" borderId="57" xfId="138" applyNumberFormat="1" applyFont="1" applyFill="1" applyBorder="1" applyAlignment="1" applyProtection="1">
      <protection hidden="1"/>
    </xf>
    <xf numFmtId="182" fontId="44" fillId="24" borderId="57" xfId="38" applyNumberFormat="1" applyFont="1" applyFill="1" applyBorder="1" applyProtection="1">
      <protection hidden="1"/>
    </xf>
    <xf numFmtId="39" fontId="9" fillId="24" borderId="57" xfId="52" applyNumberFormat="1" applyFont="1" applyFill="1" applyBorder="1" applyProtection="1">
      <protection hidden="1"/>
    </xf>
    <xf numFmtId="37" fontId="0" fillId="24" borderId="91" xfId="138" applyFont="1" applyFill="1" applyBorder="1" applyAlignment="1" applyProtection="1">
      <alignment horizontal="left"/>
      <protection hidden="1"/>
    </xf>
    <xf numFmtId="37" fontId="12" fillId="24" borderId="94" xfId="138" applyFont="1" applyFill="1" applyBorder="1" applyAlignment="1" applyProtection="1">
      <alignment horizontal="left"/>
      <protection hidden="1"/>
    </xf>
    <xf numFmtId="179" fontId="40" fillId="24" borderId="95" xfId="52" applyNumberFormat="1" applyFont="1" applyFill="1" applyBorder="1" applyAlignment="1" applyProtection="1">
      <protection hidden="1"/>
    </xf>
    <xf numFmtId="179" fontId="46" fillId="24" borderId="95" xfId="52" applyNumberFormat="1" applyFont="1" applyFill="1" applyBorder="1" applyProtection="1">
      <protection hidden="1"/>
    </xf>
    <xf numFmtId="39" fontId="12" fillId="24" borderId="96" xfId="52" applyNumberFormat="1" applyFont="1" applyFill="1" applyBorder="1" applyProtection="1">
      <protection hidden="1"/>
    </xf>
    <xf numFmtId="183" fontId="9" fillId="24" borderId="0" xfId="38" applyNumberFormat="1" applyFont="1" applyFill="1" applyProtection="1">
      <protection hidden="1"/>
    </xf>
    <xf numFmtId="170" fontId="9" fillId="0" borderId="97" xfId="140" applyNumberFormat="1" applyFont="1" applyFill="1" applyBorder="1" applyAlignment="1">
      <alignment vertical="center" wrapText="1"/>
    </xf>
    <xf numFmtId="170" fontId="12" fillId="24" borderId="99" xfId="49" applyNumberFormat="1" applyFont="1" applyFill="1" applyBorder="1" applyAlignment="1">
      <alignment horizontal="center" vertical="center" wrapText="1"/>
    </xf>
    <xf numFmtId="170" fontId="12" fillId="24" borderId="79" xfId="49" applyNumberFormat="1" applyFont="1" applyFill="1" applyBorder="1"/>
    <xf numFmtId="170" fontId="12" fillId="24" borderId="82" xfId="49" applyNumberFormat="1" applyFont="1" applyFill="1" applyBorder="1"/>
    <xf numFmtId="0" fontId="12" fillId="24" borderId="0" xfId="0" applyFont="1" applyFill="1"/>
    <xf numFmtId="0" fontId="12" fillId="24" borderId="79" xfId="0" applyFont="1" applyFill="1" applyBorder="1"/>
    <xf numFmtId="9" fontId="12" fillId="24" borderId="79" xfId="0" applyNumberFormat="1" applyFont="1" applyFill="1" applyBorder="1"/>
    <xf numFmtId="9" fontId="12" fillId="24" borderId="103" xfId="0" applyNumberFormat="1" applyFont="1" applyFill="1" applyBorder="1"/>
    <xf numFmtId="0" fontId="12" fillId="24" borderId="106" xfId="0" applyFont="1" applyFill="1" applyBorder="1"/>
    <xf numFmtId="170" fontId="12" fillId="24" borderId="74" xfId="49" applyNumberFormat="1" applyFont="1" applyFill="1" applyBorder="1" applyAlignment="1">
      <alignment horizontal="center" vertical="center" wrapText="1"/>
    </xf>
    <xf numFmtId="0" fontId="0" fillId="24" borderId="75" xfId="0" applyFill="1" applyBorder="1"/>
    <xf numFmtId="170" fontId="12" fillId="24" borderId="112" xfId="49" applyNumberFormat="1" applyFont="1" applyFill="1" applyBorder="1" applyAlignment="1">
      <alignment horizontal="center" vertical="center" wrapText="1"/>
    </xf>
    <xf numFmtId="170" fontId="12" fillId="24" borderId="113" xfId="49" applyNumberFormat="1" applyFont="1" applyFill="1" applyBorder="1" applyAlignment="1">
      <alignment horizontal="center" vertical="center" wrapText="1"/>
    </xf>
    <xf numFmtId="43" fontId="12" fillId="24" borderId="101" xfId="0" applyNumberFormat="1" applyFont="1" applyFill="1" applyBorder="1"/>
    <xf numFmtId="170" fontId="12" fillId="24" borderId="101" xfId="140" applyNumberFormat="1" applyFont="1" applyFill="1" applyBorder="1"/>
    <xf numFmtId="170" fontId="12" fillId="24" borderId="102" xfId="140" applyNumberFormat="1" applyFont="1" applyFill="1" applyBorder="1"/>
    <xf numFmtId="170" fontId="0" fillId="24" borderId="108" xfId="140" applyNumberFormat="1" applyFont="1" applyFill="1" applyBorder="1"/>
    <xf numFmtId="170" fontId="0" fillId="24" borderId="78" xfId="140" applyNumberFormat="1" applyFont="1" applyFill="1" applyBorder="1"/>
    <xf numFmtId="170" fontId="0" fillId="24" borderId="109" xfId="140" applyNumberFormat="1" applyFont="1" applyFill="1" applyBorder="1"/>
    <xf numFmtId="170" fontId="0" fillId="24" borderId="105" xfId="140" applyNumberFormat="1" applyFont="1" applyFill="1" applyBorder="1"/>
    <xf numFmtId="39" fontId="44" fillId="0" borderId="100" xfId="52" applyNumberFormat="1" applyFont="1" applyFill="1" applyBorder="1" applyProtection="1">
      <protection hidden="1"/>
    </xf>
    <xf numFmtId="39" fontId="44" fillId="0" borderId="101" xfId="52" applyNumberFormat="1" applyFont="1" applyFill="1" applyBorder="1" applyProtection="1">
      <protection hidden="1"/>
    </xf>
    <xf numFmtId="39" fontId="44" fillId="0" borderId="101" xfId="52" applyNumberFormat="1" applyFont="1" applyBorder="1" applyProtection="1">
      <protection hidden="1"/>
    </xf>
    <xf numFmtId="39" fontId="46" fillId="0" borderId="107" xfId="52" applyNumberFormat="1" applyFont="1" applyBorder="1" applyProtection="1">
      <protection hidden="1"/>
    </xf>
    <xf numFmtId="39" fontId="44" fillId="0" borderId="100" xfId="52" applyNumberFormat="1" applyFont="1" applyBorder="1" applyProtection="1">
      <protection hidden="1"/>
    </xf>
    <xf numFmtId="39" fontId="46" fillId="0" borderId="127" xfId="52" applyNumberFormat="1" applyFont="1" applyBorder="1" applyProtection="1">
      <protection hidden="1"/>
    </xf>
    <xf numFmtId="37" fontId="9" fillId="0" borderId="112" xfId="138" applyFont="1" applyFill="1" applyBorder="1" applyAlignment="1" applyProtection="1">
      <protection hidden="1"/>
    </xf>
    <xf numFmtId="37" fontId="9" fillId="0" borderId="17" xfId="138" applyFont="1" applyFill="1" applyBorder="1" applyAlignment="1" applyProtection="1">
      <protection hidden="1"/>
    </xf>
    <xf numFmtId="37" fontId="12" fillId="0" borderId="31" xfId="138" applyFont="1" applyFill="1" applyBorder="1" applyAlignment="1" applyProtection="1">
      <protection hidden="1"/>
    </xf>
    <xf numFmtId="37" fontId="12" fillId="0" borderId="128" xfId="138" applyFont="1" applyFill="1" applyBorder="1" applyAlignment="1" applyProtection="1">
      <protection hidden="1"/>
    </xf>
    <xf numFmtId="174" fontId="12" fillId="24" borderId="14" xfId="132" applyNumberFormat="1" applyFont="1" applyFill="1" applyBorder="1"/>
    <xf numFmtId="170" fontId="12" fillId="24" borderId="0" xfId="49" applyNumberFormat="1" applyFont="1" applyFill="1" applyBorder="1" applyAlignment="1">
      <alignment horizontal="center" vertical="center" wrapText="1"/>
    </xf>
    <xf numFmtId="170" fontId="12" fillId="24" borderId="130" xfId="49" applyNumberFormat="1" applyFont="1" applyFill="1" applyBorder="1" applyAlignment="1">
      <alignment horizontal="center" vertical="center" wrapText="1"/>
    </xf>
    <xf numFmtId="170" fontId="12" fillId="24" borderId="79" xfId="49" applyNumberFormat="1" applyFont="1" applyFill="1" applyBorder="1" applyAlignment="1">
      <alignment horizontal="left" vertical="center" wrapText="1"/>
    </xf>
    <xf numFmtId="170" fontId="12" fillId="24" borderId="79" xfId="49" applyNumberFormat="1" applyFont="1" applyFill="1" applyBorder="1" applyAlignment="1">
      <alignment horizontal="left"/>
    </xf>
    <xf numFmtId="170" fontId="12" fillId="24" borderId="131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 applyAlignment="1">
      <alignment horizontal="center" vertical="center" wrapText="1"/>
    </xf>
    <xf numFmtId="170" fontId="12" fillId="24" borderId="132" xfId="49" applyNumberFormat="1" applyFont="1" applyFill="1" applyBorder="1"/>
    <xf numFmtId="49" fontId="12" fillId="26" borderId="133" xfId="141" applyNumberFormat="1" applyFont="1" applyFill="1" applyBorder="1" applyAlignment="1">
      <alignment horizontal="center" vertical="center" wrapText="1"/>
    </xf>
    <xf numFmtId="0" fontId="0" fillId="24" borderId="129" xfId="0" applyFill="1" applyBorder="1"/>
    <xf numFmtId="170" fontId="0" fillId="24" borderId="101" xfId="0" applyNumberFormat="1" applyFill="1" applyBorder="1"/>
    <xf numFmtId="170" fontId="12" fillId="24" borderId="128" xfId="49" applyNumberFormat="1" applyFont="1" applyFill="1" applyBorder="1"/>
    <xf numFmtId="170" fontId="12" fillId="24" borderId="134" xfId="49" applyNumberFormat="1" applyFont="1" applyFill="1" applyBorder="1"/>
    <xf numFmtId="170" fontId="12" fillId="24" borderId="107" xfId="140" applyNumberFormat="1" applyFont="1" applyFill="1" applyBorder="1"/>
    <xf numFmtId="170" fontId="12" fillId="24" borderId="110" xfId="140" applyNumberFormat="1" applyFont="1" applyFill="1" applyBorder="1"/>
    <xf numFmtId="170" fontId="12" fillId="24" borderId="51" xfId="140" applyNumberFormat="1" applyFont="1" applyFill="1" applyBorder="1"/>
    <xf numFmtId="170" fontId="12" fillId="24" borderId="17" xfId="140" applyNumberFormat="1" applyFont="1" applyFill="1" applyBorder="1"/>
    <xf numFmtId="170" fontId="12" fillId="24" borderId="0" xfId="140" applyNumberFormat="1" applyFont="1" applyFill="1" applyBorder="1"/>
    <xf numFmtId="170" fontId="12" fillId="24" borderId="115" xfId="140" applyNumberFormat="1" applyFont="1" applyFill="1" applyBorder="1"/>
    <xf numFmtId="170" fontId="12" fillId="24" borderId="111" xfId="140" applyNumberFormat="1" applyFont="1" applyFill="1" applyBorder="1"/>
    <xf numFmtId="170" fontId="12" fillId="24" borderId="98" xfId="140" applyNumberFormat="1" applyFont="1" applyFill="1" applyBorder="1"/>
    <xf numFmtId="170" fontId="12" fillId="24" borderId="116" xfId="140" applyNumberFormat="1" applyFont="1" applyFill="1" applyBorder="1"/>
    <xf numFmtId="170" fontId="12" fillId="24" borderId="117" xfId="140" applyNumberFormat="1" applyFont="1" applyFill="1" applyBorder="1"/>
    <xf numFmtId="170" fontId="12" fillId="24" borderId="84" xfId="140" applyNumberFormat="1" applyFont="1" applyFill="1" applyBorder="1"/>
    <xf numFmtId="170" fontId="12" fillId="24" borderId="118" xfId="140" applyNumberFormat="1" applyFont="1" applyFill="1" applyBorder="1"/>
    <xf numFmtId="170" fontId="0" fillId="24" borderId="0" xfId="140" applyNumberFormat="1" applyFont="1" applyFill="1" applyBorder="1"/>
    <xf numFmtId="170" fontId="0" fillId="24" borderId="74" xfId="140" applyNumberFormat="1" applyFont="1" applyFill="1" applyBorder="1"/>
    <xf numFmtId="170" fontId="0" fillId="24" borderId="75" xfId="140" applyNumberFormat="1" applyFont="1" applyFill="1" applyBorder="1"/>
    <xf numFmtId="0" fontId="12" fillId="24" borderId="74" xfId="0" applyFont="1" applyFill="1" applyBorder="1" applyAlignment="1">
      <alignment horizontal="center" vertical="center" wrapText="1"/>
    </xf>
    <xf numFmtId="0" fontId="12" fillId="24" borderId="100" xfId="0" applyFont="1" applyFill="1" applyBorder="1" applyAlignment="1">
      <alignment horizontal="center" vertical="center" wrapText="1"/>
    </xf>
    <xf numFmtId="0" fontId="12" fillId="24" borderId="75" xfId="0" applyFont="1" applyFill="1" applyBorder="1" applyAlignment="1">
      <alignment horizontal="center" vertical="center" wrapText="1"/>
    </xf>
    <xf numFmtId="170" fontId="12" fillId="24" borderId="100" xfId="140" applyNumberFormat="1" applyFont="1" applyFill="1" applyBorder="1"/>
    <xf numFmtId="170" fontId="12" fillId="24" borderId="126" xfId="140" applyNumberFormat="1" applyFont="1" applyFill="1" applyBorder="1"/>
    <xf numFmtId="0" fontId="12" fillId="24" borderId="73" xfId="0" applyFont="1" applyFill="1" applyBorder="1"/>
    <xf numFmtId="0" fontId="12" fillId="24" borderId="77" xfId="0" applyFont="1" applyFill="1" applyBorder="1"/>
    <xf numFmtId="0" fontId="12" fillId="24" borderId="136" xfId="0" applyFont="1" applyFill="1" applyBorder="1"/>
    <xf numFmtId="170" fontId="12" fillId="24" borderId="135" xfId="140" applyNumberFormat="1" applyFont="1" applyFill="1" applyBorder="1"/>
    <xf numFmtId="170" fontId="12" fillId="24" borderId="104" xfId="140" applyNumberFormat="1" applyFont="1" applyFill="1" applyBorder="1"/>
    <xf numFmtId="170" fontId="9" fillId="31" borderId="63" xfId="140" applyNumberFormat="1" applyFont="1" applyFill="1" applyBorder="1" applyAlignment="1">
      <alignment vertical="center" wrapText="1"/>
    </xf>
    <xf numFmtId="43" fontId="0" fillId="24" borderId="0" xfId="0" applyNumberFormat="1" applyFill="1"/>
    <xf numFmtId="43" fontId="9" fillId="0" borderId="0" xfId="51" applyNumberFormat="1"/>
    <xf numFmtId="49" fontId="12" fillId="24" borderId="133" xfId="132" applyNumberFormat="1" applyFont="1" applyFill="1" applyBorder="1" applyAlignment="1">
      <alignment horizontal="center" vertical="center" wrapText="1"/>
    </xf>
    <xf numFmtId="174" fontId="0" fillId="24" borderId="0" xfId="49" applyNumberFormat="1" applyFont="1" applyFill="1" applyBorder="1"/>
    <xf numFmtId="170" fontId="12" fillId="24" borderId="133" xfId="49" applyNumberFormat="1" applyFont="1" applyFill="1" applyBorder="1" applyAlignment="1">
      <alignment horizontal="center" vertical="center" wrapText="1"/>
    </xf>
    <xf numFmtId="49" fontId="12" fillId="31" borderId="40" xfId="132" applyNumberFormat="1" applyFont="1" applyFill="1" applyBorder="1" applyAlignment="1">
      <alignment horizontal="center" vertical="center" wrapText="1"/>
    </xf>
    <xf numFmtId="49" fontId="12" fillId="31" borderId="133" xfId="132" applyNumberFormat="1" applyFont="1" applyFill="1" applyBorder="1" applyAlignment="1">
      <alignment horizontal="center" vertical="center" wrapText="1"/>
    </xf>
    <xf numFmtId="170" fontId="0" fillId="24" borderId="110" xfId="49" applyNumberFormat="1" applyFont="1" applyFill="1" applyBorder="1"/>
    <xf numFmtId="170" fontId="0" fillId="24" borderId="51" xfId="49" applyNumberFormat="1" applyFont="1" applyFill="1" applyBorder="1"/>
    <xf numFmtId="185" fontId="12" fillId="24" borderId="79" xfId="140" applyNumberFormat="1" applyFont="1" applyFill="1" applyBorder="1" applyAlignment="1">
      <alignment horizontal="left" vertical="center" wrapText="1"/>
    </xf>
    <xf numFmtId="185" fontId="12" fillId="24" borderId="79" xfId="140" applyNumberFormat="1" applyFont="1" applyFill="1" applyBorder="1" applyAlignment="1">
      <alignment horizontal="left"/>
    </xf>
    <xf numFmtId="185" fontId="12" fillId="24" borderId="82" xfId="140" applyNumberFormat="1" applyFont="1" applyFill="1" applyBorder="1"/>
    <xf numFmtId="170" fontId="12" fillId="24" borderId="137" xfId="49" applyNumberFormat="1" applyFont="1" applyFill="1" applyBorder="1" applyAlignment="1">
      <alignment horizontal="center" vertical="center" wrapText="1"/>
    </xf>
    <xf numFmtId="170" fontId="12" fillId="24" borderId="78" xfId="49" applyNumberFormat="1" applyFont="1" applyFill="1" applyBorder="1" applyAlignment="1">
      <alignment horizontal="center" vertical="center" wrapText="1"/>
    </xf>
    <xf numFmtId="170" fontId="12" fillId="24" borderId="138" xfId="49" applyNumberFormat="1" applyFont="1" applyFill="1" applyBorder="1"/>
    <xf numFmtId="170" fontId="12" fillId="24" borderId="139" xfId="49" applyNumberFormat="1" applyFont="1" applyFill="1" applyBorder="1" applyAlignment="1">
      <alignment horizontal="center" vertical="center" wrapText="1"/>
    </xf>
    <xf numFmtId="170" fontId="12" fillId="24" borderId="140" xfId="49" applyNumberFormat="1" applyFont="1" applyFill="1" applyBorder="1" applyAlignment="1">
      <alignment horizontal="center" vertical="center" wrapText="1"/>
    </xf>
    <xf numFmtId="170" fontId="9" fillId="24" borderId="17" xfId="49" applyNumberFormat="1" applyFont="1" applyFill="1" applyBorder="1" applyAlignment="1">
      <alignment horizontal="center" vertical="center" wrapText="1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170" fontId="0" fillId="24" borderId="0" xfId="0" applyNumberFormat="1" applyFill="1" applyBorder="1"/>
    <xf numFmtId="170" fontId="9" fillId="24" borderId="115" xfId="49" applyNumberFormat="1" applyFont="1" applyFill="1" applyBorder="1" applyAlignment="1">
      <alignment horizontal="center" vertical="center" wrapText="1"/>
    </xf>
    <xf numFmtId="43" fontId="0" fillId="24" borderId="51" xfId="49" applyNumberFormat="1" applyFont="1" applyFill="1" applyBorder="1"/>
    <xf numFmtId="186" fontId="0" fillId="24" borderId="51" xfId="49" applyNumberFormat="1" applyFont="1" applyFill="1" applyBorder="1"/>
    <xf numFmtId="183" fontId="0" fillId="24" borderId="51" xfId="38" applyNumberFormat="1" applyFont="1" applyFill="1" applyBorder="1"/>
    <xf numFmtId="43" fontId="0" fillId="24" borderId="0" xfId="49" applyNumberFormat="1" applyFont="1" applyFill="1" applyBorder="1"/>
    <xf numFmtId="43" fontId="12" fillId="24" borderId="14" xfId="49" applyNumberFormat="1" applyFont="1" applyFill="1" applyBorder="1"/>
    <xf numFmtId="187" fontId="0" fillId="24" borderId="0" xfId="49" applyNumberFormat="1" applyFont="1" applyFill="1" applyBorder="1"/>
    <xf numFmtId="187" fontId="12" fillId="24" borderId="14" xfId="49" applyNumberFormat="1" applyFont="1" applyFill="1" applyBorder="1"/>
    <xf numFmtId="186" fontId="12" fillId="24" borderId="14" xfId="49" applyNumberFormat="1" applyFont="1" applyFill="1" applyBorder="1"/>
    <xf numFmtId="185" fontId="0" fillId="24" borderId="51" xfId="49" applyNumberFormat="1" applyFont="1" applyFill="1" applyBorder="1"/>
    <xf numFmtId="185" fontId="12" fillId="24" borderId="14" xfId="49" applyNumberFormat="1" applyFont="1" applyFill="1" applyBorder="1"/>
    <xf numFmtId="0" fontId="0" fillId="24" borderId="0" xfId="0" applyFill="1" applyAlignment="1">
      <alignment horizontal="center" vertical="center"/>
    </xf>
    <xf numFmtId="170" fontId="0" fillId="24" borderId="0" xfId="49" applyNumberFormat="1" applyFont="1" applyFill="1" applyBorder="1" applyAlignment="1">
      <alignment wrapText="1"/>
    </xf>
    <xf numFmtId="170" fontId="0" fillId="24" borderId="0" xfId="49" applyNumberFormat="1" applyFont="1" applyFill="1" applyBorder="1" applyAlignment="1">
      <alignment horizontal="center" vertical="center" wrapText="1"/>
    </xf>
    <xf numFmtId="0" fontId="47" fillId="32" borderId="142" xfId="0" applyFont="1" applyFill="1" applyBorder="1"/>
    <xf numFmtId="0" fontId="47" fillId="32" borderId="143" xfId="0" applyFont="1" applyFill="1" applyBorder="1"/>
    <xf numFmtId="0" fontId="0" fillId="33" borderId="142" xfId="0" applyFont="1" applyFill="1" applyBorder="1"/>
    <xf numFmtId="170" fontId="0" fillId="33" borderId="142" xfId="140" applyNumberFormat="1" applyFont="1" applyFill="1" applyBorder="1"/>
    <xf numFmtId="170" fontId="0" fillId="33" borderId="143" xfId="140" applyNumberFormat="1" applyFont="1" applyFill="1" applyBorder="1"/>
    <xf numFmtId="0" fontId="0" fillId="0" borderId="142" xfId="0" applyFont="1" applyBorder="1"/>
    <xf numFmtId="170" fontId="0" fillId="0" borderId="143" xfId="140" applyNumberFormat="1" applyFont="1" applyBorder="1"/>
    <xf numFmtId="187" fontId="0" fillId="24" borderId="51" xfId="49" applyNumberFormat="1" applyFont="1" applyFill="1" applyBorder="1"/>
    <xf numFmtId="183" fontId="0" fillId="24" borderId="0" xfId="38" applyNumberFormat="1" applyFont="1" applyFill="1" applyBorder="1"/>
    <xf numFmtId="185" fontId="0" fillId="24" borderId="0" xfId="49" applyNumberFormat="1" applyFont="1" applyFill="1" applyBorder="1"/>
    <xf numFmtId="186" fontId="0" fillId="24" borderId="0" xfId="49" applyNumberFormat="1" applyFont="1" applyFill="1" applyBorder="1"/>
    <xf numFmtId="170" fontId="0" fillId="24" borderId="111" xfId="49" applyNumberFormat="1" applyFont="1" applyFill="1" applyBorder="1"/>
    <xf numFmtId="170" fontId="0" fillId="24" borderId="98" xfId="49" applyNumberFormat="1" applyFont="1" applyFill="1" applyBorder="1"/>
    <xf numFmtId="183" fontId="0" fillId="24" borderId="98" xfId="38" applyNumberFormat="1" applyFont="1" applyFill="1" applyBorder="1"/>
    <xf numFmtId="43" fontId="0" fillId="24" borderId="98" xfId="49" applyNumberFormat="1" applyFont="1" applyFill="1" applyBorder="1"/>
    <xf numFmtId="187" fontId="0" fillId="24" borderId="98" xfId="49" applyNumberFormat="1" applyFont="1" applyFill="1" applyBorder="1"/>
    <xf numFmtId="185" fontId="0" fillId="24" borderId="98" xfId="49" applyNumberFormat="1" applyFont="1" applyFill="1" applyBorder="1"/>
    <xf numFmtId="186" fontId="0" fillId="24" borderId="98" xfId="49" applyNumberFormat="1" applyFont="1" applyFill="1" applyBorder="1"/>
    <xf numFmtId="49" fontId="12" fillId="24" borderId="40" xfId="132" applyNumberFormat="1" applyFont="1" applyFill="1" applyBorder="1" applyAlignment="1">
      <alignment horizontal="center" vertical="center" wrapText="1"/>
    </xf>
    <xf numFmtId="49" fontId="12" fillId="24" borderId="144" xfId="132" applyNumberFormat="1" applyFont="1" applyFill="1" applyBorder="1" applyAlignment="1">
      <alignment horizontal="center" vertical="center" wrapText="1"/>
    </xf>
    <xf numFmtId="172" fontId="0" fillId="24" borderId="17" xfId="49" applyNumberFormat="1" applyFont="1" applyFill="1" applyBorder="1"/>
    <xf numFmtId="171" fontId="0" fillId="24" borderId="115" xfId="49" applyNumberFormat="1" applyFont="1" applyFill="1" applyBorder="1"/>
    <xf numFmtId="172" fontId="12" fillId="24" borderId="36" xfId="49" applyNumberFormat="1" applyFont="1" applyFill="1" applyBorder="1"/>
    <xf numFmtId="171" fontId="12" fillId="24" borderId="145" xfId="49" applyNumberFormat="1" applyFont="1" applyFill="1" applyBorder="1"/>
    <xf numFmtId="176" fontId="9" fillId="0" borderId="10" xfId="51" applyNumberFormat="1" applyFont="1" applyBorder="1" applyAlignment="1">
      <alignment horizontal="right" vertical="center" wrapText="1"/>
    </xf>
    <xf numFmtId="176" fontId="9" fillId="0" borderId="0" xfId="51" applyNumberFormat="1"/>
    <xf numFmtId="170" fontId="0" fillId="24" borderId="0" xfId="0" applyNumberFormat="1" applyFill="1"/>
    <xf numFmtId="170" fontId="12" fillId="24" borderId="114" xfId="140" applyNumberFormat="1" applyFont="1" applyFill="1" applyBorder="1"/>
    <xf numFmtId="0" fontId="12" fillId="0" borderId="0" xfId="51" applyFont="1" applyBorder="1" applyAlignment="1">
      <alignment vertical="center"/>
    </xf>
    <xf numFmtId="0" fontId="12" fillId="0" borderId="146" xfId="51" applyFont="1" applyBorder="1" applyAlignment="1">
      <alignment horizontal="center" vertical="center" wrapText="1"/>
    </xf>
    <xf numFmtId="0" fontId="12" fillId="0" borderId="131" xfId="51" applyFont="1" applyBorder="1" applyAlignment="1">
      <alignment horizontal="center" vertical="center" wrapText="1"/>
    </xf>
    <xf numFmtId="0" fontId="12" fillId="0" borderId="129" xfId="51" applyFont="1" applyBorder="1" applyAlignment="1">
      <alignment horizontal="center" vertical="center" wrapText="1"/>
    </xf>
    <xf numFmtId="0" fontId="9" fillId="0" borderId="147" xfId="51" applyFont="1" applyBorder="1" applyAlignment="1">
      <alignment vertical="center" wrapText="1"/>
    </xf>
    <xf numFmtId="176" fontId="9" fillId="0" borderId="127" xfId="51" applyNumberFormat="1" applyFont="1" applyBorder="1" applyAlignment="1">
      <alignment horizontal="center" vertical="center" wrapText="1"/>
    </xf>
    <xf numFmtId="0" fontId="12" fillId="0" borderId="80" xfId="51" applyFont="1" applyBorder="1" applyAlignment="1">
      <alignment horizontal="center" vertical="center"/>
    </xf>
    <xf numFmtId="176" fontId="12" fillId="0" borderId="148" xfId="51" applyNumberFormat="1" applyFont="1" applyBorder="1" applyAlignment="1">
      <alignment horizontal="right" vertical="center" wrapText="1"/>
    </xf>
    <xf numFmtId="0" fontId="12" fillId="0" borderId="148" xfId="51" applyFont="1" applyBorder="1" applyAlignment="1">
      <alignment horizontal="center" vertical="center"/>
    </xf>
    <xf numFmtId="176" fontId="12" fillId="0" borderId="107" xfId="51" applyNumberFormat="1" applyFont="1" applyBorder="1" applyAlignment="1">
      <alignment horizontal="center" vertical="center" wrapText="1"/>
    </xf>
    <xf numFmtId="14" fontId="0" fillId="24" borderId="0" xfId="0" applyNumberFormat="1" applyFill="1"/>
    <xf numFmtId="170" fontId="46" fillId="24" borderId="0" xfId="49" applyNumberFormat="1" applyFont="1" applyFill="1" applyBorder="1"/>
    <xf numFmtId="0" fontId="46" fillId="24" borderId="0" xfId="0" applyFont="1" applyFill="1"/>
    <xf numFmtId="10" fontId="12" fillId="0" borderId="10" xfId="38" applyNumberFormat="1" applyFont="1" applyFill="1" applyBorder="1" applyAlignment="1">
      <alignment vertical="center" wrapText="1"/>
    </xf>
    <xf numFmtId="10" fontId="12" fillId="0" borderId="63" xfId="38" applyNumberFormat="1" applyFont="1" applyFill="1" applyBorder="1" applyAlignment="1">
      <alignment vertical="center" wrapText="1"/>
    </xf>
    <xf numFmtId="38" fontId="48" fillId="0" borderId="10" xfId="51" applyNumberFormat="1" applyFont="1" applyBorder="1" applyAlignment="1">
      <alignment vertical="center" wrapText="1"/>
    </xf>
    <xf numFmtId="38" fontId="48" fillId="0" borderId="63" xfId="51" applyNumberFormat="1" applyFont="1" applyBorder="1" applyAlignment="1">
      <alignment vertical="center" wrapText="1"/>
    </xf>
    <xf numFmtId="170" fontId="48" fillId="0" borderId="10" xfId="49" applyNumberFormat="1" applyFont="1" applyFill="1" applyBorder="1" applyAlignment="1">
      <alignment vertical="center" wrapText="1"/>
    </xf>
    <xf numFmtId="170" fontId="48" fillId="31" borderId="63" xfId="49" applyNumberFormat="1" applyFont="1" applyFill="1" applyBorder="1" applyAlignment="1">
      <alignment vertical="center" wrapText="1"/>
    </xf>
    <xf numFmtId="170" fontId="48" fillId="0" borderId="97" xfId="49" applyNumberFormat="1" applyFont="1" applyFill="1" applyBorder="1" applyAlignment="1">
      <alignment vertical="center" wrapText="1"/>
    </xf>
    <xf numFmtId="170" fontId="48" fillId="0" borderId="63" xfId="49" applyNumberFormat="1" applyFont="1" applyFill="1" applyBorder="1" applyAlignment="1">
      <alignment vertical="center" wrapText="1"/>
    </xf>
    <xf numFmtId="0" fontId="12" fillId="0" borderId="0" xfId="51" applyFont="1" applyBorder="1" applyAlignment="1">
      <alignment horizontal="center" vertical="center"/>
    </xf>
    <xf numFmtId="170" fontId="48" fillId="0" borderId="69" xfId="49" applyNumberFormat="1" applyFont="1" applyBorder="1" applyAlignment="1">
      <alignment horizontal="center" vertical="center" wrapText="1"/>
    </xf>
    <xf numFmtId="170" fontId="48" fillId="0" borderId="71" xfId="49" applyNumberFormat="1" applyFont="1" applyBorder="1" applyAlignment="1">
      <alignment horizontal="center" vertical="center" wrapText="1"/>
    </xf>
    <xf numFmtId="0" fontId="12" fillId="0" borderId="123" xfId="51" applyFont="1" applyBorder="1" applyAlignment="1">
      <alignment horizontal="center" vertical="center" wrapText="1"/>
    </xf>
    <xf numFmtId="0" fontId="12" fillId="0" borderId="124" xfId="51" applyFont="1" applyBorder="1" applyAlignment="1">
      <alignment horizontal="center" vertical="center" wrapText="1"/>
    </xf>
    <xf numFmtId="0" fontId="12" fillId="0" borderId="125" xfId="51" applyFont="1" applyBorder="1" applyAlignment="1">
      <alignment horizontal="center" vertical="center" wrapText="1"/>
    </xf>
    <xf numFmtId="0" fontId="12" fillId="0" borderId="122" xfId="51" applyFont="1" applyBorder="1" applyAlignment="1">
      <alignment horizontal="center" vertical="center" wrapText="1"/>
    </xf>
    <xf numFmtId="0" fontId="12" fillId="0" borderId="120" xfId="51" applyFont="1" applyBorder="1" applyAlignment="1">
      <alignment horizontal="center" vertical="center" wrapText="1"/>
    </xf>
    <xf numFmtId="0" fontId="12" fillId="0" borderId="51" xfId="51" applyFont="1" applyBorder="1" applyAlignment="1">
      <alignment horizontal="center"/>
    </xf>
    <xf numFmtId="0" fontId="12" fillId="0" borderId="67" xfId="51" applyFont="1" applyBorder="1" applyAlignment="1">
      <alignment horizontal="center"/>
    </xf>
    <xf numFmtId="170" fontId="48" fillId="0" borderId="70" xfId="49" applyNumberFormat="1" applyFont="1" applyBorder="1" applyAlignment="1">
      <alignment horizontal="center" vertical="center" wrapText="1"/>
    </xf>
    <xf numFmtId="0" fontId="36" fillId="0" borderId="51" xfId="51" applyFont="1" applyBorder="1" applyAlignment="1">
      <alignment horizontal="center" vertical="center"/>
    </xf>
    <xf numFmtId="0" fontId="36" fillId="0" borderId="67" xfId="51" applyFont="1" applyBorder="1" applyAlignment="1">
      <alignment horizontal="center" vertical="center"/>
    </xf>
    <xf numFmtId="0" fontId="36" fillId="0" borderId="98" xfId="51" applyFont="1" applyBorder="1" applyAlignment="1">
      <alignment horizontal="center" vertical="center"/>
    </xf>
    <xf numFmtId="0" fontId="36" fillId="0" borderId="121" xfId="51" applyFont="1" applyBorder="1" applyAlignment="1">
      <alignment horizontal="center" vertical="center"/>
    </xf>
    <xf numFmtId="170" fontId="12" fillId="24" borderId="0" xfId="49" applyNumberFormat="1" applyFont="1" applyFill="1" applyBorder="1" applyAlignment="1">
      <alignment horizontal="center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0" fontId="12" fillId="24" borderId="76" xfId="0" applyFont="1" applyFill="1" applyBorder="1" applyAlignment="1">
      <alignment horizontal="left" vertical="center" wrapText="1"/>
    </xf>
    <xf numFmtId="0" fontId="12" fillId="24" borderId="79" xfId="0" applyFont="1" applyFill="1" applyBorder="1" applyAlignment="1">
      <alignment horizontal="left" vertical="center" wrapText="1"/>
    </xf>
    <xf numFmtId="170" fontId="12" fillId="24" borderId="119" xfId="140" applyNumberFormat="1" applyFont="1" applyFill="1" applyBorder="1" applyAlignment="1">
      <alignment horizontal="center" vertical="center"/>
    </xf>
    <xf numFmtId="170" fontId="12" fillId="24" borderId="101" xfId="140" applyNumberFormat="1" applyFont="1" applyFill="1" applyBorder="1" applyAlignment="1">
      <alignment horizontal="center" vertical="center"/>
    </xf>
    <xf numFmtId="43" fontId="12" fillId="24" borderId="119" xfId="140" applyNumberFormat="1" applyFont="1" applyFill="1" applyBorder="1" applyAlignment="1">
      <alignment horizontal="center" vertical="center"/>
    </xf>
    <xf numFmtId="37" fontId="35" fillId="24" borderId="84" xfId="138" applyFont="1" applyFill="1" applyBorder="1" applyAlignment="1" applyProtection="1">
      <alignment horizontal="center"/>
      <protection hidden="1"/>
    </xf>
    <xf numFmtId="170" fontId="45" fillId="24" borderId="0" xfId="49" applyNumberFormat="1" applyFont="1" applyFill="1" applyAlignment="1">
      <alignment horizontal="center" wrapText="1"/>
    </xf>
    <xf numFmtId="37" fontId="41" fillId="24" borderId="0" xfId="138" applyFont="1" applyFill="1" applyAlignment="1" applyProtection="1">
      <alignment horizontal="center"/>
      <protection hidden="1"/>
    </xf>
    <xf numFmtId="172" fontId="9" fillId="0" borderId="10" xfId="52" applyNumberFormat="1" applyFont="1" applyBorder="1" applyAlignment="1" applyProtection="1">
      <alignment horizontal="center"/>
      <protection hidden="1"/>
    </xf>
    <xf numFmtId="172" fontId="0" fillId="0" borderId="10" xfId="52" applyNumberFormat="1" applyFont="1" applyBorder="1" applyAlignment="1" applyProtection="1">
      <alignment horizontal="center"/>
      <protection hidden="1"/>
    </xf>
    <xf numFmtId="172" fontId="9" fillId="0" borderId="31" xfId="52" applyNumberFormat="1" applyFont="1" applyBorder="1" applyAlignment="1" applyProtection="1">
      <alignment horizontal="center"/>
      <protection hidden="1"/>
    </xf>
    <xf numFmtId="172" fontId="9" fillId="0" borderId="141" xfId="52" applyNumberFormat="1" applyFont="1" applyBorder="1" applyAlignment="1" applyProtection="1">
      <alignment horizontal="center"/>
      <protection hidden="1"/>
    </xf>
    <xf numFmtId="170" fontId="12" fillId="0" borderId="0" xfId="49" applyNumberFormat="1" applyFont="1" applyAlignment="1">
      <alignment horizontal="center" vertical="center"/>
    </xf>
    <xf numFmtId="170" fontId="12" fillId="0" borderId="0" xfId="49" applyNumberFormat="1" applyFont="1" applyAlignment="1">
      <alignment horizontal="center" vertical="center" wrapText="1"/>
    </xf>
    <xf numFmtId="170" fontId="12" fillId="0" borderId="10" xfId="49" applyNumberFormat="1" applyFont="1" applyBorder="1" applyAlignment="1">
      <alignment horizontal="center" wrapText="1"/>
    </xf>
    <xf numFmtId="172" fontId="12" fillId="0" borderId="10" xfId="52" applyNumberFormat="1" applyFont="1" applyBorder="1" applyAlignment="1">
      <alignment horizontal="center" vertical="center" wrapText="1"/>
    </xf>
    <xf numFmtId="172" fontId="12" fillId="0" borderId="10" xfId="52" applyNumberFormat="1" applyFont="1" applyBorder="1" applyAlignment="1">
      <alignment horizontal="center" wrapText="1"/>
    </xf>
    <xf numFmtId="170" fontId="12" fillId="0" borderId="69" xfId="140" applyNumberFormat="1" applyFont="1" applyBorder="1" applyAlignment="1">
      <alignment horizontal="center" vertical="center" wrapText="1"/>
    </xf>
    <xf numFmtId="170" fontId="12" fillId="0" borderId="71" xfId="140" applyNumberFormat="1" applyFont="1" applyBorder="1" applyAlignment="1">
      <alignment horizontal="center" vertical="center" wrapText="1"/>
    </xf>
    <xf numFmtId="0" fontId="12" fillId="0" borderId="0" xfId="51" applyFont="1" applyAlignment="1">
      <alignment horizontal="center" vertical="center"/>
    </xf>
    <xf numFmtId="0" fontId="12" fillId="0" borderId="30" xfId="51" applyFont="1" applyBorder="1" applyAlignment="1">
      <alignment horizontal="center" vertical="center" wrapText="1"/>
    </xf>
    <xf numFmtId="0" fontId="12" fillId="0" borderId="66" xfId="51" applyFont="1" applyBorder="1" applyAlignment="1">
      <alignment horizontal="center" vertical="center" wrapText="1"/>
    </xf>
    <xf numFmtId="170" fontId="12" fillId="0" borderId="70" xfId="140" applyNumberFormat="1" applyFont="1" applyBorder="1" applyAlignment="1">
      <alignment horizontal="center" vertical="center" wrapText="1"/>
    </xf>
    <xf numFmtId="0" fontId="36" fillId="30" borderId="23" xfId="132" applyFont="1" applyFill="1" applyBorder="1" applyAlignment="1">
      <alignment horizontal="center" vertical="center"/>
    </xf>
    <xf numFmtId="0" fontId="36" fillId="28" borderId="57" xfId="132" applyFont="1" applyFill="1" applyBorder="1" applyAlignment="1">
      <alignment horizontal="center" vertical="center"/>
    </xf>
    <xf numFmtId="0" fontId="12" fillId="24" borderId="0" xfId="132" applyFont="1" applyFill="1" applyAlignment="1">
      <alignment horizontal="center" vertical="center"/>
    </xf>
    <xf numFmtId="0" fontId="37" fillId="27" borderId="23" xfId="132" applyFont="1" applyFill="1" applyBorder="1" applyAlignment="1">
      <alignment horizontal="center" vertical="center"/>
    </xf>
    <xf numFmtId="0" fontId="37" fillId="27" borderId="0" xfId="132" applyFont="1" applyFill="1" applyBorder="1" applyAlignment="1">
      <alignment horizontal="center" vertical="center"/>
    </xf>
    <xf numFmtId="0" fontId="37" fillId="26" borderId="0" xfId="132" applyFont="1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37" fontId="35" fillId="25" borderId="0" xfId="138" applyFont="1" applyFill="1" applyBorder="1" applyAlignment="1" applyProtection="1">
      <alignment horizontal="center" vertical="center"/>
      <protection hidden="1"/>
    </xf>
  </cellXfs>
  <cellStyles count="142">
    <cellStyle name="=C:\WINNT\SYSTEM32\COMMAND.COM" xfId="55"/>
    <cellStyle name="20% - Énfasis1" xfId="1" builtinId="30" customBuiltin="1"/>
    <cellStyle name="20% - Énfasis1 2" xfId="56"/>
    <cellStyle name="20% - Énfasis2" xfId="2" builtinId="34" customBuiltin="1"/>
    <cellStyle name="20% - Énfasis2 2" xfId="57"/>
    <cellStyle name="20% - Énfasis3" xfId="3" builtinId="38" customBuiltin="1"/>
    <cellStyle name="20% - Énfasis3 2" xfId="58"/>
    <cellStyle name="20% - Énfasis4" xfId="4" builtinId="42" customBuiltin="1"/>
    <cellStyle name="20% - Énfasis4 2" xfId="59"/>
    <cellStyle name="20% - Énfasis5" xfId="5" builtinId="46" customBuiltin="1"/>
    <cellStyle name="20% - Énfasis5 2" xfId="60"/>
    <cellStyle name="20% - Énfasis6" xfId="6" builtinId="50" customBuiltin="1"/>
    <cellStyle name="20% - Énfasis6 2" xfId="61"/>
    <cellStyle name="40% - Énfasis1" xfId="7" builtinId="31" customBuiltin="1"/>
    <cellStyle name="40% - Énfasis1 2" xfId="62"/>
    <cellStyle name="40% - Énfasis2" xfId="8" builtinId="35" customBuiltin="1"/>
    <cellStyle name="40% - Énfasis2 2" xfId="63"/>
    <cellStyle name="40% - Énfasis3" xfId="9" builtinId="39" customBuiltin="1"/>
    <cellStyle name="40% - Énfasis3 2" xfId="64"/>
    <cellStyle name="40% - Énfasis4" xfId="10" builtinId="43" customBuiltin="1"/>
    <cellStyle name="40% - Énfasis4 2" xfId="65"/>
    <cellStyle name="40% - Énfasis5" xfId="11" builtinId="47" customBuiltin="1"/>
    <cellStyle name="40% - Énfasis5 2" xfId="66"/>
    <cellStyle name="40% - Énfasis6" xfId="12" builtinId="51" customBuiltin="1"/>
    <cellStyle name="40% - Énfasis6 2" xfId="67"/>
    <cellStyle name="60% - Énfasis1" xfId="13" builtinId="32" customBuiltin="1"/>
    <cellStyle name="60% - Énfasis1 2" xfId="68"/>
    <cellStyle name="60% - Énfasis2" xfId="14" builtinId="36" customBuiltin="1"/>
    <cellStyle name="60% - Énfasis2 2" xfId="69"/>
    <cellStyle name="60% - Énfasis3" xfId="15" builtinId="40" customBuiltin="1"/>
    <cellStyle name="60% - Énfasis3 2" xfId="70"/>
    <cellStyle name="60% - Énfasis4" xfId="16" builtinId="44" customBuiltin="1"/>
    <cellStyle name="60% - Énfasis4 2" xfId="71"/>
    <cellStyle name="60% - Énfasis5" xfId="17" builtinId="48" customBuiltin="1"/>
    <cellStyle name="60% - Énfasis5 2" xfId="72"/>
    <cellStyle name="60% - Énfasis6" xfId="18" builtinId="52" customBuiltin="1"/>
    <cellStyle name="60% - Énfasis6 2" xfId="73"/>
    <cellStyle name="Buena 2" xfId="74"/>
    <cellStyle name="Bueno" xfId="19" builtinId="26" customBuiltin="1"/>
    <cellStyle name="Cálculo" xfId="20" builtinId="22" customBuiltin="1"/>
    <cellStyle name="Cálculo 2" xfId="75"/>
    <cellStyle name="Cálculo 2 2" xfId="120"/>
    <cellStyle name="Cálculo 3" xfId="104"/>
    <cellStyle name="Celda de comprobación" xfId="21" builtinId="23" customBuiltin="1"/>
    <cellStyle name="Celda de comprobación 2" xfId="76"/>
    <cellStyle name="Celda de comprobación 2 2" xfId="121"/>
    <cellStyle name="Celda de comprobación 3" xfId="105"/>
    <cellStyle name="Celda vinculada" xfId="22" builtinId="24" customBuiltin="1"/>
    <cellStyle name="Celda vinculada 2" xfId="77"/>
    <cellStyle name="Encabezado 1" xfId="44" builtinId="16" customBuiltin="1"/>
    <cellStyle name="Encabezado 4" xfId="23" builtinId="19" customBuiltin="1"/>
    <cellStyle name="Encabezado 4 2" xfId="78"/>
    <cellStyle name="Énfasis1" xfId="24" builtinId="29" customBuiltin="1"/>
    <cellStyle name="Énfasis1 2" xfId="79"/>
    <cellStyle name="Énfasis2" xfId="25" builtinId="33" customBuiltin="1"/>
    <cellStyle name="Énfasis2 2" xfId="80"/>
    <cellStyle name="Énfasis3" xfId="26" builtinId="37" customBuiltin="1"/>
    <cellStyle name="Énfasis3 2" xfId="81"/>
    <cellStyle name="Énfasis4" xfId="27" builtinId="41" customBuiltin="1"/>
    <cellStyle name="Énfasis4 2" xfId="82"/>
    <cellStyle name="Énfasis5" xfId="28" builtinId="45" customBuiltin="1"/>
    <cellStyle name="Énfasis5 2" xfId="83"/>
    <cellStyle name="Énfasis6" xfId="29" builtinId="49" customBuiltin="1"/>
    <cellStyle name="Énfasis6 2" xfId="84"/>
    <cellStyle name="Entrada" xfId="30" builtinId="20" customBuiltin="1"/>
    <cellStyle name="Entrada 2" xfId="85"/>
    <cellStyle name="Entrada 2 2" xfId="122"/>
    <cellStyle name="Entrada 3" xfId="107"/>
    <cellStyle name="Euro" xfId="31"/>
    <cellStyle name="Euro 2" xfId="86"/>
    <cellStyle name="Incorrecto" xfId="32" builtinId="27" customBuiltin="1"/>
    <cellStyle name="Incorrecto 2" xfId="87"/>
    <cellStyle name="Millares" xfId="140" builtinId="3"/>
    <cellStyle name="Millares [0] 2" xfId="88"/>
    <cellStyle name="Millares [0] 2 2" xfId="123"/>
    <cellStyle name="Millares 12" xfId="103"/>
    <cellStyle name="Millares 12 2" xfId="130"/>
    <cellStyle name="Millares 2" xfId="49"/>
    <cellStyle name="Millares 2 2" xfId="52"/>
    <cellStyle name="Millares 2 2 2" xfId="100"/>
    <cellStyle name="Millares 2 2 2 2" xfId="128"/>
    <cellStyle name="Millares 2 3" xfId="116"/>
    <cellStyle name="Millares 2 4" xfId="106"/>
    <cellStyle name="Millares 3" xfId="50"/>
    <cellStyle name="Millares 3 2" xfId="117"/>
    <cellStyle name="Millares 4" xfId="108"/>
    <cellStyle name="Millares 5" xfId="119"/>
    <cellStyle name="Millares 5 2" xfId="137"/>
    <cellStyle name="Millares 6" xfId="131"/>
    <cellStyle name="Neutral" xfId="33" builtinId="28" customBuiltin="1"/>
    <cellStyle name="Neutral 2" xfId="89"/>
    <cellStyle name="Normal" xfId="0" builtinId="0"/>
    <cellStyle name="Normal 2" xfId="34"/>
    <cellStyle name="Normal 2 2" xfId="101"/>
    <cellStyle name="Normal 2 3" xfId="109"/>
    <cellStyle name="Normal 2 4" xfId="132"/>
    <cellStyle name="Normal 2 4 2" xfId="141"/>
    <cellStyle name="Normal 3" xfId="35"/>
    <cellStyle name="Normal 3 2" xfId="110"/>
    <cellStyle name="Normal 4" xfId="51"/>
    <cellStyle name="Normal 5" xfId="99"/>
    <cellStyle name="Normal 5 2" xfId="127"/>
    <cellStyle name="Normal 6" xfId="102"/>
    <cellStyle name="Normal 6 2" xfId="129"/>
    <cellStyle name="Normal 7" xfId="134"/>
    <cellStyle name="Normal 8" xfId="136"/>
    <cellStyle name="Normal 9" xfId="139"/>
    <cellStyle name="Normal_FGPAGO95" xfId="138"/>
    <cellStyle name="Notas" xfId="36" builtinId="10" customBuiltin="1"/>
    <cellStyle name="Notas 2" xfId="90"/>
    <cellStyle name="Notas 2 2" xfId="124"/>
    <cellStyle name="Notas 3" xfId="111"/>
    <cellStyle name="PESOS" xfId="37"/>
    <cellStyle name="PESOS 2" xfId="112"/>
    <cellStyle name="Porcentaje" xfId="38" builtinId="5"/>
    <cellStyle name="Porcentaje 2" xfId="118"/>
    <cellStyle name="Porcentaje 3" xfId="133"/>
    <cellStyle name="Porcentaje 4" xfId="135"/>
    <cellStyle name="Porcentual 2" xfId="39"/>
    <cellStyle name="Porcentual 2 2" xfId="113"/>
    <cellStyle name="Porcentual 3" xfId="53"/>
    <cellStyle name="Porcentual 4" xfId="54"/>
    <cellStyle name="Salida" xfId="40" builtinId="21" customBuiltin="1"/>
    <cellStyle name="Salida 2" xfId="91"/>
    <cellStyle name="Salida 2 2" xfId="125"/>
    <cellStyle name="Salida 3" xfId="114"/>
    <cellStyle name="Texto de advertencia" xfId="41" builtinId="11" customBuiltin="1"/>
    <cellStyle name="Texto de advertencia 2" xfId="92"/>
    <cellStyle name="Texto explicativo" xfId="42" builtinId="53" customBuiltin="1"/>
    <cellStyle name="Texto explicativo 2" xfId="93"/>
    <cellStyle name="Título" xfId="43" builtinId="15" customBuiltin="1"/>
    <cellStyle name="Título 1 2" xfId="94"/>
    <cellStyle name="Título 2" xfId="45" builtinId="17" customBuiltin="1"/>
    <cellStyle name="Título 2 2" xfId="95"/>
    <cellStyle name="Título 3" xfId="46" builtinId="18" customBuiltin="1"/>
    <cellStyle name="Título 3 2" xfId="96"/>
    <cellStyle name="Título 4" xfId="97"/>
    <cellStyle name="Total" xfId="47" builtinId="25" customBuiltin="1"/>
    <cellStyle name="Total 2" xfId="98"/>
    <cellStyle name="Total 2 2" xfId="126"/>
    <cellStyle name="Total 3" xfId="115"/>
    <cellStyle name="UDI´s" xfId="48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</dxfs>
  <tableStyles count="1" defaultTableStyle="TableStyleMedium9" defaultPivotStyle="PivotStyleLight16">
    <tableStyle name="Estilo de tabla 1" pivot="0" count="0"/>
  </tableStyles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PREDIAL2018INFORMACIONCOMPLETARORDEN%20NL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2" name="Enero_01" displayName="Enero_01" ref="B79:F283" totalsRowShown="0" headerRowDxfId="6" dataDxfId="5" headerRowCellStyle="Millares 2" dataCellStyle="Millares 2">
  <autoFilter ref="B79:F283"/>
  <tableColumns count="5">
    <tableColumn id="1" name="MUNICIPIO" dataDxfId="4" dataCellStyle="Millares 2"/>
    <tableColumn id="2" name="MES" dataDxfId="3"/>
    <tableColumn id="3" name="FONDO" dataDxfId="2" dataCellStyle="Millares 2"/>
    <tableColumn id="5" name="MES_" dataDxfId="1" dataCellStyle="Millares 2">
      <calculatedColumnFormula>"01 ENERO"</calculatedColumnFormula>
    </tableColumn>
    <tableColumn id="4" name="VALOR" dataDxfId="0" dataCellStyle="Millares 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47"/>
  <sheetViews>
    <sheetView showGridLines="0" topLeftCell="A16" zoomScale="85" zoomScaleNormal="85" zoomScaleSheetLayoutView="100" workbookViewId="0">
      <selection activeCell="I28" sqref="I28"/>
    </sheetView>
  </sheetViews>
  <sheetFormatPr baseColWidth="10" defaultColWidth="11.44140625" defaultRowHeight="13.2"/>
  <cols>
    <col min="1" max="1" width="50.5546875" style="66" customWidth="1"/>
    <col min="2" max="2" width="15.6640625" style="66" customWidth="1"/>
    <col min="3" max="3" width="13.6640625" style="66" bestFit="1" customWidth="1"/>
    <col min="4" max="4" width="25.6640625" style="66" bestFit="1" customWidth="1"/>
    <col min="5" max="5" width="18.44140625" style="66" customWidth="1"/>
    <col min="6" max="6" width="16.44140625" style="66" bestFit="1" customWidth="1"/>
    <col min="7" max="7" width="13.77734375" style="66" bestFit="1" customWidth="1"/>
    <col min="8" max="8" width="13" style="66" bestFit="1" customWidth="1"/>
    <col min="9" max="9" width="12.6640625" style="66" bestFit="1" customWidth="1"/>
    <col min="10" max="16384" width="11.44140625" style="66"/>
  </cols>
  <sheetData>
    <row r="1" spans="1:10" ht="27.75" customHeight="1" thickBot="1">
      <c r="B1" s="347" t="s">
        <v>228</v>
      </c>
      <c r="C1" s="347"/>
      <c r="D1" s="347"/>
      <c r="E1" s="347"/>
      <c r="F1" s="326"/>
      <c r="G1" s="326"/>
    </row>
    <row r="2" spans="1:10" ht="26.4">
      <c r="A2" s="327" t="s">
        <v>104</v>
      </c>
      <c r="B2" s="328" t="s">
        <v>223</v>
      </c>
      <c r="C2" s="328" t="s">
        <v>224</v>
      </c>
      <c r="D2" s="328" t="s">
        <v>225</v>
      </c>
      <c r="E2" s="328" t="s">
        <v>237</v>
      </c>
      <c r="F2" s="328" t="s">
        <v>87</v>
      </c>
      <c r="G2" s="328" t="s">
        <v>88</v>
      </c>
      <c r="H2" s="329" t="s">
        <v>107</v>
      </c>
    </row>
    <row r="3" spans="1:10" ht="25.5" customHeight="1">
      <c r="A3" s="330" t="s">
        <v>55</v>
      </c>
      <c r="B3" s="322">
        <v>2592316549.1968246</v>
      </c>
      <c r="C3" s="322">
        <v>-106009718</v>
      </c>
      <c r="D3" s="322">
        <v>0</v>
      </c>
      <c r="E3" s="322">
        <v>-11684495.48</v>
      </c>
      <c r="F3" s="95">
        <v>0.2</v>
      </c>
      <c r="G3" s="322">
        <f>(B3+C3+D3+E3)*F3</f>
        <v>494924467.14336491</v>
      </c>
      <c r="H3" s="331">
        <f>(B3+C3+D3+E3)-G3</f>
        <v>1979697868.5734596</v>
      </c>
      <c r="J3" s="323"/>
    </row>
    <row r="4" spans="1:10" ht="25.5" customHeight="1">
      <c r="A4" s="330" t="s">
        <v>60</v>
      </c>
      <c r="B4" s="322">
        <v>68960681</v>
      </c>
      <c r="C4" s="322">
        <v>-11071675</v>
      </c>
      <c r="D4" s="322">
        <v>0</v>
      </c>
      <c r="E4" s="322">
        <v>0</v>
      </c>
      <c r="F4" s="95">
        <v>1</v>
      </c>
      <c r="G4" s="322">
        <f t="shared" ref="G4:G12" si="0">(B4+C4+D4+E4)*F4</f>
        <v>57889006</v>
      </c>
      <c r="H4" s="331">
        <f t="shared" ref="H4:H12" si="1">(B4+C4+D4+E4)-G4</f>
        <v>0</v>
      </c>
      <c r="J4" s="323"/>
    </row>
    <row r="5" spans="1:10" ht="25.5" customHeight="1">
      <c r="A5" s="330" t="s">
        <v>61</v>
      </c>
      <c r="B5" s="322">
        <v>18258722</v>
      </c>
      <c r="C5" s="322">
        <v>-6760043.7163084745</v>
      </c>
      <c r="D5" s="322">
        <v>0</v>
      </c>
      <c r="E5" s="322">
        <v>0</v>
      </c>
      <c r="F5" s="95">
        <v>1</v>
      </c>
      <c r="G5" s="322">
        <f t="shared" si="0"/>
        <v>11498678.283691525</v>
      </c>
      <c r="H5" s="331">
        <f t="shared" si="1"/>
        <v>0</v>
      </c>
      <c r="I5" s="67"/>
      <c r="J5" s="323"/>
    </row>
    <row r="6" spans="1:10" ht="25.5" customHeight="1">
      <c r="A6" s="330" t="s">
        <v>56</v>
      </c>
      <c r="B6" s="322">
        <v>87259968.418548197</v>
      </c>
      <c r="C6" s="322">
        <v>-26289855</v>
      </c>
      <c r="D6" s="322">
        <v>0</v>
      </c>
      <c r="E6" s="322">
        <v>0</v>
      </c>
      <c r="F6" s="95">
        <v>0.2</v>
      </c>
      <c r="G6" s="322">
        <f t="shared" si="0"/>
        <v>12194022.68370964</v>
      </c>
      <c r="H6" s="331">
        <f t="shared" si="1"/>
        <v>48776090.73483856</v>
      </c>
      <c r="J6" s="323"/>
    </row>
    <row r="7" spans="1:10" ht="25.5" customHeight="1">
      <c r="A7" s="330" t="s">
        <v>57</v>
      </c>
      <c r="B7" s="322">
        <v>75298111</v>
      </c>
      <c r="C7" s="322">
        <v>0</v>
      </c>
      <c r="D7" s="322">
        <v>0</v>
      </c>
      <c r="E7" s="322">
        <v>0</v>
      </c>
      <c r="F7" s="95">
        <v>0.2</v>
      </c>
      <c r="G7" s="322">
        <f t="shared" si="0"/>
        <v>15059622.200000001</v>
      </c>
      <c r="H7" s="331">
        <f t="shared" si="1"/>
        <v>60238488.799999997</v>
      </c>
      <c r="J7" s="323"/>
    </row>
    <row r="8" spans="1:10" ht="25.5" customHeight="1">
      <c r="A8" s="330" t="s">
        <v>226</v>
      </c>
      <c r="B8" s="322">
        <v>0</v>
      </c>
      <c r="C8" s="322">
        <v>0</v>
      </c>
      <c r="D8" s="322">
        <v>0</v>
      </c>
      <c r="E8" s="322">
        <v>0</v>
      </c>
      <c r="F8" s="95">
        <v>0.2</v>
      </c>
      <c r="G8" s="322">
        <f t="shared" si="0"/>
        <v>0</v>
      </c>
      <c r="H8" s="331">
        <f t="shared" si="1"/>
        <v>0</v>
      </c>
      <c r="J8" s="323"/>
    </row>
    <row r="9" spans="1:10" ht="25.5" customHeight="1">
      <c r="A9" s="330" t="s">
        <v>58</v>
      </c>
      <c r="B9" s="322">
        <v>115038530</v>
      </c>
      <c r="C9" s="322">
        <v>0</v>
      </c>
      <c r="D9" s="322">
        <v>0</v>
      </c>
      <c r="E9" s="322">
        <v>0</v>
      </c>
      <c r="F9" s="95">
        <v>0.2</v>
      </c>
      <c r="G9" s="322">
        <f t="shared" si="0"/>
        <v>23007706</v>
      </c>
      <c r="H9" s="331">
        <f t="shared" si="1"/>
        <v>92030824</v>
      </c>
      <c r="J9" s="323"/>
    </row>
    <row r="10" spans="1:10" ht="25.5" customHeight="1">
      <c r="A10" s="330" t="s">
        <v>105</v>
      </c>
      <c r="B10" s="322">
        <v>17306482</v>
      </c>
      <c r="C10" s="322">
        <v>0</v>
      </c>
      <c r="D10" s="322">
        <v>0</v>
      </c>
      <c r="E10" s="322">
        <v>0</v>
      </c>
      <c r="F10" s="95">
        <v>0.2</v>
      </c>
      <c r="G10" s="322">
        <f t="shared" si="0"/>
        <v>3461296.4000000004</v>
      </c>
      <c r="H10" s="331">
        <f t="shared" si="1"/>
        <v>13845185.6</v>
      </c>
      <c r="J10" s="323"/>
    </row>
    <row r="11" spans="1:10" ht="25.5" customHeight="1">
      <c r="A11" s="330" t="s">
        <v>59</v>
      </c>
      <c r="B11" s="322">
        <v>70986014</v>
      </c>
      <c r="C11" s="322">
        <v>0</v>
      </c>
      <c r="D11" s="322">
        <v>0</v>
      </c>
      <c r="E11" s="322">
        <v>0</v>
      </c>
      <c r="F11" s="95">
        <v>0.2</v>
      </c>
      <c r="G11" s="322">
        <f t="shared" si="0"/>
        <v>14197202.800000001</v>
      </c>
      <c r="H11" s="331">
        <f t="shared" si="1"/>
        <v>56788811.200000003</v>
      </c>
      <c r="J11" s="323"/>
    </row>
    <row r="12" spans="1:10" ht="25.5" customHeight="1">
      <c r="A12" s="330" t="s">
        <v>227</v>
      </c>
      <c r="B12" s="322">
        <v>57071879</v>
      </c>
      <c r="C12" s="322"/>
      <c r="D12" s="322"/>
      <c r="E12" s="322"/>
      <c r="F12" s="95">
        <v>0.2</v>
      </c>
      <c r="G12" s="322">
        <f t="shared" si="0"/>
        <v>11414375.800000001</v>
      </c>
      <c r="H12" s="331">
        <f t="shared" si="1"/>
        <v>45657503.200000003</v>
      </c>
    </row>
    <row r="13" spans="1:10" ht="13.8" thickBot="1">
      <c r="A13" s="332" t="s">
        <v>53</v>
      </c>
      <c r="B13" s="333">
        <f>SUM(B3:B12)</f>
        <v>3102496936.6153727</v>
      </c>
      <c r="C13" s="333"/>
      <c r="D13" s="333">
        <f t="shared" ref="D13:E13" si="2">SUM(D3:D12)</f>
        <v>0</v>
      </c>
      <c r="E13" s="333">
        <f t="shared" si="2"/>
        <v>-11684495.48</v>
      </c>
      <c r="F13" s="334"/>
      <c r="G13" s="333">
        <f>SUM(G3:G12)</f>
        <v>643646377.31076598</v>
      </c>
      <c r="H13" s="335">
        <f>SUM(H3:H12)</f>
        <v>2297034772.1082978</v>
      </c>
    </row>
    <row r="14" spans="1:10">
      <c r="A14" s="98"/>
      <c r="B14" s="98"/>
      <c r="C14" s="99"/>
      <c r="D14" s="100"/>
    </row>
    <row r="15" spans="1:10">
      <c r="A15" s="101" t="s">
        <v>106</v>
      </c>
      <c r="B15" s="101"/>
      <c r="E15" s="323"/>
    </row>
    <row r="16" spans="1:10" ht="13.8" thickBot="1">
      <c r="B16" s="102"/>
    </row>
    <row r="17" spans="1:4" ht="72" customHeight="1" thickTop="1">
      <c r="A17" s="107" t="s">
        <v>114</v>
      </c>
      <c r="B17" s="108" t="s">
        <v>232</v>
      </c>
      <c r="C17" s="108" t="s">
        <v>109</v>
      </c>
      <c r="D17" s="109" t="s">
        <v>231</v>
      </c>
    </row>
    <row r="18" spans="1:4" ht="17.25" customHeight="1">
      <c r="A18" s="110" t="s">
        <v>112</v>
      </c>
      <c r="B18" s="341">
        <f>H13</f>
        <v>2297034772.1082978</v>
      </c>
      <c r="C18" s="341">
        <v>41544257</v>
      </c>
      <c r="D18" s="342">
        <f>'Participación 2022'!D18/12</f>
        <v>53087294.416666664</v>
      </c>
    </row>
    <row r="19" spans="1:4" ht="17.25" customHeight="1">
      <c r="A19" s="110" t="s">
        <v>87</v>
      </c>
      <c r="B19" s="339">
        <v>1.84E-2</v>
      </c>
      <c r="C19" s="339">
        <v>0.35</v>
      </c>
      <c r="D19" s="340">
        <v>1</v>
      </c>
    </row>
    <row r="20" spans="1:4" ht="17.25" customHeight="1">
      <c r="A20" s="110" t="s">
        <v>86</v>
      </c>
      <c r="B20" s="343">
        <f>B18*B19</f>
        <v>42265439.806792676</v>
      </c>
      <c r="C20" s="343">
        <f>C18*C19</f>
        <v>14540489.949999999</v>
      </c>
      <c r="D20" s="344">
        <f>D18*D19</f>
        <v>53087294.416666664</v>
      </c>
    </row>
    <row r="21" spans="1:4" ht="24.75" customHeight="1">
      <c r="A21" s="114"/>
      <c r="B21" s="115"/>
      <c r="C21" s="115"/>
      <c r="D21" s="116"/>
    </row>
    <row r="22" spans="1:4">
      <c r="A22" s="350" t="s">
        <v>111</v>
      </c>
      <c r="B22" s="353" t="s">
        <v>110</v>
      </c>
      <c r="C22" s="353"/>
      <c r="D22" s="354"/>
    </row>
    <row r="23" spans="1:4">
      <c r="A23" s="351"/>
      <c r="B23" s="355" t="str">
        <f>IF((B20+C20)&gt;D20,"1.84% Particpaciones del Estado","Ley de Egresos 2020")</f>
        <v>1.84% Particpaciones del Estado</v>
      </c>
      <c r="C23" s="355"/>
      <c r="D23" s="356"/>
    </row>
    <row r="24" spans="1:4">
      <c r="A24" s="352"/>
      <c r="B24" s="115"/>
      <c r="C24" s="115"/>
      <c r="D24" s="116"/>
    </row>
    <row r="25" spans="1:4" ht="15.6" thickBot="1">
      <c r="A25" s="117" t="s">
        <v>113</v>
      </c>
      <c r="B25" s="348">
        <f>IF(B23="Ley de Egresos 2020",D20,B20+C20)</f>
        <v>56805929.756792679</v>
      </c>
      <c r="C25" s="357"/>
      <c r="D25" s="349"/>
    </row>
    <row r="26" spans="1:4" ht="13.8" thickTop="1"/>
    <row r="27" spans="1:4" ht="13.8" thickBot="1"/>
    <row r="28" spans="1:4" ht="40.200000000000003" thickTop="1">
      <c r="A28" s="107" t="s">
        <v>162</v>
      </c>
      <c r="B28" s="109" t="s">
        <v>232</v>
      </c>
    </row>
    <row r="29" spans="1:4" ht="15">
      <c r="A29" s="110" t="s">
        <v>151</v>
      </c>
      <c r="B29" s="342">
        <f>H13</f>
        <v>2297034772.1082978</v>
      </c>
    </row>
    <row r="30" spans="1:4">
      <c r="A30" s="110" t="s">
        <v>87</v>
      </c>
      <c r="B30" s="340">
        <v>1.5299999999999999E-2</v>
      </c>
    </row>
    <row r="31" spans="1:4" ht="15.6" thickBot="1">
      <c r="A31" s="117" t="s">
        <v>86</v>
      </c>
      <c r="B31" s="345">
        <f>B29*B30</f>
        <v>35144632.013256952</v>
      </c>
    </row>
    <row r="32" spans="1:4" ht="27.75" customHeight="1" thickTop="1" thickBot="1"/>
    <row r="33" spans="1:3" ht="40.200000000000003" thickTop="1">
      <c r="A33" s="107" t="s">
        <v>148</v>
      </c>
      <c r="B33" s="109" t="s">
        <v>232</v>
      </c>
    </row>
    <row r="34" spans="1:3" ht="15">
      <c r="A34" s="110" t="s">
        <v>112</v>
      </c>
      <c r="B34" s="342">
        <f>$H$13</f>
        <v>2297034772.1082978</v>
      </c>
    </row>
    <row r="35" spans="1:3">
      <c r="A35" s="110" t="s">
        <v>87</v>
      </c>
      <c r="B35" s="340">
        <v>5.4000000000000003E-3</v>
      </c>
    </row>
    <row r="36" spans="1:3" ht="15.6" thickBot="1">
      <c r="A36" s="117" t="s">
        <v>86</v>
      </c>
      <c r="B36" s="345">
        <f>B34*B35</f>
        <v>12403987.769384809</v>
      </c>
    </row>
    <row r="37" spans="1:3" ht="14.4" thickTop="1" thickBot="1"/>
    <row r="38" spans="1:3" ht="40.200000000000003" thickTop="1">
      <c r="A38" s="107" t="s">
        <v>150</v>
      </c>
      <c r="B38" s="108" t="s">
        <v>232</v>
      </c>
      <c r="C38" s="109" t="s">
        <v>231</v>
      </c>
    </row>
    <row r="39" spans="1:3" ht="15">
      <c r="A39" s="110" t="s">
        <v>112</v>
      </c>
      <c r="B39" s="341">
        <f>$H$13</f>
        <v>2297034772.1082978</v>
      </c>
      <c r="C39" s="342">
        <f>'Participación 2022'!C39/12</f>
        <v>36930291.75</v>
      </c>
    </row>
    <row r="40" spans="1:3">
      <c r="A40" s="110" t="s">
        <v>87</v>
      </c>
      <c r="B40" s="339">
        <v>1.2800000000000001E-2</v>
      </c>
      <c r="C40" s="340">
        <v>1</v>
      </c>
    </row>
    <row r="41" spans="1:3" ht="15">
      <c r="A41" s="110" t="s">
        <v>86</v>
      </c>
      <c r="B41" s="343">
        <f>B39*B40</f>
        <v>29402045.082986213</v>
      </c>
      <c r="C41" s="346">
        <f>C39*C40</f>
        <v>36930291.75</v>
      </c>
    </row>
    <row r="42" spans="1:3" ht="24" customHeight="1">
      <c r="A42" s="114"/>
      <c r="B42" s="115"/>
      <c r="C42" s="116"/>
    </row>
    <row r="43" spans="1:3">
      <c r="A43" s="350" t="s">
        <v>111</v>
      </c>
      <c r="B43" s="353" t="s">
        <v>152</v>
      </c>
      <c r="C43" s="354"/>
    </row>
    <row r="44" spans="1:3">
      <c r="A44" s="351"/>
      <c r="B44" s="358" t="str">
        <f>IF(B41&gt;C41,"1.28% Particpaciones del Estado","Ley de Egresos 2021")</f>
        <v>Ley de Egresos 2021</v>
      </c>
      <c r="C44" s="359"/>
    </row>
    <row r="45" spans="1:3">
      <c r="A45" s="352"/>
      <c r="B45" s="360"/>
      <c r="C45" s="361"/>
    </row>
    <row r="46" spans="1:3" ht="15.6" thickBot="1">
      <c r="A46" s="117" t="s">
        <v>163</v>
      </c>
      <c r="B46" s="348">
        <f>IF(B44="Ley de Egresos 2021",C41,B41)</f>
        <v>36930291.75</v>
      </c>
      <c r="C46" s="349"/>
    </row>
    <row r="47" spans="1:3" ht="13.8" thickTop="1"/>
  </sheetData>
  <mergeCells count="9">
    <mergeCell ref="B1:E1"/>
    <mergeCell ref="B46:C46"/>
    <mergeCell ref="A22:A24"/>
    <mergeCell ref="B22:D22"/>
    <mergeCell ref="B23:D23"/>
    <mergeCell ref="B25:D25"/>
    <mergeCell ref="A43:A45"/>
    <mergeCell ref="B43:C43"/>
    <mergeCell ref="B44:C45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AA111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W7" sqref="W7"/>
    </sheetView>
  </sheetViews>
  <sheetFormatPr baseColWidth="10" defaultColWidth="11.44140625" defaultRowHeight="13.2"/>
  <cols>
    <col min="1" max="1" width="28.44140625" style="13" bestFit="1" customWidth="1"/>
    <col min="2" max="7" width="16.5546875" style="22" customWidth="1"/>
    <col min="8" max="8" width="28.44140625" style="42" bestFit="1" customWidth="1"/>
    <col min="9" max="13" width="16.5546875" style="22" customWidth="1"/>
    <col min="14" max="14" width="11.44140625" style="13"/>
    <col min="15" max="15" width="28.44140625" style="13" bestFit="1" customWidth="1"/>
    <col min="16" max="21" width="16.5546875" style="22" customWidth="1"/>
    <col min="22" max="22" width="28.44140625" style="13" bestFit="1" customWidth="1"/>
    <col min="23" max="27" width="16.5546875" style="22" customWidth="1"/>
    <col min="28" max="16384" width="11.44140625" style="13"/>
  </cols>
  <sheetData>
    <row r="1" spans="1:27" ht="17.399999999999999">
      <c r="A1" s="394" t="s">
        <v>83</v>
      </c>
      <c r="B1" s="394"/>
      <c r="C1" s="394"/>
      <c r="D1" s="394"/>
      <c r="E1" s="394"/>
      <c r="F1" s="394"/>
      <c r="G1" s="38"/>
      <c r="H1" s="394" t="s">
        <v>102</v>
      </c>
      <c r="I1" s="394"/>
      <c r="J1" s="394"/>
      <c r="K1" s="394"/>
      <c r="L1" s="394"/>
      <c r="M1" s="394"/>
      <c r="O1" s="394" t="s">
        <v>83</v>
      </c>
      <c r="P1" s="394"/>
      <c r="Q1" s="394"/>
      <c r="R1" s="394"/>
      <c r="S1" s="394"/>
      <c r="T1" s="394"/>
      <c r="U1" s="82"/>
      <c r="V1" s="394" t="s">
        <v>83</v>
      </c>
      <c r="W1" s="394"/>
      <c r="X1" s="394"/>
      <c r="Y1" s="394"/>
      <c r="Z1" s="394"/>
      <c r="AA1" s="394"/>
    </row>
    <row r="2" spans="1:27" ht="18.75" customHeight="1" thickBot="1">
      <c r="A2" s="395" t="s">
        <v>98</v>
      </c>
      <c r="B2" s="395"/>
      <c r="C2" s="395"/>
      <c r="D2" s="395"/>
      <c r="E2" s="395"/>
      <c r="F2" s="395"/>
      <c r="G2" s="41"/>
      <c r="H2" s="395" t="s">
        <v>99</v>
      </c>
      <c r="I2" s="395"/>
      <c r="J2" s="395"/>
      <c r="K2" s="395"/>
      <c r="L2" s="395"/>
      <c r="M2" s="395"/>
      <c r="O2" s="395" t="s">
        <v>100</v>
      </c>
      <c r="P2" s="395"/>
      <c r="Q2" s="395"/>
      <c r="R2" s="395"/>
      <c r="S2" s="395"/>
      <c r="T2" s="395"/>
      <c r="U2" s="41"/>
      <c r="V2" s="395" t="s">
        <v>229</v>
      </c>
      <c r="W2" s="395"/>
      <c r="X2" s="395"/>
      <c r="Y2" s="395"/>
      <c r="Z2" s="395"/>
      <c r="AA2" s="395"/>
    </row>
    <row r="3" spans="1:27" ht="67.2" thickTop="1" thickBot="1">
      <c r="A3" s="2" t="s">
        <v>0</v>
      </c>
      <c r="B3" s="3" t="s">
        <v>64</v>
      </c>
      <c r="C3" s="4" t="s">
        <v>65</v>
      </c>
      <c r="D3" s="5" t="s">
        <v>66</v>
      </c>
      <c r="E3" s="7" t="s">
        <v>67</v>
      </c>
      <c r="F3" s="6" t="s">
        <v>54</v>
      </c>
      <c r="G3" s="23"/>
      <c r="H3" s="2" t="s">
        <v>0</v>
      </c>
      <c r="I3" s="3" t="s">
        <v>64</v>
      </c>
      <c r="J3" s="4" t="s">
        <v>65</v>
      </c>
      <c r="K3" s="5" t="s">
        <v>66</v>
      </c>
      <c r="L3" s="7" t="s">
        <v>67</v>
      </c>
      <c r="M3" s="6" t="s">
        <v>54</v>
      </c>
      <c r="O3" s="2" t="s">
        <v>0</v>
      </c>
      <c r="P3" s="3" t="s">
        <v>64</v>
      </c>
      <c r="Q3" s="4" t="s">
        <v>65</v>
      </c>
      <c r="R3" s="5" t="s">
        <v>66</v>
      </c>
      <c r="S3" s="7" t="s">
        <v>67</v>
      </c>
      <c r="T3" s="6" t="s">
        <v>54</v>
      </c>
      <c r="U3" s="23"/>
      <c r="V3" s="2" t="s">
        <v>0</v>
      </c>
      <c r="W3" s="3" t="s">
        <v>64</v>
      </c>
      <c r="X3" s="4" t="s">
        <v>65</v>
      </c>
      <c r="Y3" s="5" t="s">
        <v>66</v>
      </c>
      <c r="Z3" s="7" t="s">
        <v>67</v>
      </c>
      <c r="AA3" s="6" t="s">
        <v>54</v>
      </c>
    </row>
    <row r="4" spans="1:27" ht="13.8" thickTop="1">
      <c r="A4" s="32"/>
      <c r="B4" s="24" t="s">
        <v>68</v>
      </c>
      <c r="C4" s="24" t="s">
        <v>68</v>
      </c>
      <c r="D4" s="24" t="s">
        <v>68</v>
      </c>
      <c r="E4" s="24" t="s">
        <v>68</v>
      </c>
      <c r="F4" s="23"/>
      <c r="G4" s="23"/>
      <c r="H4" s="32"/>
      <c r="I4" s="24" t="s">
        <v>68</v>
      </c>
      <c r="J4" s="24" t="s">
        <v>68</v>
      </c>
      <c r="K4" s="24" t="s">
        <v>68</v>
      </c>
      <c r="L4" s="24" t="s">
        <v>68</v>
      </c>
      <c r="M4" s="23"/>
      <c r="O4" s="32"/>
      <c r="P4" s="24" t="s">
        <v>68</v>
      </c>
      <c r="Q4" s="24" t="s">
        <v>68</v>
      </c>
      <c r="R4" s="24" t="s">
        <v>68</v>
      </c>
      <c r="S4" s="24" t="s">
        <v>68</v>
      </c>
      <c r="T4" s="23"/>
      <c r="U4" s="23"/>
      <c r="V4" s="32"/>
      <c r="W4" s="24" t="s">
        <v>68</v>
      </c>
      <c r="X4" s="24" t="s">
        <v>68</v>
      </c>
      <c r="Y4" s="24" t="s">
        <v>68</v>
      </c>
      <c r="Z4" s="24" t="s">
        <v>68</v>
      </c>
      <c r="AA4" s="23"/>
    </row>
    <row r="5" spans="1:27">
      <c r="A5" s="1"/>
      <c r="B5" s="25">
        <f>$E$5*0.5</f>
        <v>21483415594.5</v>
      </c>
      <c r="C5" s="25">
        <f>$E$5*0.25</f>
        <v>10741707797.25</v>
      </c>
      <c r="D5" s="25">
        <f>$E$5*0.25</f>
        <v>10741707797.25</v>
      </c>
      <c r="E5" s="25">
        <f>'Participación 2022'!B13-'Participación 2022'!B12-'Participación 2022'!B5</f>
        <v>42966831189</v>
      </c>
      <c r="F5" s="26"/>
      <c r="G5" s="88">
        <v>7.8576423041586241E-2</v>
      </c>
      <c r="H5" s="1"/>
      <c r="I5" s="25">
        <f>$L$5*0.5</f>
        <v>21483415594.5</v>
      </c>
      <c r="J5" s="25">
        <f>$L$5*0.25</f>
        <v>10741707797.25</v>
      </c>
      <c r="K5" s="25">
        <f>$L$5*0.25</f>
        <v>10741707797.25</v>
      </c>
      <c r="L5" s="25">
        <f>'Participación 2022'!B13-'Participación 2022'!B12-'Participación 2022'!B5</f>
        <v>42966831189</v>
      </c>
      <c r="M5" s="26"/>
      <c r="O5" s="1"/>
      <c r="P5" s="25">
        <f>$S$5*0.5</f>
        <v>21483415594.5</v>
      </c>
      <c r="Q5" s="25">
        <f>$S$5*0.25</f>
        <v>10741707797.25</v>
      </c>
      <c r="R5" s="25">
        <f>$S$5*0.25</f>
        <v>10741707797.25</v>
      </c>
      <c r="S5" s="25">
        <f>'Participación 2022'!B13-'Participación 2022'!B12-'Participación 2022'!B5</f>
        <v>42966831189</v>
      </c>
      <c r="T5" s="26"/>
      <c r="U5" s="88">
        <v>7.8576423041586241E-2</v>
      </c>
      <c r="V5" s="1"/>
      <c r="W5" s="25"/>
      <c r="X5" s="25"/>
      <c r="Y5" s="25"/>
      <c r="Z5" s="25"/>
      <c r="AA5" s="26"/>
    </row>
    <row r="6" spans="1:27" ht="21" thickBot="1">
      <c r="A6" s="1"/>
      <c r="B6" s="25" t="s">
        <v>69</v>
      </c>
      <c r="C6" s="25" t="s">
        <v>70</v>
      </c>
      <c r="D6" s="25" t="s">
        <v>71</v>
      </c>
      <c r="E6" s="27" t="s">
        <v>72</v>
      </c>
      <c r="F6" s="27" t="s">
        <v>73</v>
      </c>
      <c r="G6" s="27"/>
      <c r="H6" s="1"/>
      <c r="I6" s="25" t="s">
        <v>69</v>
      </c>
      <c r="J6" s="25" t="s">
        <v>70</v>
      </c>
      <c r="K6" s="25" t="s">
        <v>71</v>
      </c>
      <c r="L6" s="27" t="s">
        <v>72</v>
      </c>
      <c r="M6" s="27" t="s">
        <v>73</v>
      </c>
      <c r="O6" s="1"/>
      <c r="P6" s="25" t="s">
        <v>69</v>
      </c>
      <c r="Q6" s="25" t="s">
        <v>70</v>
      </c>
      <c r="R6" s="25" t="s">
        <v>71</v>
      </c>
      <c r="S6" s="27" t="s">
        <v>72</v>
      </c>
      <c r="T6" s="27" t="s">
        <v>73</v>
      </c>
      <c r="U6" s="27"/>
      <c r="V6" s="1"/>
      <c r="W6" s="25" t="s">
        <v>69</v>
      </c>
      <c r="X6" s="25" t="s">
        <v>70</v>
      </c>
      <c r="Y6" s="25" t="s">
        <v>71</v>
      </c>
      <c r="Z6" s="27" t="s">
        <v>72</v>
      </c>
      <c r="AA6" s="27" t="s">
        <v>73</v>
      </c>
    </row>
    <row r="7" spans="1:27" ht="13.8" thickTop="1">
      <c r="A7" s="43" t="s">
        <v>1</v>
      </c>
      <c r="B7" s="53">
        <f>IF('Datos Mun'!B5="AMM",$B$5*'Datos Mun'!Z5,0)</f>
        <v>0</v>
      </c>
      <c r="C7" s="47">
        <f>IF('Datos Mun'!B5="AMM",$C$5*'Datos Mun'!AC5,0)</f>
        <v>0</v>
      </c>
      <c r="D7" s="47">
        <f>IF('Datos Mun'!B5="AMM",$D$5*'Datos Mun'!AD5,0)</f>
        <v>0</v>
      </c>
      <c r="E7" s="48">
        <f>SUM(B7:D7)</f>
        <v>0</v>
      </c>
      <c r="F7" s="55">
        <f>E7/$E$58</f>
        <v>0</v>
      </c>
      <c r="G7" s="39"/>
      <c r="H7" s="43" t="s">
        <v>1</v>
      </c>
      <c r="I7" s="46">
        <f>IF('Datos Mun'!B5="AMM",0,$B$5*'Datos Mun'!Z5)</f>
        <v>731262.66692588595</v>
      </c>
      <c r="J7" s="47">
        <f>IF('Datos Mun'!B5="AMM",0,$J$5*'Datos Mun'!AC5)</f>
        <v>5872180.1057767002</v>
      </c>
      <c r="K7" s="47">
        <f>IF('Datos Mun'!B5="AMM",0,$K$5*'Datos Mun'!AD5)</f>
        <v>24029913.298625153</v>
      </c>
      <c r="L7" s="48">
        <f>SUM(I7:K7)</f>
        <v>30633356.071327738</v>
      </c>
      <c r="M7" s="55">
        <f>L7/$L$58</f>
        <v>4.5655482078276605E-3</v>
      </c>
      <c r="O7" s="43" t="s">
        <v>1</v>
      </c>
      <c r="P7" s="53">
        <f>IF('Datos Mun'!D5="Zona de Crec",'Datos Mun'!Z5*'Art 14 F I'!$P$5,0)</f>
        <v>0</v>
      </c>
      <c r="Q7" s="47">
        <f>IF('Datos Mun'!D5="Zona de Crec",$Q$5*'Datos Mun'!AC5,0)</f>
        <v>0</v>
      </c>
      <c r="R7" s="47">
        <f>IF('Datos Mun'!D5="Zona de Crec",$R$5*'Datos Mun'!AD5,0)</f>
        <v>0</v>
      </c>
      <c r="S7" s="48">
        <f>SUM(P7:R7)</f>
        <v>0</v>
      </c>
      <c r="T7" s="55">
        <f>S7/$S$58</f>
        <v>0</v>
      </c>
      <c r="U7" s="39"/>
      <c r="V7" s="43" t="s">
        <v>1</v>
      </c>
      <c r="W7" s="53">
        <f>B7+I7</f>
        <v>731262.66692588595</v>
      </c>
      <c r="X7" s="47">
        <f t="shared" ref="X7:Y7" si="0">C7+J7</f>
        <v>5872180.1057767002</v>
      </c>
      <c r="Y7" s="47">
        <f t="shared" si="0"/>
        <v>24029913.298625153</v>
      </c>
      <c r="Z7" s="48">
        <f>SUM(W7:Y7)</f>
        <v>30633356.071327738</v>
      </c>
      <c r="AA7" s="55">
        <f>Z7/$Z$58</f>
        <v>7.1295357892648661E-4</v>
      </c>
    </row>
    <row r="8" spans="1:27">
      <c r="A8" s="44" t="s">
        <v>2</v>
      </c>
      <c r="B8" s="49">
        <f>IF('Datos Mun'!B6="AMM",$B$5*'Datos Mun'!Z6,0)</f>
        <v>0</v>
      </c>
      <c r="C8" s="49">
        <f>IF('Datos Mun'!B6="AMM",$C$5*'Datos Mun'!AC6,0)</f>
        <v>0</v>
      </c>
      <c r="D8" s="49">
        <f>IF('Datos Mun'!B6="AMM",$D$5*'Datos Mun'!AD6,0)</f>
        <v>0</v>
      </c>
      <c r="E8" s="50">
        <f t="shared" ref="E8:E57" si="1">SUM(B8:D8)</f>
        <v>0</v>
      </c>
      <c r="F8" s="56">
        <f t="shared" ref="F8:F57" si="2">E8/$E$58</f>
        <v>0</v>
      </c>
      <c r="G8" s="39"/>
      <c r="H8" s="44" t="s">
        <v>2</v>
      </c>
      <c r="I8" s="49">
        <f>IF('Datos Mun'!B6="AMM",0,$B$5*'Datos Mun'!Z6)</f>
        <v>4337276.9117738176</v>
      </c>
      <c r="J8" s="49">
        <f>IF('Datos Mun'!B6="AMM",0,$J$5*'Datos Mun'!AC6)</f>
        <v>29973134.457165454</v>
      </c>
      <c r="K8" s="49">
        <f>IF('Datos Mun'!B6="AMM",0,$K$5*'Datos Mun'!AD6)</f>
        <v>21358272.117243998</v>
      </c>
      <c r="L8" s="50">
        <f t="shared" ref="L8:L57" si="3">SUM(I8:K8)</f>
        <v>55668683.486183271</v>
      </c>
      <c r="M8" s="56">
        <f t="shared" ref="M8:M57" si="4">L8/$L$58</f>
        <v>8.29677484669584E-3</v>
      </c>
      <c r="O8" s="44" t="s">
        <v>2</v>
      </c>
      <c r="P8" s="49">
        <f>IF('Datos Mun'!D6="Zona de Crec",'Datos Mun'!Z6*'Art 14 F I'!$P$5,0)</f>
        <v>0</v>
      </c>
      <c r="Q8" s="49">
        <f>IF('Datos Mun'!D6="Zona de Crec",$Q$5*'Datos Mun'!AC6,0)</f>
        <v>0</v>
      </c>
      <c r="R8" s="49">
        <f>IF('Datos Mun'!D6="Zona de Crec",$R$5*'Datos Mun'!AD6,0)</f>
        <v>0</v>
      </c>
      <c r="S8" s="50">
        <f t="shared" ref="S8:S57" si="5">SUM(P8:R8)</f>
        <v>0</v>
      </c>
      <c r="T8" s="56">
        <f t="shared" ref="T8:T57" si="6">S8/$S$58</f>
        <v>0</v>
      </c>
      <c r="U8" s="39"/>
      <c r="V8" s="44" t="s">
        <v>2</v>
      </c>
      <c r="W8" s="49">
        <f t="shared" ref="W8:W57" si="7">B8+I8</f>
        <v>4337276.9117738176</v>
      </c>
      <c r="X8" s="49">
        <f t="shared" ref="X8:X57" si="8">C8+J8</f>
        <v>29973134.457165454</v>
      </c>
      <c r="Y8" s="49">
        <f t="shared" ref="Y8:Y57" si="9">D8+K8</f>
        <v>21358272.117243998</v>
      </c>
      <c r="Z8" s="50">
        <f t="shared" ref="Z8:Z57" si="10">SUM(W8:Y8)</f>
        <v>55668683.486183271</v>
      </c>
      <c r="AA8" s="56">
        <f t="shared" ref="AA8:AA57" si="11">Z8/$Z$58</f>
        <v>1.2956199455647799E-3</v>
      </c>
    </row>
    <row r="9" spans="1:27">
      <c r="A9" s="44" t="s">
        <v>3</v>
      </c>
      <c r="B9" s="49">
        <f>IF('Datos Mun'!B7="AMM",$B$5*'Datos Mun'!Z7,0)</f>
        <v>0</v>
      </c>
      <c r="C9" s="49">
        <f>IF('Datos Mun'!B7="AMM",$C$5*'Datos Mun'!AC7,0)</f>
        <v>0</v>
      </c>
      <c r="D9" s="49">
        <f>IF('Datos Mun'!B7="AMM",$D$5*'Datos Mun'!AD7,0)</f>
        <v>0</v>
      </c>
      <c r="E9" s="50">
        <f t="shared" si="1"/>
        <v>0</v>
      </c>
      <c r="F9" s="56">
        <f t="shared" si="2"/>
        <v>0</v>
      </c>
      <c r="G9" s="39"/>
      <c r="H9" s="44" t="s">
        <v>3</v>
      </c>
      <c r="I9" s="49">
        <f>IF('Datos Mun'!B7="AMM",0,$B$5*'Datos Mun'!Z7)</f>
        <v>838112.74563308957</v>
      </c>
      <c r="J9" s="49">
        <f>IF('Datos Mun'!B7="AMM",0,$J$5*'Datos Mun'!AC7)</f>
        <v>19662902.0277972</v>
      </c>
      <c r="K9" s="49">
        <f>IF('Datos Mun'!B7="AMM",0,$K$5*'Datos Mun'!AD7)</f>
        <v>48177914.128450692</v>
      </c>
      <c r="L9" s="50">
        <f t="shared" si="3"/>
        <v>68678928.90188098</v>
      </c>
      <c r="M9" s="56">
        <f t="shared" si="4"/>
        <v>1.0235801785263404E-2</v>
      </c>
      <c r="O9" s="44" t="s">
        <v>3</v>
      </c>
      <c r="P9" s="49">
        <f>IF('Datos Mun'!D7="Zona de Crec",'Datos Mun'!Z7*'Art 14 F I'!$P$5,0)</f>
        <v>0</v>
      </c>
      <c r="Q9" s="49">
        <f>IF('Datos Mun'!D7="Zona de Crec",$Q$5*'Datos Mun'!AC7,0)</f>
        <v>0</v>
      </c>
      <c r="R9" s="49">
        <f>IF('Datos Mun'!D7="Zona de Crec",$R$5*'Datos Mun'!AD7,0)</f>
        <v>0</v>
      </c>
      <c r="S9" s="50">
        <f t="shared" si="5"/>
        <v>0</v>
      </c>
      <c r="T9" s="56">
        <f t="shared" si="6"/>
        <v>0</v>
      </c>
      <c r="U9" s="39"/>
      <c r="V9" s="44" t="s">
        <v>3</v>
      </c>
      <c r="W9" s="49">
        <f t="shared" si="7"/>
        <v>838112.74563308957</v>
      </c>
      <c r="X9" s="49">
        <f t="shared" si="8"/>
        <v>19662902.0277972</v>
      </c>
      <c r="Y9" s="49">
        <f t="shared" si="9"/>
        <v>48177914.128450692</v>
      </c>
      <c r="Z9" s="50">
        <f t="shared" si="10"/>
        <v>68678928.90188098</v>
      </c>
      <c r="AA9" s="56">
        <f t="shared" si="11"/>
        <v>1.5984173605863578E-3</v>
      </c>
    </row>
    <row r="10" spans="1:27">
      <c r="A10" s="44" t="s">
        <v>4</v>
      </c>
      <c r="B10" s="49">
        <f>IF('Datos Mun'!B8="AMM",$B$5*'Datos Mun'!Z8,0)</f>
        <v>0</v>
      </c>
      <c r="C10" s="49">
        <f>IF('Datos Mun'!B8="AMM",$C$5*'Datos Mun'!AC8,0)</f>
        <v>0</v>
      </c>
      <c r="D10" s="49">
        <f>IF('Datos Mun'!B8="AMM",$D$5*'Datos Mun'!AD8,0)</f>
        <v>0</v>
      </c>
      <c r="E10" s="50">
        <f t="shared" si="1"/>
        <v>0</v>
      </c>
      <c r="F10" s="56">
        <f t="shared" si="2"/>
        <v>0</v>
      </c>
      <c r="G10" s="39"/>
      <c r="H10" s="44" t="s">
        <v>4</v>
      </c>
      <c r="I10" s="49">
        <f>IF('Datos Mun'!B8="AMM",0,$B$5*'Datos Mun'!Z8)</f>
        <v>137994033.65997109</v>
      </c>
      <c r="J10" s="49">
        <f>IF('Datos Mun'!B8="AMM",0,$J$5*'Datos Mun'!AC8)</f>
        <v>60486229.908606723</v>
      </c>
      <c r="K10" s="49">
        <f>IF('Datos Mun'!B8="AMM",0,$K$5*'Datos Mun'!AD8)</f>
        <v>68172917.018225044</v>
      </c>
      <c r="L10" s="50">
        <f t="shared" si="3"/>
        <v>266653180.58680287</v>
      </c>
      <c r="M10" s="56">
        <f t="shared" si="4"/>
        <v>3.9741579339362829E-2</v>
      </c>
      <c r="O10" s="44" t="s">
        <v>4</v>
      </c>
      <c r="P10" s="49">
        <f>IF('Datos Mun'!D8="Zona de Crec",'Datos Mun'!Z8*'Art 14 F I'!$P$5,0)</f>
        <v>0</v>
      </c>
      <c r="Q10" s="49">
        <f>IF('Datos Mun'!D8="Zona de Crec",$Q$5*'Datos Mun'!AC8,0)</f>
        <v>0</v>
      </c>
      <c r="R10" s="49">
        <f>IF('Datos Mun'!D8="Zona de Crec",$R$5*'Datos Mun'!AD8,0)</f>
        <v>0</v>
      </c>
      <c r="S10" s="50">
        <f t="shared" si="5"/>
        <v>0</v>
      </c>
      <c r="T10" s="56">
        <f t="shared" si="6"/>
        <v>0</v>
      </c>
      <c r="U10" s="39"/>
      <c r="V10" s="44" t="s">
        <v>4</v>
      </c>
      <c r="W10" s="49">
        <f t="shared" si="7"/>
        <v>137994033.65997109</v>
      </c>
      <c r="X10" s="49">
        <f t="shared" si="8"/>
        <v>60486229.908606723</v>
      </c>
      <c r="Y10" s="49">
        <f t="shared" si="9"/>
        <v>68172917.018225044</v>
      </c>
      <c r="Z10" s="50">
        <f t="shared" si="10"/>
        <v>266653180.58680287</v>
      </c>
      <c r="AA10" s="56">
        <f t="shared" si="11"/>
        <v>6.2060238841878832E-3</v>
      </c>
    </row>
    <row r="11" spans="1:27">
      <c r="A11" s="44" t="s">
        <v>5</v>
      </c>
      <c r="B11" s="49">
        <f>IF('Datos Mun'!B9="AMM",$B$5*'Datos Mun'!Z9,0)</f>
        <v>0</v>
      </c>
      <c r="C11" s="49">
        <f>IF('Datos Mun'!B9="AMM",$C$5*'Datos Mun'!AC9,0)</f>
        <v>0</v>
      </c>
      <c r="D11" s="49">
        <f>IF('Datos Mun'!B9="AMM",$D$5*'Datos Mun'!AD9,0)</f>
        <v>0</v>
      </c>
      <c r="E11" s="50">
        <f t="shared" si="1"/>
        <v>0</v>
      </c>
      <c r="F11" s="56">
        <f t="shared" si="2"/>
        <v>0</v>
      </c>
      <c r="G11" s="39"/>
      <c r="H11" s="44" t="s">
        <v>5</v>
      </c>
      <c r="I11" s="49">
        <f>IF('Datos Mun'!B9="AMM",0,$B$5*'Datos Mun'!Z9)</f>
        <v>4033091.7964967163</v>
      </c>
      <c r="J11" s="49">
        <f>IF('Datos Mun'!B9="AMM",0,$J$5*'Datos Mun'!AC9)</f>
        <v>142459207.78119144</v>
      </c>
      <c r="K11" s="49">
        <f>IF('Datos Mun'!B9="AMM",0,$K$5*'Datos Mun'!AD9)</f>
        <v>72011558.251795188</v>
      </c>
      <c r="L11" s="50">
        <f t="shared" si="3"/>
        <v>218503857.82948333</v>
      </c>
      <c r="M11" s="56">
        <f t="shared" si="4"/>
        <v>3.2565478434488392E-2</v>
      </c>
      <c r="O11" s="44" t="s">
        <v>5</v>
      </c>
      <c r="P11" s="49">
        <f>IF('Datos Mun'!D9="Zona de Crec",'Datos Mun'!Z9*'Art 14 F I'!$P$5,0)</f>
        <v>0</v>
      </c>
      <c r="Q11" s="49">
        <f>IF('Datos Mun'!D9="Zona de Crec",$Q$5*'Datos Mun'!AC9,0)</f>
        <v>0</v>
      </c>
      <c r="R11" s="49">
        <f>IF('Datos Mun'!D9="Zona de Crec",$R$5*'Datos Mun'!AD9,0)</f>
        <v>0</v>
      </c>
      <c r="S11" s="50">
        <f t="shared" si="5"/>
        <v>0</v>
      </c>
      <c r="T11" s="56">
        <f t="shared" si="6"/>
        <v>0</v>
      </c>
      <c r="U11" s="39"/>
      <c r="V11" s="44" t="s">
        <v>5</v>
      </c>
      <c r="W11" s="49">
        <f t="shared" si="7"/>
        <v>4033091.7964967163</v>
      </c>
      <c r="X11" s="49">
        <f t="shared" si="8"/>
        <v>142459207.78119144</v>
      </c>
      <c r="Y11" s="49">
        <f t="shared" si="9"/>
        <v>72011558.251795188</v>
      </c>
      <c r="Z11" s="50">
        <f t="shared" si="10"/>
        <v>218503857.82948333</v>
      </c>
      <c r="AA11" s="56">
        <f t="shared" si="11"/>
        <v>5.0854077850968635E-3</v>
      </c>
    </row>
    <row r="12" spans="1:27">
      <c r="A12" s="44" t="s">
        <v>6</v>
      </c>
      <c r="B12" s="49">
        <f>IF('Datos Mun'!B10="AMM",$B$5*'Datos Mun'!Z10,0)</f>
        <v>1881373514.667932</v>
      </c>
      <c r="C12" s="49">
        <f>IF('Datos Mun'!B10="AMM",$C$5*'Datos Mun'!AC10,0)</f>
        <v>1041821153.5628436</v>
      </c>
      <c r="D12" s="49">
        <f>IF('Datos Mun'!B10="AMM",$D$5*'Datos Mun'!AD10,0)</f>
        <v>724626248.80950463</v>
      </c>
      <c r="E12" s="50">
        <f t="shared" si="1"/>
        <v>3647820917.0402803</v>
      </c>
      <c r="F12" s="56">
        <f t="shared" si="2"/>
        <v>0.10060968789838298</v>
      </c>
      <c r="G12" s="39"/>
      <c r="H12" s="44" t="s">
        <v>6</v>
      </c>
      <c r="I12" s="49">
        <f>IF('Datos Mun'!B10="AMM",0,$B$5*'Datos Mun'!Z10)</f>
        <v>0</v>
      </c>
      <c r="J12" s="49">
        <f>IF('Datos Mun'!B10="AMM",0,$J$5*'Datos Mun'!AC10)</f>
        <v>0</v>
      </c>
      <c r="K12" s="49">
        <f>IF('Datos Mun'!B10="AMM",0,$K$5*'Datos Mun'!AD10)</f>
        <v>0</v>
      </c>
      <c r="L12" s="50">
        <f t="shared" si="3"/>
        <v>0</v>
      </c>
      <c r="M12" s="56">
        <f t="shared" si="4"/>
        <v>0</v>
      </c>
      <c r="O12" s="44" t="s">
        <v>6</v>
      </c>
      <c r="P12" s="49">
        <f>IF('Datos Mun'!D10="Zona de Crec",'Datos Mun'!Z10*'Art 14 F I'!$P$5,0)</f>
        <v>1881373514.667932</v>
      </c>
      <c r="Q12" s="49">
        <f>IF('Datos Mun'!D10="Zona de Crec",$Q$5*'Datos Mun'!AC10,0)</f>
        <v>1041821153.5628436</v>
      </c>
      <c r="R12" s="49">
        <f>IF('Datos Mun'!D10="Zona de Crec",$R$5*'Datos Mun'!AD10,0)</f>
        <v>724626248.80950463</v>
      </c>
      <c r="S12" s="50">
        <f t="shared" si="5"/>
        <v>3647820917.0402803</v>
      </c>
      <c r="T12" s="56">
        <f t="shared" si="6"/>
        <v>0.24869953812555742</v>
      </c>
      <c r="U12" s="39"/>
      <c r="V12" s="44" t="s">
        <v>6</v>
      </c>
      <c r="W12" s="49">
        <f t="shared" si="7"/>
        <v>1881373514.667932</v>
      </c>
      <c r="X12" s="49">
        <f t="shared" si="8"/>
        <v>1041821153.5628436</v>
      </c>
      <c r="Y12" s="49">
        <f t="shared" si="9"/>
        <v>724626248.80950463</v>
      </c>
      <c r="Z12" s="50">
        <f t="shared" si="10"/>
        <v>3647820917.0402803</v>
      </c>
      <c r="AA12" s="56">
        <f t="shared" si="11"/>
        <v>8.4898532567934962E-2</v>
      </c>
    </row>
    <row r="13" spans="1:27">
      <c r="A13" s="44" t="s">
        <v>7</v>
      </c>
      <c r="B13" s="49">
        <f>IF('Datos Mun'!B11="AMM",$B$5*'Datos Mun'!Z11,0)</f>
        <v>0</v>
      </c>
      <c r="C13" s="49">
        <f>IF('Datos Mun'!B11="AMM",$C$5*'Datos Mun'!AC11,0)</f>
        <v>0</v>
      </c>
      <c r="D13" s="49">
        <f>IF('Datos Mun'!B11="AMM",$D$5*'Datos Mun'!AD11,0)</f>
        <v>0</v>
      </c>
      <c r="E13" s="50">
        <f t="shared" si="1"/>
        <v>0</v>
      </c>
      <c r="F13" s="56">
        <f t="shared" si="2"/>
        <v>0</v>
      </c>
      <c r="G13" s="39"/>
      <c r="H13" s="44" t="s">
        <v>7</v>
      </c>
      <c r="I13" s="49">
        <f>IF('Datos Mun'!B11="AMM",0,$B$5*'Datos Mun'!Z11)</f>
        <v>3880405.6737409043</v>
      </c>
      <c r="J13" s="49">
        <f>IF('Datos Mun'!B11="AMM",0,$J$5*'Datos Mun'!AC11)</f>
        <v>91186975.874866486</v>
      </c>
      <c r="K13" s="49">
        <f>IF('Datos Mun'!B11="AMM",0,$K$5*'Datos Mun'!AD11)</f>
        <v>105378823.55740328</v>
      </c>
      <c r="L13" s="50">
        <f t="shared" si="3"/>
        <v>200446205.10601068</v>
      </c>
      <c r="M13" s="56">
        <f t="shared" si="4"/>
        <v>2.9874193684712311E-2</v>
      </c>
      <c r="O13" s="44" t="s">
        <v>7</v>
      </c>
      <c r="P13" s="49">
        <f>IF('Datos Mun'!D11="Zona de Crec",'Datos Mun'!Z11*'Art 14 F I'!$P$5,0)</f>
        <v>0</v>
      </c>
      <c r="Q13" s="49">
        <f>IF('Datos Mun'!D11="Zona de Crec",$Q$5*'Datos Mun'!AC11,0)</f>
        <v>0</v>
      </c>
      <c r="R13" s="49">
        <f>IF('Datos Mun'!D11="Zona de Crec",$R$5*'Datos Mun'!AD11,0)</f>
        <v>0</v>
      </c>
      <c r="S13" s="50">
        <f t="shared" si="5"/>
        <v>0</v>
      </c>
      <c r="T13" s="56">
        <f t="shared" si="6"/>
        <v>0</v>
      </c>
      <c r="U13" s="39"/>
      <c r="V13" s="44" t="s">
        <v>7</v>
      </c>
      <c r="W13" s="49">
        <f t="shared" si="7"/>
        <v>3880405.6737409043</v>
      </c>
      <c r="X13" s="49">
        <f t="shared" si="8"/>
        <v>91186975.874866486</v>
      </c>
      <c r="Y13" s="49">
        <f t="shared" si="9"/>
        <v>105378823.55740328</v>
      </c>
      <c r="Z13" s="50">
        <f t="shared" si="10"/>
        <v>200446205.10601068</v>
      </c>
      <c r="AA13" s="56">
        <f t="shared" si="11"/>
        <v>4.6651381905335205E-3</v>
      </c>
    </row>
    <row r="14" spans="1:27">
      <c r="A14" s="44" t="s">
        <v>8</v>
      </c>
      <c r="B14" s="49">
        <f>IF('Datos Mun'!B12="AMM",$B$5*'Datos Mun'!Z12,0)</f>
        <v>0</v>
      </c>
      <c r="C14" s="49">
        <f>IF('Datos Mun'!B12="AMM",$C$5*'Datos Mun'!AC12,0)</f>
        <v>0</v>
      </c>
      <c r="D14" s="49">
        <f>IF('Datos Mun'!B12="AMM",$D$5*'Datos Mun'!AD12,0)</f>
        <v>0</v>
      </c>
      <c r="E14" s="50">
        <f t="shared" si="1"/>
        <v>0</v>
      </c>
      <c r="F14" s="56">
        <f t="shared" si="2"/>
        <v>0</v>
      </c>
      <c r="G14" s="39"/>
      <c r="H14" s="44" t="s">
        <v>8</v>
      </c>
      <c r="I14" s="49">
        <f>IF('Datos Mun'!B12="AMM",0,$B$5*'Datos Mun'!Z12)</f>
        <v>4787863.175878006</v>
      </c>
      <c r="J14" s="49">
        <f>IF('Datos Mun'!B12="AMM",0,$J$5*'Datos Mun'!AC12)</f>
        <v>17499643.968129259</v>
      </c>
      <c r="K14" s="49">
        <f>IF('Datos Mun'!B12="AMM",0,$K$5*'Datos Mun'!AD12)</f>
        <v>35830368.315838851</v>
      </c>
      <c r="L14" s="50">
        <f t="shared" si="3"/>
        <v>58117875.459846117</v>
      </c>
      <c r="M14" s="56">
        <f t="shared" si="4"/>
        <v>8.6617986462412117E-3</v>
      </c>
      <c r="O14" s="44" t="s">
        <v>8</v>
      </c>
      <c r="P14" s="49">
        <f>IF('Datos Mun'!D12="Zona de Crec",'Datos Mun'!Z12*'Art 14 F I'!$P$5,0)</f>
        <v>0</v>
      </c>
      <c r="Q14" s="49">
        <f>IF('Datos Mun'!D12="Zona de Crec",$Q$5*'Datos Mun'!AC12,0)</f>
        <v>0</v>
      </c>
      <c r="R14" s="49">
        <f>IF('Datos Mun'!D12="Zona de Crec",$R$5*'Datos Mun'!AD12,0)</f>
        <v>0</v>
      </c>
      <c r="S14" s="50">
        <f t="shared" si="5"/>
        <v>0</v>
      </c>
      <c r="T14" s="56">
        <f t="shared" si="6"/>
        <v>0</v>
      </c>
      <c r="U14" s="39"/>
      <c r="V14" s="44" t="s">
        <v>8</v>
      </c>
      <c r="W14" s="49">
        <f t="shared" si="7"/>
        <v>4787863.175878006</v>
      </c>
      <c r="X14" s="49">
        <f t="shared" si="8"/>
        <v>17499643.968129259</v>
      </c>
      <c r="Y14" s="49">
        <f t="shared" si="9"/>
        <v>35830368.315838851</v>
      </c>
      <c r="Z14" s="50">
        <f t="shared" si="10"/>
        <v>58117875.459846117</v>
      </c>
      <c r="AA14" s="56">
        <f t="shared" si="11"/>
        <v>1.3526218678822411E-3</v>
      </c>
    </row>
    <row r="15" spans="1:27">
      <c r="A15" s="44" t="s">
        <v>9</v>
      </c>
      <c r="B15" s="49">
        <f>IF('Datos Mun'!B13="AMM",$B$5*'Datos Mun'!Z13,0)</f>
        <v>135684663.19305256</v>
      </c>
      <c r="C15" s="49">
        <f>IF('Datos Mun'!B13="AMM",$C$5*'Datos Mun'!AC13,0)</f>
        <v>221755957.43689978</v>
      </c>
      <c r="D15" s="49">
        <f>IF('Datos Mun'!B13="AMM",$D$5*'Datos Mun'!AD13,0)</f>
        <v>227214257.77025345</v>
      </c>
      <c r="E15" s="50">
        <f t="shared" si="1"/>
        <v>584654878.40020573</v>
      </c>
      <c r="F15" s="56">
        <f t="shared" si="2"/>
        <v>1.6125228234021398E-2</v>
      </c>
      <c r="G15" s="39"/>
      <c r="H15" s="44" t="s">
        <v>9</v>
      </c>
      <c r="I15" s="49">
        <f>IF('Datos Mun'!B13="AMM",0,$B$5*'Datos Mun'!Z13)</f>
        <v>0</v>
      </c>
      <c r="J15" s="49">
        <f>IF('Datos Mun'!B13="AMM",0,$J$5*'Datos Mun'!AC13)</f>
        <v>0</v>
      </c>
      <c r="K15" s="49">
        <f>IF('Datos Mun'!B13="AMM",0,$K$5*'Datos Mun'!AD13)</f>
        <v>0</v>
      </c>
      <c r="L15" s="50">
        <f t="shared" si="3"/>
        <v>0</v>
      </c>
      <c r="M15" s="56">
        <f t="shared" si="4"/>
        <v>0</v>
      </c>
      <c r="O15" s="44" t="s">
        <v>9</v>
      </c>
      <c r="P15" s="49">
        <f>IF('Datos Mun'!D13="Zona de Crec",'Datos Mun'!Z13*'Art 14 F I'!$P$5,0)</f>
        <v>135684663.19305256</v>
      </c>
      <c r="Q15" s="49">
        <f>IF('Datos Mun'!D13="Zona de Crec",$Q$5*'Datos Mun'!AC13,0)</f>
        <v>221755957.43689978</v>
      </c>
      <c r="R15" s="49">
        <f>IF('Datos Mun'!D13="Zona de Crec",$R$5*'Datos Mun'!AD13,0)</f>
        <v>227214257.77025345</v>
      </c>
      <c r="S15" s="50">
        <f t="shared" si="5"/>
        <v>584654878.40020573</v>
      </c>
      <c r="T15" s="56">
        <f t="shared" si="6"/>
        <v>3.9860344443378146E-2</v>
      </c>
      <c r="U15" s="39"/>
      <c r="V15" s="44" t="s">
        <v>9</v>
      </c>
      <c r="W15" s="49">
        <f t="shared" si="7"/>
        <v>135684663.19305256</v>
      </c>
      <c r="X15" s="49">
        <f t="shared" si="8"/>
        <v>221755957.43689978</v>
      </c>
      <c r="Y15" s="49">
        <f t="shared" si="9"/>
        <v>227214257.77025345</v>
      </c>
      <c r="Z15" s="50">
        <f t="shared" si="10"/>
        <v>584654878.40020573</v>
      </c>
      <c r="AA15" s="56">
        <f t="shared" si="11"/>
        <v>1.3607121172805596E-2</v>
      </c>
    </row>
    <row r="16" spans="1:27">
      <c r="A16" s="44" t="s">
        <v>10</v>
      </c>
      <c r="B16" s="49">
        <f>IF('Datos Mun'!B14="AMM",$B$5*'Datos Mun'!Z14,0)</f>
        <v>0</v>
      </c>
      <c r="C16" s="49">
        <f>IF('Datos Mun'!B14="AMM",$C$5*'Datos Mun'!AC14,0)</f>
        <v>0</v>
      </c>
      <c r="D16" s="49">
        <f>IF('Datos Mun'!B14="AMM",$D$5*'Datos Mun'!AD14,0)</f>
        <v>0</v>
      </c>
      <c r="E16" s="50">
        <f t="shared" si="1"/>
        <v>0</v>
      </c>
      <c r="F16" s="56">
        <f t="shared" si="2"/>
        <v>0</v>
      </c>
      <c r="G16" s="39"/>
      <c r="H16" s="44" t="s">
        <v>10</v>
      </c>
      <c r="I16" s="49">
        <f>IF('Datos Mun'!B14="AMM",0,$B$5*'Datos Mun'!Z14)</f>
        <v>10617211.107764991</v>
      </c>
      <c r="J16" s="49">
        <f>IF('Datos Mun'!B14="AMM",0,$J$5*'Datos Mun'!AC14)</f>
        <v>167532726.5728747</v>
      </c>
      <c r="K16" s="49">
        <f>IF('Datos Mun'!B14="AMM",0,$K$5*'Datos Mun'!AD14)</f>
        <v>231190314.30261046</v>
      </c>
      <c r="L16" s="50">
        <f t="shared" si="3"/>
        <v>409340251.98325014</v>
      </c>
      <c r="M16" s="56">
        <f t="shared" si="4"/>
        <v>6.1007440695767315E-2</v>
      </c>
      <c r="O16" s="44" t="s">
        <v>10</v>
      </c>
      <c r="P16" s="49">
        <f>IF('Datos Mun'!D14="Zona de Crec",'Datos Mun'!Z14*'Art 14 F I'!$P$5,0)</f>
        <v>10617211.107764991</v>
      </c>
      <c r="Q16" s="49">
        <f>IF('Datos Mun'!D14="Zona de Crec",$Q$5*'Datos Mun'!AC14,0)</f>
        <v>167532726.5728747</v>
      </c>
      <c r="R16" s="49">
        <f>IF('Datos Mun'!D14="Zona de Crec",$R$5*'Datos Mun'!AD14,0)</f>
        <v>231190314.30261046</v>
      </c>
      <c r="S16" s="50">
        <f t="shared" si="5"/>
        <v>409340251.98325014</v>
      </c>
      <c r="T16" s="56">
        <f t="shared" si="6"/>
        <v>2.7907820564566782E-2</v>
      </c>
      <c r="U16" s="39"/>
      <c r="V16" s="44" t="s">
        <v>10</v>
      </c>
      <c r="W16" s="49">
        <f t="shared" si="7"/>
        <v>10617211.107764991</v>
      </c>
      <c r="X16" s="49">
        <f t="shared" si="8"/>
        <v>167532726.5728747</v>
      </c>
      <c r="Y16" s="49">
        <f t="shared" si="9"/>
        <v>231190314.30261046</v>
      </c>
      <c r="Z16" s="50">
        <f t="shared" si="10"/>
        <v>409340251.98325014</v>
      </c>
      <c r="AA16" s="56">
        <f t="shared" si="11"/>
        <v>9.5268894785996202E-3</v>
      </c>
    </row>
    <row r="17" spans="1:27">
      <c r="A17" s="44" t="s">
        <v>11</v>
      </c>
      <c r="B17" s="49">
        <f>IF('Datos Mun'!B15="AMM",$B$5*'Datos Mun'!Z15,0)</f>
        <v>0</v>
      </c>
      <c r="C17" s="49">
        <f>IF('Datos Mun'!B15="AMM",$C$5*'Datos Mun'!AC15,0)</f>
        <v>0</v>
      </c>
      <c r="D17" s="49">
        <f>IF('Datos Mun'!B15="AMM",$D$5*'Datos Mun'!AD15,0)</f>
        <v>0</v>
      </c>
      <c r="E17" s="50">
        <f t="shared" si="1"/>
        <v>0</v>
      </c>
      <c r="F17" s="56">
        <f t="shared" si="2"/>
        <v>0</v>
      </c>
      <c r="G17" s="39"/>
      <c r="H17" s="44" t="s">
        <v>11</v>
      </c>
      <c r="I17" s="49">
        <f>IF('Datos Mun'!B15="AMM",0,$B$5*'Datos Mun'!Z15)</f>
        <v>4505592.797349615</v>
      </c>
      <c r="J17" s="49">
        <f>IF('Datos Mun'!B15="AMM",0,$J$5*'Datos Mun'!AC15)</f>
        <v>36886173.335575983</v>
      </c>
      <c r="K17" s="49">
        <f>IF('Datos Mun'!B15="AMM",0,$K$5*'Datos Mun'!AD15)</f>
        <v>110888760.0333589</v>
      </c>
      <c r="L17" s="50">
        <f t="shared" si="3"/>
        <v>152280526.1662845</v>
      </c>
      <c r="M17" s="56">
        <f t="shared" si="4"/>
        <v>2.2695655079603541E-2</v>
      </c>
      <c r="O17" s="44" t="s">
        <v>11</v>
      </c>
      <c r="P17" s="49">
        <f>IF('Datos Mun'!D15="Zona de Crec",'Datos Mun'!Z15*'Art 14 F I'!$P$5,0)</f>
        <v>0</v>
      </c>
      <c r="Q17" s="49">
        <f>IF('Datos Mun'!D15="Zona de Crec",$Q$5*'Datos Mun'!AC15,0)</f>
        <v>0</v>
      </c>
      <c r="R17" s="49">
        <f>IF('Datos Mun'!D15="Zona de Crec",$R$5*'Datos Mun'!AD15,0)</f>
        <v>0</v>
      </c>
      <c r="S17" s="50">
        <f t="shared" si="5"/>
        <v>0</v>
      </c>
      <c r="T17" s="56">
        <f t="shared" si="6"/>
        <v>0</v>
      </c>
      <c r="U17" s="39"/>
      <c r="V17" s="44" t="s">
        <v>11</v>
      </c>
      <c r="W17" s="49">
        <f t="shared" si="7"/>
        <v>4505592.797349615</v>
      </c>
      <c r="X17" s="49">
        <f t="shared" si="8"/>
        <v>36886173.335575983</v>
      </c>
      <c r="Y17" s="49">
        <f t="shared" si="9"/>
        <v>110888760.0333589</v>
      </c>
      <c r="Z17" s="50">
        <f t="shared" si="10"/>
        <v>152280526.1662845</v>
      </c>
      <c r="AA17" s="56">
        <f t="shared" si="11"/>
        <v>3.544141421470943E-3</v>
      </c>
    </row>
    <row r="18" spans="1:27">
      <c r="A18" s="44" t="s">
        <v>12</v>
      </c>
      <c r="B18" s="49">
        <f>IF('Datos Mun'!B16="AMM",$B$5*'Datos Mun'!Z16,0)</f>
        <v>0</v>
      </c>
      <c r="C18" s="49">
        <f>IF('Datos Mun'!B16="AMM",$C$5*'Datos Mun'!AC16,0)</f>
        <v>0</v>
      </c>
      <c r="D18" s="49">
        <f>IF('Datos Mun'!B16="AMM",$D$5*'Datos Mun'!AD16,0)</f>
        <v>0</v>
      </c>
      <c r="E18" s="50">
        <f t="shared" si="1"/>
        <v>0</v>
      </c>
      <c r="F18" s="56">
        <f t="shared" si="2"/>
        <v>0</v>
      </c>
      <c r="G18" s="39"/>
      <c r="H18" s="44" t="s">
        <v>12</v>
      </c>
      <c r="I18" s="49">
        <f>IF('Datos Mun'!B16="AMM",0,$B$5*'Datos Mun'!Z16)</f>
        <v>8346052.8711481597</v>
      </c>
      <c r="J18" s="49">
        <f>IF('Datos Mun'!B16="AMM",0,$J$5*'Datos Mun'!AC16)</f>
        <v>122804947.10157952</v>
      </c>
      <c r="K18" s="49">
        <f>IF('Datos Mun'!B16="AMM",0,$K$5*'Datos Mun'!AD16)</f>
        <v>67312456.02450183</v>
      </c>
      <c r="L18" s="50">
        <f t="shared" si="3"/>
        <v>198463455.99722952</v>
      </c>
      <c r="M18" s="56">
        <f t="shared" si="4"/>
        <v>2.9578687811340487E-2</v>
      </c>
      <c r="O18" s="44" t="s">
        <v>12</v>
      </c>
      <c r="P18" s="49">
        <f>IF('Datos Mun'!D16="Zona de Crec",'Datos Mun'!Z16*'Art 14 F I'!$P$5,0)</f>
        <v>0</v>
      </c>
      <c r="Q18" s="49">
        <f>IF('Datos Mun'!D16="Zona de Crec",$Q$5*'Datos Mun'!AC16,0)</f>
        <v>0</v>
      </c>
      <c r="R18" s="49">
        <f>IF('Datos Mun'!D16="Zona de Crec",$R$5*'Datos Mun'!AD16,0)</f>
        <v>0</v>
      </c>
      <c r="S18" s="50">
        <f t="shared" si="5"/>
        <v>0</v>
      </c>
      <c r="T18" s="56">
        <f t="shared" si="6"/>
        <v>0</v>
      </c>
      <c r="U18" s="39"/>
      <c r="V18" s="44" t="s">
        <v>12</v>
      </c>
      <c r="W18" s="49">
        <f t="shared" si="7"/>
        <v>8346052.8711481597</v>
      </c>
      <c r="X18" s="49">
        <f t="shared" si="8"/>
        <v>122804947.10157952</v>
      </c>
      <c r="Y18" s="49">
        <f t="shared" si="9"/>
        <v>67312456.02450183</v>
      </c>
      <c r="Z18" s="50">
        <f t="shared" si="10"/>
        <v>198463455.99722952</v>
      </c>
      <c r="AA18" s="56">
        <f t="shared" si="11"/>
        <v>4.6189921505786638E-3</v>
      </c>
    </row>
    <row r="19" spans="1:27">
      <c r="A19" s="44" t="s">
        <v>13</v>
      </c>
      <c r="B19" s="49">
        <f>IF('Datos Mun'!B17="AMM",$B$5*'Datos Mun'!Z17,0)</f>
        <v>0</v>
      </c>
      <c r="C19" s="49">
        <f>IF('Datos Mun'!B17="AMM",$C$5*'Datos Mun'!AC17,0)</f>
        <v>0</v>
      </c>
      <c r="D19" s="49">
        <f>IF('Datos Mun'!B17="AMM",$D$5*'Datos Mun'!AD17,0)</f>
        <v>0</v>
      </c>
      <c r="E19" s="50">
        <f t="shared" si="1"/>
        <v>0</v>
      </c>
      <c r="F19" s="56">
        <f t="shared" si="2"/>
        <v>0</v>
      </c>
      <c r="G19" s="39"/>
      <c r="H19" s="44" t="s">
        <v>13</v>
      </c>
      <c r="I19" s="49">
        <f>IF('Datos Mun'!B17="AMM",0,$B$5*'Datos Mun'!Z17)</f>
        <v>46025727.666378476</v>
      </c>
      <c r="J19" s="49">
        <f>IF('Datos Mun'!B17="AMM",0,$J$5*'Datos Mun'!AC17)</f>
        <v>111997073.79670195</v>
      </c>
      <c r="K19" s="49">
        <f>IF('Datos Mun'!B17="AMM",0,$K$5*'Datos Mun'!AD17)</f>
        <v>146614453.87790468</v>
      </c>
      <c r="L19" s="50">
        <f t="shared" si="3"/>
        <v>304637255.34098512</v>
      </c>
      <c r="M19" s="56">
        <f t="shared" si="4"/>
        <v>4.5402667338214672E-2</v>
      </c>
      <c r="O19" s="44" t="s">
        <v>13</v>
      </c>
      <c r="P19" s="49">
        <f>IF('Datos Mun'!D17="Zona de Crec",'Datos Mun'!Z17*'Art 14 F I'!$P$5,0)</f>
        <v>46025727.666378476</v>
      </c>
      <c r="Q19" s="49">
        <f>IF('Datos Mun'!D17="Zona de Crec",$Q$5*'Datos Mun'!AC17,0)</f>
        <v>111997073.79670195</v>
      </c>
      <c r="R19" s="49">
        <f>IF('Datos Mun'!D17="Zona de Crec",$R$5*'Datos Mun'!AD17,0)</f>
        <v>146614453.87790468</v>
      </c>
      <c r="S19" s="50">
        <f t="shared" si="5"/>
        <v>304637255.34098512</v>
      </c>
      <c r="T19" s="56">
        <f t="shared" si="6"/>
        <v>2.0769425479530441E-2</v>
      </c>
      <c r="U19" s="39"/>
      <c r="V19" s="44" t="s">
        <v>13</v>
      </c>
      <c r="W19" s="49">
        <f t="shared" si="7"/>
        <v>46025727.666378476</v>
      </c>
      <c r="X19" s="49">
        <f t="shared" si="8"/>
        <v>111997073.79670195</v>
      </c>
      <c r="Y19" s="49">
        <f t="shared" si="9"/>
        <v>146614453.87790468</v>
      </c>
      <c r="Z19" s="50">
        <f t="shared" si="10"/>
        <v>304637255.34098512</v>
      </c>
      <c r="AA19" s="56">
        <f t="shared" si="11"/>
        <v>7.0900563739728552E-3</v>
      </c>
    </row>
    <row r="20" spans="1:27">
      <c r="A20" s="44" t="s">
        <v>14</v>
      </c>
      <c r="B20" s="49">
        <f>IF('Datos Mun'!B18="AMM",$B$5*'Datos Mun'!Z18,0)</f>
        <v>0</v>
      </c>
      <c r="C20" s="49">
        <f>IF('Datos Mun'!B18="AMM",$C$5*'Datos Mun'!AC18,0)</f>
        <v>0</v>
      </c>
      <c r="D20" s="49">
        <f>IF('Datos Mun'!B18="AMM",$D$5*'Datos Mun'!AD18,0)</f>
        <v>0</v>
      </c>
      <c r="E20" s="50">
        <f t="shared" si="1"/>
        <v>0</v>
      </c>
      <c r="F20" s="56">
        <f t="shared" si="2"/>
        <v>0</v>
      </c>
      <c r="G20" s="39"/>
      <c r="H20" s="44" t="s">
        <v>14</v>
      </c>
      <c r="I20" s="49">
        <f>IF('Datos Mun'!B18="AMM",0,$B$5*'Datos Mun'!Z18)</f>
        <v>1188821.6555183595</v>
      </c>
      <c r="J20" s="49">
        <f>IF('Datos Mun'!B18="AMM",0,$J$5*'Datos Mun'!AC18)</f>
        <v>183884267.58566219</v>
      </c>
      <c r="K20" s="49">
        <f>IF('Datos Mun'!B18="AMM",0,$K$5*'Datos Mun'!AD18)</f>
        <v>258705461.3248094</v>
      </c>
      <c r="L20" s="50">
        <f t="shared" si="3"/>
        <v>443778550.56598997</v>
      </c>
      <c r="M20" s="56">
        <f t="shared" si="4"/>
        <v>6.6140071675179518E-2</v>
      </c>
      <c r="O20" s="44" t="s">
        <v>14</v>
      </c>
      <c r="P20" s="49">
        <f>IF('Datos Mun'!D18="Zona de Crec",'Datos Mun'!Z18*'Art 14 F I'!$P$5,0)</f>
        <v>0</v>
      </c>
      <c r="Q20" s="49">
        <f>IF('Datos Mun'!D18="Zona de Crec",$Q$5*'Datos Mun'!AC18,0)</f>
        <v>0</v>
      </c>
      <c r="R20" s="49">
        <f>IF('Datos Mun'!D18="Zona de Crec",$R$5*'Datos Mun'!AD18,0)</f>
        <v>0</v>
      </c>
      <c r="S20" s="50">
        <f t="shared" si="5"/>
        <v>0</v>
      </c>
      <c r="T20" s="56">
        <f t="shared" si="6"/>
        <v>0</v>
      </c>
      <c r="U20" s="39"/>
      <c r="V20" s="44" t="s">
        <v>14</v>
      </c>
      <c r="W20" s="49">
        <f t="shared" si="7"/>
        <v>1188821.6555183595</v>
      </c>
      <c r="X20" s="49">
        <f t="shared" si="8"/>
        <v>183884267.58566219</v>
      </c>
      <c r="Y20" s="49">
        <f t="shared" si="9"/>
        <v>258705461.3248094</v>
      </c>
      <c r="Z20" s="50">
        <f t="shared" si="10"/>
        <v>443778550.56598997</v>
      </c>
      <c r="AA20" s="56">
        <f t="shared" si="11"/>
        <v>1.0328398401406952E-2</v>
      </c>
    </row>
    <row r="21" spans="1:27">
      <c r="A21" s="44" t="s">
        <v>15</v>
      </c>
      <c r="B21" s="49">
        <f>IF('Datos Mun'!B19="AMM",$B$5*'Datos Mun'!Z19,0)</f>
        <v>0</v>
      </c>
      <c r="C21" s="49">
        <f>IF('Datos Mun'!B19="AMM",$C$5*'Datos Mun'!AC19,0)</f>
        <v>0</v>
      </c>
      <c r="D21" s="49">
        <f>IF('Datos Mun'!B19="AMM",$D$5*'Datos Mun'!AD19,0)</f>
        <v>0</v>
      </c>
      <c r="E21" s="50">
        <f t="shared" si="1"/>
        <v>0</v>
      </c>
      <c r="F21" s="56">
        <f t="shared" si="2"/>
        <v>0</v>
      </c>
      <c r="G21" s="39"/>
      <c r="H21" s="44" t="s">
        <v>15</v>
      </c>
      <c r="I21" s="49">
        <f>IF('Datos Mun'!B19="AMM",0,$B$5*'Datos Mun'!Z19)</f>
        <v>966711.96108739683</v>
      </c>
      <c r="J21" s="49">
        <f>IF('Datos Mun'!B19="AMM",0,$J$5*'Datos Mun'!AC19)</f>
        <v>20246714.891589213</v>
      </c>
      <c r="K21" s="49">
        <f>IF('Datos Mun'!B19="AMM",0,$K$5*'Datos Mun'!AD19)</f>
        <v>43057229.132403597</v>
      </c>
      <c r="L21" s="50">
        <f t="shared" si="3"/>
        <v>64270655.985080212</v>
      </c>
      <c r="M21" s="56">
        <f t="shared" si="4"/>
        <v>9.5787995793003202E-3</v>
      </c>
      <c r="O21" s="44" t="s">
        <v>15</v>
      </c>
      <c r="P21" s="49">
        <f>IF('Datos Mun'!D19="Zona de Crec",'Datos Mun'!Z19*'Art 14 F I'!$P$5,0)</f>
        <v>0</v>
      </c>
      <c r="Q21" s="49">
        <f>IF('Datos Mun'!D19="Zona de Crec",$Q$5*'Datos Mun'!AC19,0)</f>
        <v>0</v>
      </c>
      <c r="R21" s="49">
        <f>IF('Datos Mun'!D19="Zona de Crec",$R$5*'Datos Mun'!AD19,0)</f>
        <v>0</v>
      </c>
      <c r="S21" s="50">
        <f t="shared" si="5"/>
        <v>0</v>
      </c>
      <c r="T21" s="56">
        <f t="shared" si="6"/>
        <v>0</v>
      </c>
      <c r="U21" s="39"/>
      <c r="V21" s="44" t="s">
        <v>15</v>
      </c>
      <c r="W21" s="49">
        <f t="shared" si="7"/>
        <v>966711.96108739683</v>
      </c>
      <c r="X21" s="49">
        <f t="shared" si="8"/>
        <v>20246714.891589213</v>
      </c>
      <c r="Y21" s="49">
        <f t="shared" si="9"/>
        <v>43057229.132403597</v>
      </c>
      <c r="Z21" s="50">
        <f t="shared" si="10"/>
        <v>64270655.985080212</v>
      </c>
      <c r="AA21" s="56">
        <f t="shared" si="11"/>
        <v>1.4958202456767217E-3</v>
      </c>
    </row>
    <row r="22" spans="1:27">
      <c r="A22" s="44" t="s">
        <v>16</v>
      </c>
      <c r="B22" s="49">
        <f>IF('Datos Mun'!B20="AMM",$B$5*'Datos Mun'!Z20,0)</f>
        <v>0</v>
      </c>
      <c r="C22" s="49">
        <f>IF('Datos Mun'!B20="AMM",$C$5*'Datos Mun'!AC20,0)</f>
        <v>0</v>
      </c>
      <c r="D22" s="49">
        <f>IF('Datos Mun'!B20="AMM",$D$5*'Datos Mun'!AD20,0)</f>
        <v>0</v>
      </c>
      <c r="E22" s="50">
        <f t="shared" si="1"/>
        <v>0</v>
      </c>
      <c r="F22" s="56">
        <f t="shared" si="2"/>
        <v>0</v>
      </c>
      <c r="G22" s="39"/>
      <c r="H22" s="44" t="s">
        <v>16</v>
      </c>
      <c r="I22" s="49">
        <f>IF('Datos Mun'!B20="AMM",0,$B$5*'Datos Mun'!Z20)</f>
        <v>5586336.2117140787</v>
      </c>
      <c r="J22" s="49">
        <f>IF('Datos Mun'!B20="AMM",0,$J$5*'Datos Mun'!AC20)</f>
        <v>20577318.381356724</v>
      </c>
      <c r="K22" s="49">
        <f>IF('Datos Mun'!B20="AMM",0,$K$5*'Datos Mun'!AD20)</f>
        <v>20237308.046244521</v>
      </c>
      <c r="L22" s="50">
        <f t="shared" si="3"/>
        <v>46400962.639315322</v>
      </c>
      <c r="M22" s="56">
        <f t="shared" si="4"/>
        <v>6.9155280056855447E-3</v>
      </c>
      <c r="O22" s="44" t="s">
        <v>16</v>
      </c>
      <c r="P22" s="49">
        <f>IF('Datos Mun'!D20="Zona de Crec",'Datos Mun'!Z20*'Art 14 F I'!$P$5,0)</f>
        <v>0</v>
      </c>
      <c r="Q22" s="49">
        <f>IF('Datos Mun'!D20="Zona de Crec",$Q$5*'Datos Mun'!AC20,0)</f>
        <v>0</v>
      </c>
      <c r="R22" s="49">
        <f>IF('Datos Mun'!D20="Zona de Crec",$R$5*'Datos Mun'!AD20,0)</f>
        <v>0</v>
      </c>
      <c r="S22" s="50">
        <f t="shared" si="5"/>
        <v>0</v>
      </c>
      <c r="T22" s="56">
        <f t="shared" si="6"/>
        <v>0</v>
      </c>
      <c r="U22" s="39"/>
      <c r="V22" s="44" t="s">
        <v>16</v>
      </c>
      <c r="W22" s="49">
        <f t="shared" si="7"/>
        <v>5586336.2117140787</v>
      </c>
      <c r="X22" s="49">
        <f t="shared" si="8"/>
        <v>20577318.381356724</v>
      </c>
      <c r="Y22" s="49">
        <f t="shared" si="9"/>
        <v>20237308.046244521</v>
      </c>
      <c r="Z22" s="50">
        <f t="shared" si="10"/>
        <v>46400962.639315322</v>
      </c>
      <c r="AA22" s="56">
        <f t="shared" si="11"/>
        <v>1.0799251737976549E-3</v>
      </c>
    </row>
    <row r="23" spans="1:27">
      <c r="A23" s="44" t="s">
        <v>17</v>
      </c>
      <c r="B23" s="49">
        <f>IF('Datos Mun'!B21="AMM",$B$5*'Datos Mun'!Z21,0)</f>
        <v>0</v>
      </c>
      <c r="C23" s="49">
        <f>IF('Datos Mun'!B21="AMM",$C$5*'Datos Mun'!AC21,0)</f>
        <v>0</v>
      </c>
      <c r="D23" s="49">
        <f>IF('Datos Mun'!B21="AMM",$D$5*'Datos Mun'!AD21,0)</f>
        <v>0</v>
      </c>
      <c r="E23" s="50">
        <f t="shared" si="1"/>
        <v>0</v>
      </c>
      <c r="F23" s="56">
        <f t="shared" si="2"/>
        <v>0</v>
      </c>
      <c r="G23" s="39"/>
      <c r="H23" s="44" t="s">
        <v>17</v>
      </c>
      <c r="I23" s="49">
        <f>IF('Datos Mun'!B21="AMM",0,$B$5*'Datos Mun'!Z21)</f>
        <v>1854001.8393394058</v>
      </c>
      <c r="J23" s="49">
        <f>IF('Datos Mun'!B21="AMM",0,$J$5*'Datos Mun'!AC21)</f>
        <v>242080183.550908</v>
      </c>
      <c r="K23" s="49">
        <f>IF('Datos Mun'!B21="AMM",0,$K$5*'Datos Mun'!AD21)</f>
        <v>170349299.76172063</v>
      </c>
      <c r="L23" s="50">
        <f t="shared" si="3"/>
        <v>414283485.151968</v>
      </c>
      <c r="M23" s="56">
        <f t="shared" si="4"/>
        <v>6.1744172553738236E-2</v>
      </c>
      <c r="O23" s="44" t="s">
        <v>17</v>
      </c>
      <c r="P23" s="49">
        <f>IF('Datos Mun'!D21="Zona de Crec",'Datos Mun'!Z21*'Art 14 F I'!$P$5,0)</f>
        <v>0</v>
      </c>
      <c r="Q23" s="49">
        <f>IF('Datos Mun'!D21="Zona de Crec",$Q$5*'Datos Mun'!AC21,0)</f>
        <v>0</v>
      </c>
      <c r="R23" s="49">
        <f>IF('Datos Mun'!D21="Zona de Crec",$R$5*'Datos Mun'!AD21,0)</f>
        <v>0</v>
      </c>
      <c r="S23" s="50">
        <f t="shared" si="5"/>
        <v>0</v>
      </c>
      <c r="T23" s="56">
        <f t="shared" si="6"/>
        <v>0</v>
      </c>
      <c r="U23" s="39"/>
      <c r="V23" s="44" t="s">
        <v>17</v>
      </c>
      <c r="W23" s="49">
        <f t="shared" si="7"/>
        <v>1854001.8393394058</v>
      </c>
      <c r="X23" s="49">
        <f t="shared" si="8"/>
        <v>242080183.550908</v>
      </c>
      <c r="Y23" s="49">
        <f t="shared" si="9"/>
        <v>170349299.76172063</v>
      </c>
      <c r="Z23" s="50">
        <f t="shared" si="10"/>
        <v>414283485.151968</v>
      </c>
      <c r="AA23" s="56">
        <f t="shared" si="11"/>
        <v>9.6419371335447548E-3</v>
      </c>
    </row>
    <row r="24" spans="1:27">
      <c r="A24" s="44" t="s">
        <v>18</v>
      </c>
      <c r="B24" s="49">
        <f>IF('Datos Mun'!B22="AMM",$B$5*'Datos Mun'!Z22,0)</f>
        <v>285947506.31797314</v>
      </c>
      <c r="C24" s="49">
        <f>IF('Datos Mun'!B22="AMM",$C$5*'Datos Mun'!AC22,0)</f>
        <v>652886342.2830838</v>
      </c>
      <c r="D24" s="49">
        <f>IF('Datos Mun'!B22="AMM",$D$5*'Datos Mun'!AD22,0)</f>
        <v>723959647.39245498</v>
      </c>
      <c r="E24" s="50">
        <f t="shared" si="1"/>
        <v>1662793495.9935119</v>
      </c>
      <c r="F24" s="56">
        <f t="shared" si="2"/>
        <v>4.5861115026201563E-2</v>
      </c>
      <c r="G24" s="39"/>
      <c r="H24" s="44" t="s">
        <v>18</v>
      </c>
      <c r="I24" s="49">
        <f>IF('Datos Mun'!B22="AMM",0,$B$5*'Datos Mun'!Z22)</f>
        <v>0</v>
      </c>
      <c r="J24" s="49">
        <f>IF('Datos Mun'!B22="AMM",0,$J$5*'Datos Mun'!AC22)</f>
        <v>0</v>
      </c>
      <c r="K24" s="49">
        <f>IF('Datos Mun'!B22="AMM",0,$K$5*'Datos Mun'!AD22)</f>
        <v>0</v>
      </c>
      <c r="L24" s="50">
        <f t="shared" si="3"/>
        <v>0</v>
      </c>
      <c r="M24" s="56">
        <f t="shared" si="4"/>
        <v>0</v>
      </c>
      <c r="O24" s="44" t="s">
        <v>18</v>
      </c>
      <c r="P24" s="49">
        <f>IF('Datos Mun'!D22="Zona de Crec",'Datos Mun'!Z22*'Art 14 F I'!$P$5,0)</f>
        <v>285947506.31797314</v>
      </c>
      <c r="Q24" s="49">
        <f>IF('Datos Mun'!D22="Zona de Crec",$Q$5*'Datos Mun'!AC22,0)</f>
        <v>652886342.2830838</v>
      </c>
      <c r="R24" s="49">
        <f>IF('Datos Mun'!D22="Zona de Crec",$R$5*'Datos Mun'!AD22,0)</f>
        <v>723959647.39245498</v>
      </c>
      <c r="S24" s="50">
        <f t="shared" si="5"/>
        <v>1662793495.9935119</v>
      </c>
      <c r="T24" s="56">
        <f t="shared" si="6"/>
        <v>0.11336520729951199</v>
      </c>
      <c r="U24" s="39"/>
      <c r="V24" s="44" t="s">
        <v>18</v>
      </c>
      <c r="W24" s="49">
        <f t="shared" si="7"/>
        <v>285947506.31797314</v>
      </c>
      <c r="X24" s="49">
        <f t="shared" si="8"/>
        <v>652886342.2830838</v>
      </c>
      <c r="Y24" s="49">
        <f t="shared" si="9"/>
        <v>723959647.39245498</v>
      </c>
      <c r="Z24" s="50">
        <f t="shared" si="10"/>
        <v>1662793495.9935119</v>
      </c>
      <c r="AA24" s="56">
        <f t="shared" si="11"/>
        <v>3.8699467705200614E-2</v>
      </c>
    </row>
    <row r="25" spans="1:27">
      <c r="A25" s="44" t="s">
        <v>19</v>
      </c>
      <c r="B25" s="49">
        <f>IF('Datos Mun'!B23="AMM",$B$5*'Datos Mun'!Z23,0)</f>
        <v>0</v>
      </c>
      <c r="C25" s="49">
        <f>IF('Datos Mun'!B23="AMM",$C$5*'Datos Mun'!AC23,0)</f>
        <v>0</v>
      </c>
      <c r="D25" s="49">
        <f>IF('Datos Mun'!B23="AMM",$D$5*'Datos Mun'!AD23,0)</f>
        <v>0</v>
      </c>
      <c r="E25" s="50">
        <f t="shared" si="1"/>
        <v>0</v>
      </c>
      <c r="F25" s="56">
        <f t="shared" si="2"/>
        <v>0</v>
      </c>
      <c r="G25" s="39"/>
      <c r="H25" s="44" t="s">
        <v>19</v>
      </c>
      <c r="I25" s="49">
        <f>IF('Datos Mun'!B23="AMM",0,$B$5*'Datos Mun'!Z23)</f>
        <v>26051503.512072958</v>
      </c>
      <c r="J25" s="49">
        <f>IF('Datos Mun'!B23="AMM",0,$J$5*'Datos Mun'!AC23)</f>
        <v>56122197.299898513</v>
      </c>
      <c r="K25" s="49">
        <f>IF('Datos Mun'!B23="AMM",0,$K$5*'Datos Mun'!AD23)</f>
        <v>60051967.543941014</v>
      </c>
      <c r="L25" s="50">
        <f t="shared" si="3"/>
        <v>142225668.35591248</v>
      </c>
      <c r="M25" s="56">
        <f t="shared" si="4"/>
        <v>2.1197094557889335E-2</v>
      </c>
      <c r="O25" s="44" t="s">
        <v>19</v>
      </c>
      <c r="P25" s="49">
        <f>IF('Datos Mun'!D23="Zona de Crec",'Datos Mun'!Z23*'Art 14 F I'!$P$5,0)</f>
        <v>0</v>
      </c>
      <c r="Q25" s="49">
        <f>IF('Datos Mun'!D23="Zona de Crec",$Q$5*'Datos Mun'!AC23,0)</f>
        <v>0</v>
      </c>
      <c r="R25" s="49">
        <f>IF('Datos Mun'!D23="Zona de Crec",$R$5*'Datos Mun'!AD23,0)</f>
        <v>0</v>
      </c>
      <c r="S25" s="50">
        <f t="shared" si="5"/>
        <v>0</v>
      </c>
      <c r="T25" s="56">
        <f t="shared" si="6"/>
        <v>0</v>
      </c>
      <c r="U25" s="39"/>
      <c r="V25" s="44" t="s">
        <v>19</v>
      </c>
      <c r="W25" s="49">
        <f t="shared" si="7"/>
        <v>26051503.512072958</v>
      </c>
      <c r="X25" s="49">
        <f t="shared" si="8"/>
        <v>56122197.299898513</v>
      </c>
      <c r="Y25" s="49">
        <f t="shared" si="9"/>
        <v>60051967.543941014</v>
      </c>
      <c r="Z25" s="50">
        <f t="shared" si="10"/>
        <v>142225668.35591248</v>
      </c>
      <c r="AA25" s="56">
        <f t="shared" si="11"/>
        <v>3.3101270077446131E-3</v>
      </c>
    </row>
    <row r="26" spans="1:27">
      <c r="A26" s="44" t="s">
        <v>20</v>
      </c>
      <c r="B26" s="49">
        <f>IF('Datos Mun'!B24="AMM",$B$5*'Datos Mun'!Z24,0)</f>
        <v>603890584.38568759</v>
      </c>
      <c r="C26" s="49">
        <f>IF('Datos Mun'!B24="AMM",$C$5*'Datos Mun'!AC24,0)</f>
        <v>763322696.27716088</v>
      </c>
      <c r="D26" s="49">
        <f>IF('Datos Mun'!B24="AMM",$D$5*'Datos Mun'!AD24,0)</f>
        <v>1017528128.5554911</v>
      </c>
      <c r="E26" s="50">
        <f t="shared" si="1"/>
        <v>2384741409.2183394</v>
      </c>
      <c r="F26" s="56">
        <f t="shared" si="2"/>
        <v>6.5772990055245575E-2</v>
      </c>
      <c r="G26" s="39"/>
      <c r="H26" s="44" t="s">
        <v>20</v>
      </c>
      <c r="I26" s="49">
        <f>IF('Datos Mun'!B24="AMM",0,$B$5*'Datos Mun'!Z24)</f>
        <v>0</v>
      </c>
      <c r="J26" s="49">
        <f>IF('Datos Mun'!B24="AMM",0,$J$5*'Datos Mun'!AC24)</f>
        <v>0</v>
      </c>
      <c r="K26" s="49">
        <f>IF('Datos Mun'!B24="AMM",0,$K$5*'Datos Mun'!AD24)</f>
        <v>0</v>
      </c>
      <c r="L26" s="50">
        <f t="shared" si="3"/>
        <v>0</v>
      </c>
      <c r="M26" s="56">
        <f t="shared" si="4"/>
        <v>0</v>
      </c>
      <c r="O26" s="44" t="s">
        <v>20</v>
      </c>
      <c r="P26" s="49">
        <f>IF('Datos Mun'!D24="Zona de Crec",'Datos Mun'!Z24*'Art 14 F I'!$P$5,0)</f>
        <v>603890584.38568759</v>
      </c>
      <c r="Q26" s="49">
        <f>IF('Datos Mun'!D24="Zona de Crec",$Q$5*'Datos Mun'!AC24,0)</f>
        <v>763322696.27716088</v>
      </c>
      <c r="R26" s="49">
        <f>IF('Datos Mun'!D24="Zona de Crec",$R$5*'Datos Mun'!AD24,0)</f>
        <v>1017528128.5554911</v>
      </c>
      <c r="S26" s="50">
        <f t="shared" si="5"/>
        <v>2384741409.2183394</v>
      </c>
      <c r="T26" s="56">
        <f t="shared" si="6"/>
        <v>0.16258585618909727</v>
      </c>
      <c r="U26" s="39"/>
      <c r="V26" s="44" t="s">
        <v>20</v>
      </c>
      <c r="W26" s="49">
        <f t="shared" si="7"/>
        <v>603890584.38568759</v>
      </c>
      <c r="X26" s="49">
        <f t="shared" si="8"/>
        <v>763322696.27716088</v>
      </c>
      <c r="Y26" s="49">
        <f t="shared" si="9"/>
        <v>1017528128.5554911</v>
      </c>
      <c r="Z26" s="50">
        <f t="shared" si="10"/>
        <v>2384741409.2183394</v>
      </c>
      <c r="AA26" s="56">
        <f t="shared" si="11"/>
        <v>5.5501914924293058E-2</v>
      </c>
    </row>
    <row r="27" spans="1:27">
      <c r="A27" s="44" t="s">
        <v>21</v>
      </c>
      <c r="B27" s="49">
        <f>IF('Datos Mun'!B25="AMM",$B$5*'Datos Mun'!Z25,0)</f>
        <v>0</v>
      </c>
      <c r="C27" s="49">
        <f>IF('Datos Mun'!B25="AMM",$C$5*'Datos Mun'!AC25,0)</f>
        <v>0</v>
      </c>
      <c r="D27" s="49">
        <f>IF('Datos Mun'!B25="AMM",$D$5*'Datos Mun'!AD25,0)</f>
        <v>0</v>
      </c>
      <c r="E27" s="50">
        <f t="shared" si="1"/>
        <v>0</v>
      </c>
      <c r="F27" s="56">
        <f t="shared" si="2"/>
        <v>0</v>
      </c>
      <c r="G27" s="39"/>
      <c r="H27" s="44" t="s">
        <v>21</v>
      </c>
      <c r="I27" s="49">
        <f>IF('Datos Mun'!B25="AMM",0,$B$5*'Datos Mun'!Z25)</f>
        <v>19288883.294415135</v>
      </c>
      <c r="J27" s="49">
        <f>IF('Datos Mun'!B25="AMM",0,$J$5*'Datos Mun'!AC25)</f>
        <v>84524181.698117912</v>
      </c>
      <c r="K27" s="49">
        <f>IF('Datos Mun'!B25="AMM",0,$K$5*'Datos Mun'!AD25)</f>
        <v>87974914.976843312</v>
      </c>
      <c r="L27" s="50">
        <f t="shared" si="3"/>
        <v>191787979.96937636</v>
      </c>
      <c r="M27" s="56">
        <f t="shared" si="4"/>
        <v>2.8583785145618934E-2</v>
      </c>
      <c r="O27" s="44" t="s">
        <v>21</v>
      </c>
      <c r="P27" s="49">
        <f>IF('Datos Mun'!D25="Zona de Crec",'Datos Mun'!Z25*'Art 14 F I'!$P$5,0)</f>
        <v>0</v>
      </c>
      <c r="Q27" s="49">
        <f>IF('Datos Mun'!D25="Zona de Crec",$Q$5*'Datos Mun'!AC25,0)</f>
        <v>0</v>
      </c>
      <c r="R27" s="49">
        <f>IF('Datos Mun'!D25="Zona de Crec",$R$5*'Datos Mun'!AD25,0)</f>
        <v>0</v>
      </c>
      <c r="S27" s="50">
        <f t="shared" si="5"/>
        <v>0</v>
      </c>
      <c r="T27" s="56">
        <f t="shared" si="6"/>
        <v>0</v>
      </c>
      <c r="U27" s="39"/>
      <c r="V27" s="44" t="s">
        <v>21</v>
      </c>
      <c r="W27" s="49">
        <f t="shared" si="7"/>
        <v>19288883.294415135</v>
      </c>
      <c r="X27" s="49">
        <f t="shared" si="8"/>
        <v>84524181.698117912</v>
      </c>
      <c r="Y27" s="49">
        <f t="shared" si="9"/>
        <v>87974914.976843312</v>
      </c>
      <c r="Z27" s="50">
        <f t="shared" si="10"/>
        <v>191787979.96937636</v>
      </c>
      <c r="AA27" s="56">
        <f t="shared" si="11"/>
        <v>4.4636286796610747E-3</v>
      </c>
    </row>
    <row r="28" spans="1:27">
      <c r="A28" s="44" t="s">
        <v>22</v>
      </c>
      <c r="B28" s="49">
        <f>IF('Datos Mun'!B26="AMM",$B$5*'Datos Mun'!Z26,0)</f>
        <v>0</v>
      </c>
      <c r="C28" s="49">
        <f>IF('Datos Mun'!B26="AMM",$C$5*'Datos Mun'!AC26,0)</f>
        <v>0</v>
      </c>
      <c r="D28" s="49">
        <f>IF('Datos Mun'!B26="AMM",$D$5*'Datos Mun'!AD26,0)</f>
        <v>0</v>
      </c>
      <c r="E28" s="50">
        <f t="shared" si="1"/>
        <v>0</v>
      </c>
      <c r="F28" s="56">
        <f t="shared" si="2"/>
        <v>0</v>
      </c>
      <c r="G28" s="39"/>
      <c r="H28" s="44" t="s">
        <v>22</v>
      </c>
      <c r="I28" s="49">
        <f>IF('Datos Mun'!B26="AMM",0,$B$5*'Datos Mun'!Z26)</f>
        <v>867845.92511252535</v>
      </c>
      <c r="J28" s="49">
        <f>IF('Datos Mun'!B26="AMM",0,$J$5*'Datos Mun'!AC26)</f>
        <v>12595753.46799496</v>
      </c>
      <c r="K28" s="49">
        <f>IF('Datos Mun'!B26="AMM",0,$K$5*'Datos Mun'!AD26)</f>
        <v>24130287.399855468</v>
      </c>
      <c r="L28" s="50">
        <f t="shared" si="3"/>
        <v>37593886.792962953</v>
      </c>
      <c r="M28" s="56">
        <f t="shared" si="4"/>
        <v>5.6029349860734576E-3</v>
      </c>
      <c r="O28" s="44" t="s">
        <v>22</v>
      </c>
      <c r="P28" s="49">
        <f>IF('Datos Mun'!D26="Zona de Crec",'Datos Mun'!Z26*'Art 14 F I'!$P$5,0)</f>
        <v>0</v>
      </c>
      <c r="Q28" s="49">
        <f>IF('Datos Mun'!D26="Zona de Crec",$Q$5*'Datos Mun'!AC26,0)</f>
        <v>0</v>
      </c>
      <c r="R28" s="49">
        <f>IF('Datos Mun'!D26="Zona de Crec",$R$5*'Datos Mun'!AD26,0)</f>
        <v>0</v>
      </c>
      <c r="S28" s="50">
        <f t="shared" si="5"/>
        <v>0</v>
      </c>
      <c r="T28" s="56">
        <f t="shared" si="6"/>
        <v>0</v>
      </c>
      <c r="U28" s="39"/>
      <c r="V28" s="44" t="s">
        <v>22</v>
      </c>
      <c r="W28" s="49">
        <f t="shared" si="7"/>
        <v>867845.92511252535</v>
      </c>
      <c r="X28" s="49">
        <f t="shared" si="8"/>
        <v>12595753.46799496</v>
      </c>
      <c r="Y28" s="49">
        <f t="shared" si="9"/>
        <v>24130287.399855468</v>
      </c>
      <c r="Z28" s="50">
        <f t="shared" si="10"/>
        <v>37593886.792962953</v>
      </c>
      <c r="AA28" s="56">
        <f t="shared" si="11"/>
        <v>8.7495134625118496E-4</v>
      </c>
    </row>
    <row r="29" spans="1:27">
      <c r="A29" s="44" t="s">
        <v>23</v>
      </c>
      <c r="B29" s="49">
        <f>IF('Datos Mun'!B27="AMM",$B$5*'Datos Mun'!Z27,0)</f>
        <v>0</v>
      </c>
      <c r="C29" s="49">
        <f>IF('Datos Mun'!B27="AMM",$C$5*'Datos Mun'!AC27,0)</f>
        <v>0</v>
      </c>
      <c r="D29" s="49">
        <f>IF('Datos Mun'!B27="AMM",$D$5*'Datos Mun'!AD27,0)</f>
        <v>0</v>
      </c>
      <c r="E29" s="50">
        <f t="shared" si="1"/>
        <v>0</v>
      </c>
      <c r="F29" s="56">
        <f t="shared" si="2"/>
        <v>0</v>
      </c>
      <c r="G29" s="39"/>
      <c r="H29" s="44" t="s">
        <v>23</v>
      </c>
      <c r="I29" s="49">
        <f>IF('Datos Mun'!B27="AMM",0,$B$5*'Datos Mun'!Z27)</f>
        <v>178500.46059874177</v>
      </c>
      <c r="J29" s="49">
        <f>IF('Datos Mun'!B27="AMM",0,$J$5*'Datos Mun'!AC27)</f>
        <v>42732944.461820565</v>
      </c>
      <c r="K29" s="49">
        <f>IF('Datos Mun'!B27="AMM",0,$K$5*'Datos Mun'!AD27)</f>
        <v>64623999.686574988</v>
      </c>
      <c r="L29" s="50">
        <f t="shared" si="3"/>
        <v>107535444.60899431</v>
      </c>
      <c r="M29" s="56">
        <f t="shared" si="4"/>
        <v>1.602691704001941E-2</v>
      </c>
      <c r="O29" s="44" t="s">
        <v>23</v>
      </c>
      <c r="P29" s="49">
        <f>IF('Datos Mun'!D27="Zona de Crec",'Datos Mun'!Z27*'Art 14 F I'!$P$5,0)</f>
        <v>0</v>
      </c>
      <c r="Q29" s="49">
        <f>IF('Datos Mun'!D27="Zona de Crec",$Q$5*'Datos Mun'!AC27,0)</f>
        <v>0</v>
      </c>
      <c r="R29" s="49">
        <f>IF('Datos Mun'!D27="Zona de Crec",$R$5*'Datos Mun'!AD27,0)</f>
        <v>0</v>
      </c>
      <c r="S29" s="50">
        <f t="shared" si="5"/>
        <v>0</v>
      </c>
      <c r="T29" s="56">
        <f t="shared" si="6"/>
        <v>0</v>
      </c>
      <c r="U29" s="39"/>
      <c r="V29" s="44" t="s">
        <v>23</v>
      </c>
      <c r="W29" s="49">
        <f t="shared" si="7"/>
        <v>178500.46059874177</v>
      </c>
      <c r="X29" s="49">
        <f t="shared" si="8"/>
        <v>42732944.461820565</v>
      </c>
      <c r="Y29" s="49">
        <f t="shared" si="9"/>
        <v>64623999.686574988</v>
      </c>
      <c r="Z29" s="50">
        <f t="shared" si="10"/>
        <v>107535444.60899431</v>
      </c>
      <c r="AA29" s="56">
        <f t="shared" si="11"/>
        <v>2.5027548374692479E-3</v>
      </c>
    </row>
    <row r="30" spans="1:27">
      <c r="A30" s="44" t="s">
        <v>24</v>
      </c>
      <c r="B30" s="49">
        <f>IF('Datos Mun'!B28="AMM",$B$5*'Datos Mun'!Z28,0)</f>
        <v>0</v>
      </c>
      <c r="C30" s="49">
        <f>IF('Datos Mun'!B28="AMM",$C$5*'Datos Mun'!AC28,0)</f>
        <v>0</v>
      </c>
      <c r="D30" s="49">
        <f>IF('Datos Mun'!B28="AMM",$D$5*'Datos Mun'!AD28,0)</f>
        <v>0</v>
      </c>
      <c r="E30" s="50">
        <f t="shared" si="1"/>
        <v>0</v>
      </c>
      <c r="F30" s="56">
        <f t="shared" si="2"/>
        <v>0</v>
      </c>
      <c r="G30" s="39"/>
      <c r="H30" s="44" t="s">
        <v>24</v>
      </c>
      <c r="I30" s="49">
        <f>IF('Datos Mun'!B28="AMM",0,$B$5*'Datos Mun'!Z28)</f>
        <v>27968390.010690063</v>
      </c>
      <c r="J30" s="49">
        <f>IF('Datos Mun'!B28="AMM",0,$J$5*'Datos Mun'!AC28)</f>
        <v>165870700.09125212</v>
      </c>
      <c r="K30" s="49">
        <f>IF('Datos Mun'!B28="AMM",0,$K$5*'Datos Mun'!AD28)</f>
        <v>204277798.80427939</v>
      </c>
      <c r="L30" s="50">
        <f t="shared" si="3"/>
        <v>398116888.90622157</v>
      </c>
      <c r="M30" s="56">
        <f t="shared" si="4"/>
        <v>5.9334727948825182E-2</v>
      </c>
      <c r="O30" s="44" t="s">
        <v>24</v>
      </c>
      <c r="P30" s="49">
        <f>IF('Datos Mun'!D28="Zona de Crec",'Datos Mun'!Z28*'Art 14 F I'!$P$5,0)</f>
        <v>27968390.010690063</v>
      </c>
      <c r="Q30" s="49">
        <f>IF('Datos Mun'!D28="Zona de Crec",$Q$5*'Datos Mun'!AC28,0)</f>
        <v>165870700.09125212</v>
      </c>
      <c r="R30" s="49">
        <f>IF('Datos Mun'!D28="Zona de Crec",$R$5*'Datos Mun'!AD28,0)</f>
        <v>204277798.80427939</v>
      </c>
      <c r="S30" s="50">
        <f t="shared" si="5"/>
        <v>398116888.90622157</v>
      </c>
      <c r="T30" s="56">
        <f t="shared" si="6"/>
        <v>2.7142639028260127E-2</v>
      </c>
      <c r="U30" s="39"/>
      <c r="V30" s="44" t="s">
        <v>24</v>
      </c>
      <c r="W30" s="49">
        <f t="shared" si="7"/>
        <v>27968390.010690063</v>
      </c>
      <c r="X30" s="49">
        <f t="shared" si="8"/>
        <v>165870700.09125212</v>
      </c>
      <c r="Y30" s="49">
        <f t="shared" si="9"/>
        <v>204277798.80427939</v>
      </c>
      <c r="Z30" s="50">
        <f t="shared" si="10"/>
        <v>398116888.90622157</v>
      </c>
      <c r="AA30" s="56">
        <f t="shared" si="11"/>
        <v>9.2656795460435079E-3</v>
      </c>
    </row>
    <row r="31" spans="1:27">
      <c r="A31" s="44" t="s">
        <v>25</v>
      </c>
      <c r="B31" s="49">
        <f>IF('Datos Mun'!B29="AMM",$B$5*'Datos Mun'!Z29,0)</f>
        <v>976561967.83334148</v>
      </c>
      <c r="C31" s="49">
        <f>IF('Datos Mun'!B29="AMM",$C$5*'Datos Mun'!AC29,0)</f>
        <v>1018142531.4330516</v>
      </c>
      <c r="D31" s="49">
        <f>IF('Datos Mun'!B29="AMM",$D$5*'Datos Mun'!AD29,0)</f>
        <v>817423276.38111353</v>
      </c>
      <c r="E31" s="50">
        <f t="shared" si="1"/>
        <v>2812127775.6475067</v>
      </c>
      <c r="F31" s="56">
        <f t="shared" si="2"/>
        <v>7.7560632572891586E-2</v>
      </c>
      <c r="G31" s="39"/>
      <c r="H31" s="44" t="s">
        <v>25</v>
      </c>
      <c r="I31" s="49">
        <f>IF('Datos Mun'!B29="AMM",0,$B$5*'Datos Mun'!Z29)</f>
        <v>0</v>
      </c>
      <c r="J31" s="49">
        <f>IF('Datos Mun'!B29="AMM",0,$J$5*'Datos Mun'!AC29)</f>
        <v>0</v>
      </c>
      <c r="K31" s="49">
        <f>IF('Datos Mun'!B29="AMM",0,$K$5*'Datos Mun'!AD29)</f>
        <v>0</v>
      </c>
      <c r="L31" s="50">
        <f t="shared" si="3"/>
        <v>0</v>
      </c>
      <c r="M31" s="56">
        <f t="shared" si="4"/>
        <v>0</v>
      </c>
      <c r="O31" s="44" t="s">
        <v>25</v>
      </c>
      <c r="P31" s="49">
        <f>IF('Datos Mun'!D29="Zona de Crec",'Datos Mun'!Z29*'Art 14 F I'!$P$5,0)</f>
        <v>0</v>
      </c>
      <c r="Q31" s="49">
        <f>IF('Datos Mun'!D29="Zona de Crec",$Q$5*'Datos Mun'!AC29,0)</f>
        <v>0</v>
      </c>
      <c r="R31" s="49">
        <f>IF('Datos Mun'!D29="Zona de Crec",$R$5*'Datos Mun'!AD29,0)</f>
        <v>0</v>
      </c>
      <c r="S31" s="50">
        <f t="shared" si="5"/>
        <v>0</v>
      </c>
      <c r="T31" s="56">
        <f t="shared" si="6"/>
        <v>0</v>
      </c>
      <c r="U31" s="39"/>
      <c r="V31" s="44" t="s">
        <v>25</v>
      </c>
      <c r="W31" s="49">
        <f t="shared" si="7"/>
        <v>976561967.83334148</v>
      </c>
      <c r="X31" s="49">
        <f t="shared" si="8"/>
        <v>1018142531.4330516</v>
      </c>
      <c r="Y31" s="49">
        <f t="shared" si="9"/>
        <v>817423276.38111353</v>
      </c>
      <c r="Z31" s="50">
        <f t="shared" si="10"/>
        <v>2812127775.6475067</v>
      </c>
      <c r="AA31" s="56">
        <f t="shared" si="11"/>
        <v>6.5448805458277401E-2</v>
      </c>
    </row>
    <row r="32" spans="1:27">
      <c r="A32" s="44" t="s">
        <v>26</v>
      </c>
      <c r="B32" s="49">
        <f>IF('Datos Mun'!B30="AMM",$B$5*'Datos Mun'!Z30,0)</f>
        <v>0</v>
      </c>
      <c r="C32" s="49">
        <f>IF('Datos Mun'!B30="AMM",$C$5*'Datos Mun'!AC30,0)</f>
        <v>0</v>
      </c>
      <c r="D32" s="49">
        <f>IF('Datos Mun'!B30="AMM",$D$5*'Datos Mun'!AD30,0)</f>
        <v>0</v>
      </c>
      <c r="E32" s="50">
        <f t="shared" si="1"/>
        <v>0</v>
      </c>
      <c r="F32" s="56">
        <f t="shared" si="2"/>
        <v>0</v>
      </c>
      <c r="G32" s="39"/>
      <c r="H32" s="44" t="s">
        <v>26</v>
      </c>
      <c r="I32" s="49">
        <f>IF('Datos Mun'!B30="AMM",0,$B$5*'Datos Mun'!Z30)</f>
        <v>1005941.4949979738</v>
      </c>
      <c r="J32" s="49">
        <f>IF('Datos Mun'!B30="AMM",0,$J$5*'Datos Mun'!AC30)</f>
        <v>15564045.989424033</v>
      </c>
      <c r="K32" s="49">
        <f>IF('Datos Mun'!B30="AMM",0,$K$5*'Datos Mun'!AD30)</f>
        <v>22613631.144538525</v>
      </c>
      <c r="L32" s="50">
        <f t="shared" si="3"/>
        <v>39183618.628960535</v>
      </c>
      <c r="M32" s="56">
        <f t="shared" si="4"/>
        <v>5.8398661704290198E-3</v>
      </c>
      <c r="O32" s="44" t="s">
        <v>26</v>
      </c>
      <c r="P32" s="49">
        <f>IF('Datos Mun'!D30="Zona de Crec",'Datos Mun'!Z30*'Art 14 F I'!$P$5,0)</f>
        <v>0</v>
      </c>
      <c r="Q32" s="49">
        <f>IF('Datos Mun'!D30="Zona de Crec",$Q$5*'Datos Mun'!AC30,0)</f>
        <v>0</v>
      </c>
      <c r="R32" s="49">
        <f>IF('Datos Mun'!D30="Zona de Crec",$R$5*'Datos Mun'!AD30,0)</f>
        <v>0</v>
      </c>
      <c r="S32" s="50">
        <f t="shared" si="5"/>
        <v>0</v>
      </c>
      <c r="T32" s="56">
        <f t="shared" si="6"/>
        <v>0</v>
      </c>
      <c r="U32" s="39"/>
      <c r="V32" s="44" t="s">
        <v>26</v>
      </c>
      <c r="W32" s="49">
        <f t="shared" si="7"/>
        <v>1005941.4949979738</v>
      </c>
      <c r="X32" s="49">
        <f t="shared" si="8"/>
        <v>15564045.989424033</v>
      </c>
      <c r="Y32" s="49">
        <f t="shared" si="9"/>
        <v>22613631.144538525</v>
      </c>
      <c r="Z32" s="50">
        <f t="shared" si="10"/>
        <v>39183618.628960535</v>
      </c>
      <c r="AA32" s="56">
        <f t="shared" si="11"/>
        <v>9.119503939353105E-4</v>
      </c>
    </row>
    <row r="33" spans="1:27">
      <c r="A33" s="44" t="s">
        <v>27</v>
      </c>
      <c r="B33" s="49">
        <f>IF('Datos Mun'!B31="AMM",$B$5*'Datos Mun'!Z31,0)</f>
        <v>0</v>
      </c>
      <c r="C33" s="49">
        <f>IF('Datos Mun'!B31="AMM",$C$5*'Datos Mun'!AC31,0)</f>
        <v>0</v>
      </c>
      <c r="D33" s="49">
        <f>IF('Datos Mun'!B31="AMM",$D$5*'Datos Mun'!AD31,0)</f>
        <v>0</v>
      </c>
      <c r="E33" s="50">
        <f t="shared" si="1"/>
        <v>0</v>
      </c>
      <c r="F33" s="56">
        <f t="shared" si="2"/>
        <v>0</v>
      </c>
      <c r="G33" s="39"/>
      <c r="H33" s="44" t="s">
        <v>27</v>
      </c>
      <c r="I33" s="49">
        <f>IF('Datos Mun'!B31="AMM",0,$B$5*'Datos Mun'!Z31)</f>
        <v>1409078.7215300426</v>
      </c>
      <c r="J33" s="49">
        <f>IF('Datos Mun'!B31="AMM",0,$J$5*'Datos Mun'!AC31)</f>
        <v>29675478.740036752</v>
      </c>
      <c r="K33" s="49">
        <f>IF('Datos Mun'!B31="AMM",0,$K$5*'Datos Mun'!AD31)</f>
        <v>43318172.489087336</v>
      </c>
      <c r="L33" s="50">
        <f t="shared" si="3"/>
        <v>74402729.950654134</v>
      </c>
      <c r="M33" s="56">
        <f t="shared" si="4"/>
        <v>1.1088868277858635E-2</v>
      </c>
      <c r="O33" s="44" t="s">
        <v>27</v>
      </c>
      <c r="P33" s="49">
        <f>IF('Datos Mun'!D31="Zona de Crec",'Datos Mun'!Z31*'Art 14 F I'!$P$5,0)</f>
        <v>0</v>
      </c>
      <c r="Q33" s="49">
        <f>IF('Datos Mun'!D31="Zona de Crec",$Q$5*'Datos Mun'!AC31,0)</f>
        <v>0</v>
      </c>
      <c r="R33" s="49">
        <f>IF('Datos Mun'!D31="Zona de Crec",$R$5*'Datos Mun'!AD31,0)</f>
        <v>0</v>
      </c>
      <c r="S33" s="50">
        <f t="shared" si="5"/>
        <v>0</v>
      </c>
      <c r="T33" s="56">
        <f t="shared" si="6"/>
        <v>0</v>
      </c>
      <c r="U33" s="39"/>
      <c r="V33" s="44" t="s">
        <v>27</v>
      </c>
      <c r="W33" s="49">
        <f t="shared" si="7"/>
        <v>1409078.7215300426</v>
      </c>
      <c r="X33" s="49">
        <f t="shared" si="8"/>
        <v>29675478.740036752</v>
      </c>
      <c r="Y33" s="49">
        <f t="shared" si="9"/>
        <v>43318172.489087336</v>
      </c>
      <c r="Z33" s="50">
        <f t="shared" si="10"/>
        <v>74402729.950654134</v>
      </c>
      <c r="AA33" s="56">
        <f t="shared" si="11"/>
        <v>1.73163177017583E-3</v>
      </c>
    </row>
    <row r="34" spans="1:27">
      <c r="A34" s="44" t="s">
        <v>28</v>
      </c>
      <c r="B34" s="49">
        <f>IF('Datos Mun'!B32="AMM",$B$5*'Datos Mun'!Z32,0)</f>
        <v>0</v>
      </c>
      <c r="C34" s="49">
        <f>IF('Datos Mun'!B32="AMM",$C$5*'Datos Mun'!AC32,0)</f>
        <v>0</v>
      </c>
      <c r="D34" s="49">
        <f>IF('Datos Mun'!B32="AMM",$D$5*'Datos Mun'!AD32,0)</f>
        <v>0</v>
      </c>
      <c r="E34" s="50">
        <f t="shared" si="1"/>
        <v>0</v>
      </c>
      <c r="F34" s="56">
        <f t="shared" si="2"/>
        <v>0</v>
      </c>
      <c r="G34" s="39"/>
      <c r="H34" s="44" t="s">
        <v>28</v>
      </c>
      <c r="I34" s="49">
        <f>IF('Datos Mun'!B32="AMM",0,$B$5*'Datos Mun'!Z32)</f>
        <v>2846668.3758740122</v>
      </c>
      <c r="J34" s="49">
        <f>IF('Datos Mun'!B32="AMM",0,$J$5*'Datos Mun'!AC32)</f>
        <v>13318479.705453919</v>
      </c>
      <c r="K34" s="49">
        <f>IF('Datos Mun'!B32="AMM",0,$K$5*'Datos Mun'!AD32)</f>
        <v>40038127.726268955</v>
      </c>
      <c r="L34" s="50">
        <f t="shared" si="3"/>
        <v>56203275.807596885</v>
      </c>
      <c r="M34" s="56">
        <f t="shared" si="4"/>
        <v>8.3764496629081201E-3</v>
      </c>
      <c r="O34" s="44" t="s">
        <v>28</v>
      </c>
      <c r="P34" s="49">
        <f>IF('Datos Mun'!D32="Zona de Crec",'Datos Mun'!Z32*'Art 14 F I'!$P$5,0)</f>
        <v>0</v>
      </c>
      <c r="Q34" s="49">
        <f>IF('Datos Mun'!D32="Zona de Crec",$Q$5*'Datos Mun'!AC32,0)</f>
        <v>0</v>
      </c>
      <c r="R34" s="49">
        <f>IF('Datos Mun'!D32="Zona de Crec",$R$5*'Datos Mun'!AD32,0)</f>
        <v>0</v>
      </c>
      <c r="S34" s="50">
        <f t="shared" si="5"/>
        <v>0</v>
      </c>
      <c r="T34" s="56">
        <f t="shared" si="6"/>
        <v>0</v>
      </c>
      <c r="U34" s="39"/>
      <c r="V34" s="44" t="s">
        <v>28</v>
      </c>
      <c r="W34" s="49">
        <f t="shared" si="7"/>
        <v>2846668.3758740122</v>
      </c>
      <c r="X34" s="49">
        <f t="shared" si="8"/>
        <v>13318479.705453919</v>
      </c>
      <c r="Y34" s="49">
        <f t="shared" si="9"/>
        <v>40038127.726268955</v>
      </c>
      <c r="Z34" s="50">
        <f t="shared" si="10"/>
        <v>56203275.807596885</v>
      </c>
      <c r="AA34" s="56">
        <f t="shared" si="11"/>
        <v>1.3080619224716196E-3</v>
      </c>
    </row>
    <row r="35" spans="1:27">
      <c r="A35" s="44" t="s">
        <v>29</v>
      </c>
      <c r="B35" s="49">
        <f>IF('Datos Mun'!B33="AMM",$B$5*'Datos Mun'!Z33,0)</f>
        <v>0</v>
      </c>
      <c r="C35" s="49">
        <f>IF('Datos Mun'!B33="AMM",$C$5*'Datos Mun'!AC33,0)</f>
        <v>0</v>
      </c>
      <c r="D35" s="49">
        <f>IF('Datos Mun'!B33="AMM",$D$5*'Datos Mun'!AD33,0)</f>
        <v>0</v>
      </c>
      <c r="E35" s="50">
        <f t="shared" si="1"/>
        <v>0</v>
      </c>
      <c r="F35" s="56">
        <f t="shared" si="2"/>
        <v>0</v>
      </c>
      <c r="G35" s="39"/>
      <c r="H35" s="44" t="s">
        <v>29</v>
      </c>
      <c r="I35" s="49">
        <f>IF('Datos Mun'!B33="AMM",0,$B$5*'Datos Mun'!Z33)</f>
        <v>2474671.4501558882</v>
      </c>
      <c r="J35" s="49">
        <f>IF('Datos Mun'!B33="AMM",0,$J$5*'Datos Mun'!AC33)</f>
        <v>14299822.292396124</v>
      </c>
      <c r="K35" s="49">
        <f>IF('Datos Mun'!B33="AMM",0,$K$5*'Datos Mun'!AD33)</f>
        <v>48918114.730322771</v>
      </c>
      <c r="L35" s="50">
        <f t="shared" si="3"/>
        <v>65692608.472874783</v>
      </c>
      <c r="M35" s="56">
        <f t="shared" si="4"/>
        <v>9.7907251880109819E-3</v>
      </c>
      <c r="O35" s="44" t="s">
        <v>29</v>
      </c>
      <c r="P35" s="49">
        <f>IF('Datos Mun'!D33="Zona de Crec",'Datos Mun'!Z33*'Art 14 F I'!$P$5,0)</f>
        <v>0</v>
      </c>
      <c r="Q35" s="49">
        <f>IF('Datos Mun'!D33="Zona de Crec",$Q$5*'Datos Mun'!AC33,0)</f>
        <v>0</v>
      </c>
      <c r="R35" s="49">
        <f>IF('Datos Mun'!D33="Zona de Crec",$R$5*'Datos Mun'!AD33,0)</f>
        <v>0</v>
      </c>
      <c r="S35" s="50">
        <f t="shared" si="5"/>
        <v>0</v>
      </c>
      <c r="T35" s="56">
        <f t="shared" si="6"/>
        <v>0</v>
      </c>
      <c r="U35" s="39"/>
      <c r="V35" s="44" t="s">
        <v>29</v>
      </c>
      <c r="W35" s="49">
        <f t="shared" si="7"/>
        <v>2474671.4501558882</v>
      </c>
      <c r="X35" s="49">
        <f t="shared" si="8"/>
        <v>14299822.292396124</v>
      </c>
      <c r="Y35" s="49">
        <f t="shared" si="9"/>
        <v>48918114.730322771</v>
      </c>
      <c r="Z35" s="50">
        <f t="shared" si="10"/>
        <v>65692608.472874783</v>
      </c>
      <c r="AA35" s="56">
        <f t="shared" si="11"/>
        <v>1.5289144359729476E-3</v>
      </c>
    </row>
    <row r="36" spans="1:27">
      <c r="A36" s="44" t="s">
        <v>30</v>
      </c>
      <c r="B36" s="49">
        <f>IF('Datos Mun'!B34="AMM",$B$5*'Datos Mun'!Z34,0)</f>
        <v>0</v>
      </c>
      <c r="C36" s="49">
        <f>IF('Datos Mun'!B34="AMM",$C$5*'Datos Mun'!AC34,0)</f>
        <v>0</v>
      </c>
      <c r="D36" s="49">
        <f>IF('Datos Mun'!B34="AMM",$D$5*'Datos Mun'!AD34,0)</f>
        <v>0</v>
      </c>
      <c r="E36" s="50">
        <f t="shared" si="1"/>
        <v>0</v>
      </c>
      <c r="F36" s="56">
        <f t="shared" si="2"/>
        <v>0</v>
      </c>
      <c r="G36" s="39"/>
      <c r="H36" s="44" t="s">
        <v>30</v>
      </c>
      <c r="I36" s="49">
        <f>IF('Datos Mun'!B34="AMM",0,$B$5*'Datos Mun'!Z34)</f>
        <v>326415.73326174688</v>
      </c>
      <c r="J36" s="49">
        <f>IF('Datos Mun'!B34="AMM",0,$J$5*'Datos Mun'!AC34)</f>
        <v>19282407.154044226</v>
      </c>
      <c r="K36" s="49">
        <f>IF('Datos Mun'!B34="AMM",0,$K$5*'Datos Mun'!AD34)</f>
        <v>48926383.48816362</v>
      </c>
      <c r="L36" s="50">
        <f t="shared" si="3"/>
        <v>68535206.375469595</v>
      </c>
      <c r="M36" s="56">
        <f t="shared" si="4"/>
        <v>1.0214381601286366E-2</v>
      </c>
      <c r="O36" s="44" t="s">
        <v>30</v>
      </c>
      <c r="P36" s="49">
        <f>IF('Datos Mun'!D34="Zona de Crec",'Datos Mun'!Z34*'Art 14 F I'!$P$5,0)</f>
        <v>0</v>
      </c>
      <c r="Q36" s="49">
        <f>IF('Datos Mun'!D34="Zona de Crec",$Q$5*'Datos Mun'!AC34,0)</f>
        <v>0</v>
      </c>
      <c r="R36" s="49">
        <f>IF('Datos Mun'!D34="Zona de Crec",$R$5*'Datos Mun'!AD34,0)</f>
        <v>0</v>
      </c>
      <c r="S36" s="50">
        <f t="shared" si="5"/>
        <v>0</v>
      </c>
      <c r="T36" s="56">
        <f t="shared" si="6"/>
        <v>0</v>
      </c>
      <c r="U36" s="39"/>
      <c r="V36" s="44" t="s">
        <v>30</v>
      </c>
      <c r="W36" s="49">
        <f t="shared" si="7"/>
        <v>326415.73326174688</v>
      </c>
      <c r="X36" s="49">
        <f t="shared" si="8"/>
        <v>19282407.154044226</v>
      </c>
      <c r="Y36" s="49">
        <f t="shared" si="9"/>
        <v>48926383.48816362</v>
      </c>
      <c r="Z36" s="50">
        <f t="shared" si="10"/>
        <v>68535206.375469595</v>
      </c>
      <c r="AA36" s="56">
        <f t="shared" si="11"/>
        <v>1.5950723960536191E-3</v>
      </c>
    </row>
    <row r="37" spans="1:27">
      <c r="A37" s="44" t="s">
        <v>31</v>
      </c>
      <c r="B37" s="49">
        <f>IF('Datos Mun'!B35="AMM",$B$5*'Datos Mun'!Z35,0)</f>
        <v>302164690.76949322</v>
      </c>
      <c r="C37" s="49">
        <f>IF('Datos Mun'!B35="AMM",$C$5*'Datos Mun'!AC35,0)</f>
        <v>750486227.14591575</v>
      </c>
      <c r="D37" s="49">
        <f>IF('Datos Mun'!B35="AMM",$D$5*'Datos Mun'!AD35,0)</f>
        <v>994759682.56262589</v>
      </c>
      <c r="E37" s="50">
        <f t="shared" si="1"/>
        <v>2047410600.478035</v>
      </c>
      <c r="F37" s="56">
        <f t="shared" si="2"/>
        <v>5.6469148622863001E-2</v>
      </c>
      <c r="G37" s="39"/>
      <c r="H37" s="44" t="s">
        <v>31</v>
      </c>
      <c r="I37" s="49">
        <f>IF('Datos Mun'!B35="AMM",0,$B$5*'Datos Mun'!Z35)</f>
        <v>0</v>
      </c>
      <c r="J37" s="49">
        <f>IF('Datos Mun'!B35="AMM",0,$J$5*'Datos Mun'!AC35)</f>
        <v>0</v>
      </c>
      <c r="K37" s="49">
        <f>IF('Datos Mun'!B35="AMM",0,$K$5*'Datos Mun'!AD35)</f>
        <v>0</v>
      </c>
      <c r="L37" s="50">
        <f t="shared" si="3"/>
        <v>0</v>
      </c>
      <c r="M37" s="56">
        <f t="shared" si="4"/>
        <v>0</v>
      </c>
      <c r="O37" s="44" t="s">
        <v>31</v>
      </c>
      <c r="P37" s="49">
        <f>IF('Datos Mun'!D35="Zona de Crec",'Datos Mun'!Z35*'Art 14 F I'!$P$5,0)</f>
        <v>302164690.76949322</v>
      </c>
      <c r="Q37" s="49">
        <f>IF('Datos Mun'!D35="Zona de Crec",$Q$5*'Datos Mun'!AC35,0)</f>
        <v>750486227.14591575</v>
      </c>
      <c r="R37" s="49">
        <f>IF('Datos Mun'!D35="Zona de Crec",$R$5*'Datos Mun'!AD35,0)</f>
        <v>994759682.56262589</v>
      </c>
      <c r="S37" s="50">
        <f t="shared" si="5"/>
        <v>2047410600.478035</v>
      </c>
      <c r="T37" s="56">
        <f t="shared" si="6"/>
        <v>0.13958746393323421</v>
      </c>
      <c r="U37" s="39"/>
      <c r="V37" s="44" t="s">
        <v>31</v>
      </c>
      <c r="W37" s="49">
        <f t="shared" si="7"/>
        <v>302164690.76949322</v>
      </c>
      <c r="X37" s="49">
        <f t="shared" si="8"/>
        <v>750486227.14591575</v>
      </c>
      <c r="Y37" s="49">
        <f t="shared" si="9"/>
        <v>994759682.56262589</v>
      </c>
      <c r="Z37" s="50">
        <f t="shared" si="10"/>
        <v>2047410600.478035</v>
      </c>
      <c r="AA37" s="56">
        <f t="shared" si="11"/>
        <v>4.7650956419662514E-2</v>
      </c>
    </row>
    <row r="38" spans="1:27">
      <c r="A38" s="44" t="s">
        <v>32</v>
      </c>
      <c r="B38" s="49">
        <f>IF('Datos Mun'!B36="AMM",$B$5*'Datos Mun'!Z36,0)</f>
        <v>0</v>
      </c>
      <c r="C38" s="49">
        <f>IF('Datos Mun'!B36="AMM",$C$5*'Datos Mun'!AC36,0)</f>
        <v>0</v>
      </c>
      <c r="D38" s="49">
        <f>IF('Datos Mun'!B36="AMM",$D$5*'Datos Mun'!AD36,0)</f>
        <v>0</v>
      </c>
      <c r="E38" s="50">
        <f t="shared" si="1"/>
        <v>0</v>
      </c>
      <c r="F38" s="56">
        <f t="shared" si="2"/>
        <v>0</v>
      </c>
      <c r="G38" s="39"/>
      <c r="H38" s="44" t="s">
        <v>32</v>
      </c>
      <c r="I38" s="49">
        <f>IF('Datos Mun'!B36="AMM",0,$B$5*'Datos Mun'!Z36)</f>
        <v>4143322.295719367</v>
      </c>
      <c r="J38" s="49">
        <f>IF('Datos Mun'!B36="AMM",0,$J$5*'Datos Mun'!AC36)</f>
        <v>94538805.154058233</v>
      </c>
      <c r="K38" s="49">
        <f>IF('Datos Mun'!B36="AMM",0,$K$5*'Datos Mun'!AD36)</f>
        <v>64291670.806592897</v>
      </c>
      <c r="L38" s="50">
        <f t="shared" si="3"/>
        <v>162973798.25637048</v>
      </c>
      <c r="M38" s="56">
        <f t="shared" si="4"/>
        <v>2.4289363882290062E-2</v>
      </c>
      <c r="O38" s="44" t="s">
        <v>32</v>
      </c>
      <c r="P38" s="49">
        <f>IF('Datos Mun'!D36="Zona de Crec",'Datos Mun'!Z36*'Art 14 F I'!$P$5,0)</f>
        <v>0</v>
      </c>
      <c r="Q38" s="49">
        <f>IF('Datos Mun'!D36="Zona de Crec",$Q$5*'Datos Mun'!AC36,0)</f>
        <v>0</v>
      </c>
      <c r="R38" s="49">
        <f>IF('Datos Mun'!D36="Zona de Crec",$R$5*'Datos Mun'!AD36,0)</f>
        <v>0</v>
      </c>
      <c r="S38" s="50">
        <f t="shared" si="5"/>
        <v>0</v>
      </c>
      <c r="T38" s="56">
        <f t="shared" si="6"/>
        <v>0</v>
      </c>
      <c r="U38" s="39"/>
      <c r="V38" s="44" t="s">
        <v>32</v>
      </c>
      <c r="W38" s="49">
        <f t="shared" si="7"/>
        <v>4143322.295719367</v>
      </c>
      <c r="X38" s="49">
        <f t="shared" si="8"/>
        <v>94538805.154058233</v>
      </c>
      <c r="Y38" s="49">
        <f t="shared" si="9"/>
        <v>64291670.806592897</v>
      </c>
      <c r="Z38" s="50">
        <f t="shared" si="10"/>
        <v>162973798.25637048</v>
      </c>
      <c r="AA38" s="56">
        <f t="shared" si="11"/>
        <v>3.7930141401280168E-3</v>
      </c>
    </row>
    <row r="39" spans="1:27">
      <c r="A39" s="44" t="s">
        <v>33</v>
      </c>
      <c r="B39" s="49">
        <f>IF('Datos Mun'!B37="AMM",$B$5*'Datos Mun'!Z37,0)</f>
        <v>0</v>
      </c>
      <c r="C39" s="49">
        <f>IF('Datos Mun'!B37="AMM",$C$5*'Datos Mun'!AC37,0)</f>
        <v>0</v>
      </c>
      <c r="D39" s="49">
        <f>IF('Datos Mun'!B37="AMM",$D$5*'Datos Mun'!AD37,0)</f>
        <v>0</v>
      </c>
      <c r="E39" s="50">
        <f t="shared" si="1"/>
        <v>0</v>
      </c>
      <c r="F39" s="56">
        <f t="shared" si="2"/>
        <v>0</v>
      </c>
      <c r="G39" s="39"/>
      <c r="H39" s="44" t="s">
        <v>33</v>
      </c>
      <c r="I39" s="49">
        <f>IF('Datos Mun'!B37="AMM",0,$B$5*'Datos Mun'!Z37)</f>
        <v>41729882.981475048</v>
      </c>
      <c r="J39" s="49">
        <f>IF('Datos Mun'!B37="AMM",0,$J$5*'Datos Mun'!AC37)</f>
        <v>196658348.93779859</v>
      </c>
      <c r="K39" s="49">
        <f>IF('Datos Mun'!B37="AMM",0,$K$5*'Datos Mun'!AD37)</f>
        <v>217762581.99324307</v>
      </c>
      <c r="L39" s="50">
        <f t="shared" si="3"/>
        <v>456150813.91251671</v>
      </c>
      <c r="M39" s="56">
        <f t="shared" si="4"/>
        <v>6.7984014748768404E-2</v>
      </c>
      <c r="O39" s="44" t="s">
        <v>33</v>
      </c>
      <c r="P39" s="49">
        <f>IF('Datos Mun'!D37="Zona de Crec",'Datos Mun'!Z37*'Art 14 F I'!$P$5,0)</f>
        <v>0</v>
      </c>
      <c r="Q39" s="49">
        <f>IF('Datos Mun'!D37="Zona de Crec",$Q$5*'Datos Mun'!AC37,0)</f>
        <v>0</v>
      </c>
      <c r="R39" s="49">
        <f>IF('Datos Mun'!D37="Zona de Crec",$R$5*'Datos Mun'!AD37,0)</f>
        <v>0</v>
      </c>
      <c r="S39" s="50">
        <f t="shared" si="5"/>
        <v>0</v>
      </c>
      <c r="T39" s="56">
        <f t="shared" si="6"/>
        <v>0</v>
      </c>
      <c r="U39" s="39"/>
      <c r="V39" s="44" t="s">
        <v>33</v>
      </c>
      <c r="W39" s="49">
        <f t="shared" si="7"/>
        <v>41729882.981475048</v>
      </c>
      <c r="X39" s="49">
        <f t="shared" si="8"/>
        <v>196658348.93779859</v>
      </c>
      <c r="Y39" s="49">
        <f t="shared" si="9"/>
        <v>217762581.99324307</v>
      </c>
      <c r="Z39" s="50">
        <f t="shared" si="10"/>
        <v>456150813.91251671</v>
      </c>
      <c r="AA39" s="56">
        <f t="shared" si="11"/>
        <v>1.0616347570665079E-2</v>
      </c>
    </row>
    <row r="40" spans="1:27">
      <c r="A40" s="44" t="s">
        <v>34</v>
      </c>
      <c r="B40" s="49">
        <f>IF('Datos Mun'!B38="AMM",$B$5*'Datos Mun'!Z38,0)</f>
        <v>0</v>
      </c>
      <c r="C40" s="49">
        <f>IF('Datos Mun'!B38="AMM",$C$5*'Datos Mun'!AC38,0)</f>
        <v>0</v>
      </c>
      <c r="D40" s="49">
        <f>IF('Datos Mun'!B38="AMM",$D$5*'Datos Mun'!AD38,0)</f>
        <v>0</v>
      </c>
      <c r="E40" s="50">
        <f t="shared" si="1"/>
        <v>0</v>
      </c>
      <c r="F40" s="56">
        <f t="shared" si="2"/>
        <v>0</v>
      </c>
      <c r="G40" s="39"/>
      <c r="H40" s="44" t="s">
        <v>34</v>
      </c>
      <c r="I40" s="49">
        <f>IF('Datos Mun'!B38="AMM",0,$B$5*'Datos Mun'!Z38)</f>
        <v>4653233.5501840366</v>
      </c>
      <c r="J40" s="49">
        <f>IF('Datos Mun'!B38="AMM",0,$J$5*'Datos Mun'!AC38)</f>
        <v>14732916.931142012</v>
      </c>
      <c r="K40" s="49">
        <f>IF('Datos Mun'!B38="AMM",0,$K$5*'Datos Mun'!AD38)</f>
        <v>63604221.776787452</v>
      </c>
      <c r="L40" s="50">
        <f t="shared" si="3"/>
        <v>82990372.258113503</v>
      </c>
      <c r="M40" s="56">
        <f t="shared" si="4"/>
        <v>1.2368757260802409E-2</v>
      </c>
      <c r="O40" s="44" t="s">
        <v>34</v>
      </c>
      <c r="P40" s="49">
        <f>IF('Datos Mun'!D38="Zona de Crec",'Datos Mun'!Z38*'Art 14 F I'!$P$5,0)</f>
        <v>0</v>
      </c>
      <c r="Q40" s="49">
        <f>IF('Datos Mun'!D38="Zona de Crec",$Q$5*'Datos Mun'!AC38,0)</f>
        <v>0</v>
      </c>
      <c r="R40" s="49">
        <f>IF('Datos Mun'!D38="Zona de Crec",$R$5*'Datos Mun'!AD38,0)</f>
        <v>0</v>
      </c>
      <c r="S40" s="50">
        <f t="shared" si="5"/>
        <v>0</v>
      </c>
      <c r="T40" s="56">
        <f t="shared" si="6"/>
        <v>0</v>
      </c>
      <c r="U40" s="39"/>
      <c r="V40" s="44" t="s">
        <v>34</v>
      </c>
      <c r="W40" s="49">
        <f t="shared" si="7"/>
        <v>4653233.5501840366</v>
      </c>
      <c r="X40" s="49">
        <f t="shared" si="8"/>
        <v>14732916.931142012</v>
      </c>
      <c r="Y40" s="49">
        <f t="shared" si="9"/>
        <v>63604221.776787452</v>
      </c>
      <c r="Z40" s="50">
        <f t="shared" si="10"/>
        <v>82990372.258113503</v>
      </c>
      <c r="AA40" s="56">
        <f t="shared" si="11"/>
        <v>1.931498552757132E-3</v>
      </c>
    </row>
    <row r="41" spans="1:27">
      <c r="A41" s="44" t="s">
        <v>35</v>
      </c>
      <c r="B41" s="49">
        <f>IF('Datos Mun'!B39="AMM",$B$5*'Datos Mun'!Z39,0)</f>
        <v>0</v>
      </c>
      <c r="C41" s="49">
        <f>IF('Datos Mun'!B39="AMM",$C$5*'Datos Mun'!AC39,0)</f>
        <v>0</v>
      </c>
      <c r="D41" s="49">
        <f>IF('Datos Mun'!B39="AMM",$D$5*'Datos Mun'!AD39,0)</f>
        <v>0</v>
      </c>
      <c r="E41" s="50">
        <f t="shared" si="1"/>
        <v>0</v>
      </c>
      <c r="F41" s="56">
        <f t="shared" si="2"/>
        <v>0</v>
      </c>
      <c r="G41" s="39"/>
      <c r="H41" s="44" t="s">
        <v>35</v>
      </c>
      <c r="I41" s="49">
        <f>IF('Datos Mun'!B39="AMM",0,$B$5*'Datos Mun'!Z39)</f>
        <v>1350191.9560592785</v>
      </c>
      <c r="J41" s="49">
        <f>IF('Datos Mun'!B39="AMM",0,$J$5*'Datos Mun'!AC39)</f>
        <v>7562146.5311147124</v>
      </c>
      <c r="K41" s="49">
        <f>IF('Datos Mun'!B39="AMM",0,$K$5*'Datos Mun'!AD39)</f>
        <v>6294032.4209931362</v>
      </c>
      <c r="L41" s="50">
        <f t="shared" si="3"/>
        <v>15206370.908167128</v>
      </c>
      <c r="M41" s="56">
        <f t="shared" si="4"/>
        <v>2.266334099525126E-3</v>
      </c>
      <c r="O41" s="44" t="s">
        <v>35</v>
      </c>
      <c r="P41" s="49">
        <f>IF('Datos Mun'!D39="Zona de Crec",'Datos Mun'!Z39*'Art 14 F I'!$P$5,0)</f>
        <v>0</v>
      </c>
      <c r="Q41" s="49">
        <f>IF('Datos Mun'!D39="Zona de Crec",$Q$5*'Datos Mun'!AC39,0)</f>
        <v>0</v>
      </c>
      <c r="R41" s="49">
        <f>IF('Datos Mun'!D39="Zona de Crec",$R$5*'Datos Mun'!AD39,0)</f>
        <v>0</v>
      </c>
      <c r="S41" s="50">
        <f t="shared" si="5"/>
        <v>0</v>
      </c>
      <c r="T41" s="56">
        <f t="shared" si="6"/>
        <v>0</v>
      </c>
      <c r="U41" s="39"/>
      <c r="V41" s="44" t="s">
        <v>35</v>
      </c>
      <c r="W41" s="49">
        <f t="shared" si="7"/>
        <v>1350191.9560592785</v>
      </c>
      <c r="X41" s="49">
        <f t="shared" si="8"/>
        <v>7562146.5311147124</v>
      </c>
      <c r="Y41" s="49">
        <f t="shared" si="9"/>
        <v>6294032.4209931362</v>
      </c>
      <c r="Z41" s="50">
        <f t="shared" si="10"/>
        <v>15206370.908167128</v>
      </c>
      <c r="AA41" s="56">
        <f t="shared" si="11"/>
        <v>3.5390952712519632E-4</v>
      </c>
    </row>
    <row r="42" spans="1:27">
      <c r="A42" s="44" t="s">
        <v>36</v>
      </c>
      <c r="B42" s="49">
        <f>IF('Datos Mun'!B40="AMM",$B$5*'Datos Mun'!Z40,0)</f>
        <v>0</v>
      </c>
      <c r="C42" s="49">
        <f>IF('Datos Mun'!B40="AMM",$C$5*'Datos Mun'!AC40,0)</f>
        <v>0</v>
      </c>
      <c r="D42" s="49">
        <f>IF('Datos Mun'!B40="AMM",$D$5*'Datos Mun'!AD40,0)</f>
        <v>0</v>
      </c>
      <c r="E42" s="50">
        <f t="shared" si="1"/>
        <v>0</v>
      </c>
      <c r="F42" s="56">
        <f t="shared" si="2"/>
        <v>0</v>
      </c>
      <c r="G42" s="39"/>
      <c r="H42" s="44" t="s">
        <v>36</v>
      </c>
      <c r="I42" s="49">
        <f>IF('Datos Mun'!B40="AMM",0,$B$5*'Datos Mun'!Z40)</f>
        <v>137702.1339810857</v>
      </c>
      <c r="J42" s="49">
        <f>IF('Datos Mun'!B40="AMM",0,$J$5*'Datos Mun'!AC40)</f>
        <v>37140061.901113518</v>
      </c>
      <c r="K42" s="49">
        <f>IF('Datos Mun'!B40="AMM",0,$K$5*'Datos Mun'!AD40)</f>
        <v>81146960.245264649</v>
      </c>
      <c r="L42" s="50">
        <f t="shared" si="3"/>
        <v>118424724.28035925</v>
      </c>
      <c r="M42" s="56">
        <f t="shared" si="4"/>
        <v>1.7649838510731763E-2</v>
      </c>
      <c r="O42" s="44" t="s">
        <v>36</v>
      </c>
      <c r="P42" s="49">
        <f>IF('Datos Mun'!D40="Zona de Crec",'Datos Mun'!Z40*'Art 14 F I'!$P$5,0)</f>
        <v>0</v>
      </c>
      <c r="Q42" s="49">
        <f>IF('Datos Mun'!D40="Zona de Crec",$Q$5*'Datos Mun'!AC40,0)</f>
        <v>0</v>
      </c>
      <c r="R42" s="49">
        <f>IF('Datos Mun'!D40="Zona de Crec",$R$5*'Datos Mun'!AD40,0)</f>
        <v>0</v>
      </c>
      <c r="S42" s="50">
        <f t="shared" si="5"/>
        <v>0</v>
      </c>
      <c r="T42" s="56">
        <f t="shared" si="6"/>
        <v>0</v>
      </c>
      <c r="U42" s="39"/>
      <c r="V42" s="44" t="s">
        <v>36</v>
      </c>
      <c r="W42" s="49">
        <f t="shared" si="7"/>
        <v>137702.1339810857</v>
      </c>
      <c r="X42" s="49">
        <f t="shared" si="8"/>
        <v>37140061.901113518</v>
      </c>
      <c r="Y42" s="49">
        <f t="shared" si="9"/>
        <v>81146960.245264649</v>
      </c>
      <c r="Z42" s="50">
        <f t="shared" si="10"/>
        <v>118424724.28035925</v>
      </c>
      <c r="AA42" s="56">
        <f t="shared" si="11"/>
        <v>2.7561893908219447E-3</v>
      </c>
    </row>
    <row r="43" spans="1:27">
      <c r="A43" s="44" t="s">
        <v>37</v>
      </c>
      <c r="B43" s="49">
        <f>IF('Datos Mun'!B41="AMM",$B$5*'Datos Mun'!Z41,0)</f>
        <v>0</v>
      </c>
      <c r="C43" s="49">
        <f>IF('Datos Mun'!B41="AMM",$C$5*'Datos Mun'!AC41,0)</f>
        <v>0</v>
      </c>
      <c r="D43" s="49">
        <f>IF('Datos Mun'!B41="AMM",$D$5*'Datos Mun'!AD41,0)</f>
        <v>0</v>
      </c>
      <c r="E43" s="50">
        <f t="shared" si="1"/>
        <v>0</v>
      </c>
      <c r="F43" s="56">
        <f t="shared" si="2"/>
        <v>0</v>
      </c>
      <c r="G43" s="39"/>
      <c r="H43" s="44" t="s">
        <v>37</v>
      </c>
      <c r="I43" s="49">
        <f>IF('Datos Mun'!B41="AMM",0,$B$5*'Datos Mun'!Z41)</f>
        <v>2087254.1138152366</v>
      </c>
      <c r="J43" s="49">
        <f>IF('Datos Mun'!B41="AMM",0,$J$5*'Datos Mun'!AC41)</f>
        <v>106488450.46472771</v>
      </c>
      <c r="K43" s="49">
        <f>IF('Datos Mun'!B41="AMM",0,$K$5*'Datos Mun'!AD41)</f>
        <v>46056068.399944916</v>
      </c>
      <c r="L43" s="50">
        <f t="shared" si="3"/>
        <v>154631772.97848785</v>
      </c>
      <c r="M43" s="56">
        <f t="shared" si="4"/>
        <v>2.3046081283138679E-2</v>
      </c>
      <c r="O43" s="44" t="s">
        <v>37</v>
      </c>
      <c r="P43" s="49">
        <f>IF('Datos Mun'!D41="Zona de Crec",'Datos Mun'!Z41*'Art 14 F I'!$P$5,0)</f>
        <v>0</v>
      </c>
      <c r="Q43" s="49">
        <f>IF('Datos Mun'!D41="Zona de Crec",$Q$5*'Datos Mun'!AC41,0)</f>
        <v>0</v>
      </c>
      <c r="R43" s="49">
        <f>IF('Datos Mun'!D41="Zona de Crec",$R$5*'Datos Mun'!AD41,0)</f>
        <v>0</v>
      </c>
      <c r="S43" s="50">
        <f t="shared" si="5"/>
        <v>0</v>
      </c>
      <c r="T43" s="56">
        <f t="shared" si="6"/>
        <v>0</v>
      </c>
      <c r="U43" s="39"/>
      <c r="V43" s="44" t="s">
        <v>37</v>
      </c>
      <c r="W43" s="49">
        <f t="shared" si="7"/>
        <v>2087254.1138152366</v>
      </c>
      <c r="X43" s="49">
        <f t="shared" si="8"/>
        <v>106488450.46472771</v>
      </c>
      <c r="Y43" s="49">
        <f t="shared" si="9"/>
        <v>46056068.399944916</v>
      </c>
      <c r="Z43" s="50">
        <f t="shared" si="10"/>
        <v>154631772.97848785</v>
      </c>
      <c r="AA43" s="56">
        <f t="shared" si="11"/>
        <v>3.5988637909624426E-3</v>
      </c>
    </row>
    <row r="44" spans="1:27">
      <c r="A44" s="44" t="s">
        <v>38</v>
      </c>
      <c r="B44" s="49">
        <f>IF('Datos Mun'!B42="AMM",$B$5*'Datos Mun'!Z42,0)</f>
        <v>0</v>
      </c>
      <c r="C44" s="49">
        <f>IF('Datos Mun'!B42="AMM",$C$5*'Datos Mun'!AC42,0)</f>
        <v>0</v>
      </c>
      <c r="D44" s="49">
        <f>IF('Datos Mun'!B42="AMM",$D$5*'Datos Mun'!AD42,0)</f>
        <v>0</v>
      </c>
      <c r="E44" s="50">
        <f t="shared" si="1"/>
        <v>0</v>
      </c>
      <c r="F44" s="56">
        <f t="shared" si="2"/>
        <v>0</v>
      </c>
      <c r="G44" s="39"/>
      <c r="H44" s="44" t="s">
        <v>38</v>
      </c>
      <c r="I44" s="49">
        <f>IF('Datos Mun'!B42="AMM",0,$B$5*'Datos Mun'!Z42)</f>
        <v>83440099.543182939</v>
      </c>
      <c r="J44" s="49">
        <f>IF('Datos Mun'!B42="AMM",0,$J$5*'Datos Mun'!AC42)</f>
        <v>153370724.85031024</v>
      </c>
      <c r="K44" s="49">
        <f>IF('Datos Mun'!B42="AMM",0,$K$5*'Datos Mun'!AD42)</f>
        <v>117312918.81396794</v>
      </c>
      <c r="L44" s="50">
        <f t="shared" si="3"/>
        <v>354123743.20746112</v>
      </c>
      <c r="M44" s="56">
        <f t="shared" si="4"/>
        <v>5.277805727147581E-2</v>
      </c>
      <c r="O44" s="44" t="s">
        <v>38</v>
      </c>
      <c r="P44" s="49">
        <f>IF('Datos Mun'!D42="Zona de Crec",'Datos Mun'!Z42*'Art 14 F I'!$P$5,0)</f>
        <v>0</v>
      </c>
      <c r="Q44" s="49">
        <f>IF('Datos Mun'!D42="Zona de Crec",$Q$5*'Datos Mun'!AC42,0)</f>
        <v>0</v>
      </c>
      <c r="R44" s="49">
        <f>IF('Datos Mun'!D42="Zona de Crec",$R$5*'Datos Mun'!AD42,0)</f>
        <v>0</v>
      </c>
      <c r="S44" s="50">
        <f t="shared" si="5"/>
        <v>0</v>
      </c>
      <c r="T44" s="56">
        <f t="shared" si="6"/>
        <v>0</v>
      </c>
      <c r="U44" s="39"/>
      <c r="V44" s="44" t="s">
        <v>38</v>
      </c>
      <c r="W44" s="49">
        <f t="shared" si="7"/>
        <v>83440099.543182939</v>
      </c>
      <c r="X44" s="49">
        <f t="shared" si="8"/>
        <v>153370724.85031024</v>
      </c>
      <c r="Y44" s="49">
        <f t="shared" si="9"/>
        <v>117312918.81396794</v>
      </c>
      <c r="Z44" s="50">
        <f t="shared" si="10"/>
        <v>354123743.20746112</v>
      </c>
      <c r="AA44" s="56">
        <f t="shared" si="11"/>
        <v>8.2417933417003025E-3</v>
      </c>
    </row>
    <row r="45" spans="1:27">
      <c r="A45" s="44" t="s">
        <v>39</v>
      </c>
      <c r="B45" s="49">
        <f>IF('Datos Mun'!B43="AMM",$B$5*'Datos Mun'!Z43,0)</f>
        <v>8460345587.647603</v>
      </c>
      <c r="C45" s="49">
        <f>IF('Datos Mun'!B43="AMM",$C$5*'Datos Mun'!AC43,0)</f>
        <v>1812305857.0112901</v>
      </c>
      <c r="D45" s="49">
        <f>IF('Datos Mun'!B43="AMM",$D$5*'Datos Mun'!AD43,0)</f>
        <v>1824891524.9874167</v>
      </c>
      <c r="E45" s="50">
        <f t="shared" si="1"/>
        <v>12097542969.646311</v>
      </c>
      <c r="F45" s="56">
        <f t="shared" si="2"/>
        <v>0.33365947786190425</v>
      </c>
      <c r="G45" s="39"/>
      <c r="H45" s="44" t="s">
        <v>39</v>
      </c>
      <c r="I45" s="49">
        <f>IF('Datos Mun'!B43="AMM",0,$B$5*'Datos Mun'!Z43)</f>
        <v>0</v>
      </c>
      <c r="J45" s="49">
        <f>IF('Datos Mun'!B43="AMM",0,$J$5*'Datos Mun'!AC43)</f>
        <v>0</v>
      </c>
      <c r="K45" s="49">
        <f>IF('Datos Mun'!B43="AMM",0,$K$5*'Datos Mun'!AD43)</f>
        <v>0</v>
      </c>
      <c r="L45" s="50">
        <f t="shared" si="3"/>
        <v>0</v>
      </c>
      <c r="M45" s="56">
        <f t="shared" si="4"/>
        <v>0</v>
      </c>
      <c r="O45" s="44" t="s">
        <v>39</v>
      </c>
      <c r="P45" s="49">
        <f>IF('Datos Mun'!D43="Zona de Crec",'Datos Mun'!Z43*'Art 14 F I'!$P$5,0)</f>
        <v>0</v>
      </c>
      <c r="Q45" s="49">
        <f>IF('Datos Mun'!D43="Zona de Crec",$Q$5*'Datos Mun'!AC43,0)</f>
        <v>0</v>
      </c>
      <c r="R45" s="49">
        <f>IF('Datos Mun'!D43="Zona de Crec",$R$5*'Datos Mun'!AD43,0)</f>
        <v>0</v>
      </c>
      <c r="S45" s="50">
        <f t="shared" si="5"/>
        <v>0</v>
      </c>
      <c r="T45" s="56">
        <f t="shared" si="6"/>
        <v>0</v>
      </c>
      <c r="U45" s="39"/>
      <c r="V45" s="44" t="s">
        <v>39</v>
      </c>
      <c r="W45" s="49">
        <f t="shared" si="7"/>
        <v>8460345587.647603</v>
      </c>
      <c r="X45" s="49">
        <f t="shared" si="8"/>
        <v>1812305857.0112901</v>
      </c>
      <c r="Y45" s="49">
        <f t="shared" si="9"/>
        <v>1824891524.9874167</v>
      </c>
      <c r="Z45" s="50">
        <f t="shared" si="10"/>
        <v>12097542969.646311</v>
      </c>
      <c r="AA45" s="56">
        <f t="shared" si="11"/>
        <v>0.28155539133040419</v>
      </c>
    </row>
    <row r="46" spans="1:27">
      <c r="A46" s="44" t="s">
        <v>40</v>
      </c>
      <c r="B46" s="49">
        <f>IF('Datos Mun'!B44="AMM",$B$5*'Datos Mun'!Z44,0)</f>
        <v>0</v>
      </c>
      <c r="C46" s="49">
        <f>IF('Datos Mun'!B44="AMM",$C$5*'Datos Mun'!AC44,0)</f>
        <v>0</v>
      </c>
      <c r="D46" s="49">
        <f>IF('Datos Mun'!B44="AMM",$D$5*'Datos Mun'!AD44,0)</f>
        <v>0</v>
      </c>
      <c r="E46" s="50">
        <f t="shared" si="1"/>
        <v>0</v>
      </c>
      <c r="F46" s="56">
        <f t="shared" si="2"/>
        <v>0</v>
      </c>
      <c r="G46" s="39"/>
      <c r="H46" s="44" t="s">
        <v>40</v>
      </c>
      <c r="I46" s="49">
        <f>IF('Datos Mun'!B44="AMM",0,$B$5*'Datos Mun'!Z44)</f>
        <v>1208161.9672991082</v>
      </c>
      <c r="J46" s="49">
        <f>IF('Datos Mun'!B44="AMM",0,$J$5*'Datos Mun'!AC44)</f>
        <v>30844182.746332187</v>
      </c>
      <c r="K46" s="49">
        <f>IF('Datos Mun'!B44="AMM",0,$K$5*'Datos Mun'!AD44)</f>
        <v>45699197.78982836</v>
      </c>
      <c r="L46" s="50">
        <f t="shared" si="3"/>
        <v>77751542.503459662</v>
      </c>
      <c r="M46" s="56">
        <f t="shared" si="4"/>
        <v>1.1587970142937089E-2</v>
      </c>
      <c r="O46" s="44" t="s">
        <v>40</v>
      </c>
      <c r="P46" s="49">
        <f>IF('Datos Mun'!D44="Zona de Crec",'Datos Mun'!Z44*'Art 14 F I'!$P$5,0)</f>
        <v>0</v>
      </c>
      <c r="Q46" s="49">
        <f>IF('Datos Mun'!D44="Zona de Crec",$Q$5*'Datos Mun'!AC44,0)</f>
        <v>0</v>
      </c>
      <c r="R46" s="49">
        <f>IF('Datos Mun'!D44="Zona de Crec",$R$5*'Datos Mun'!AD44,0)</f>
        <v>0</v>
      </c>
      <c r="S46" s="50">
        <f t="shared" si="5"/>
        <v>0</v>
      </c>
      <c r="T46" s="56">
        <f t="shared" si="6"/>
        <v>0</v>
      </c>
      <c r="U46" s="39"/>
      <c r="V46" s="44" t="s">
        <v>40</v>
      </c>
      <c r="W46" s="49">
        <f t="shared" si="7"/>
        <v>1208161.9672991082</v>
      </c>
      <c r="X46" s="49">
        <f t="shared" si="8"/>
        <v>30844182.746332187</v>
      </c>
      <c r="Y46" s="49">
        <f t="shared" si="9"/>
        <v>45699197.78982836</v>
      </c>
      <c r="Z46" s="50">
        <f t="shared" si="10"/>
        <v>77751542.503459662</v>
      </c>
      <c r="AA46" s="56">
        <f t="shared" si="11"/>
        <v>1.8095712518675323E-3</v>
      </c>
    </row>
    <row r="47" spans="1:27">
      <c r="A47" s="44" t="s">
        <v>41</v>
      </c>
      <c r="B47" s="49">
        <f>IF('Datos Mun'!B45="AMM",$B$5*'Datos Mun'!Z45,0)</f>
        <v>0</v>
      </c>
      <c r="C47" s="49">
        <f>IF('Datos Mun'!B45="AMM",$C$5*'Datos Mun'!AC45,0)</f>
        <v>0</v>
      </c>
      <c r="D47" s="49">
        <f>IF('Datos Mun'!B45="AMM",$D$5*'Datos Mun'!AD45,0)</f>
        <v>0</v>
      </c>
      <c r="E47" s="50">
        <f t="shared" si="1"/>
        <v>0</v>
      </c>
      <c r="F47" s="56">
        <f t="shared" si="2"/>
        <v>0</v>
      </c>
      <c r="G47" s="39"/>
      <c r="H47" s="44" t="s">
        <v>41</v>
      </c>
      <c r="I47" s="49">
        <f>IF('Datos Mun'!B45="AMM",0,$B$5*'Datos Mun'!Z45)</f>
        <v>50014104.925775215</v>
      </c>
      <c r="J47" s="49">
        <f>IF('Datos Mun'!B45="AMM",0,$J$5*'Datos Mun'!AC45)</f>
        <v>241124043.09493265</v>
      </c>
      <c r="K47" s="49">
        <f>IF('Datos Mun'!B45="AMM",0,$K$5*'Datos Mun'!AD45)</f>
        <v>278630252.12170404</v>
      </c>
      <c r="L47" s="50">
        <f t="shared" si="3"/>
        <v>569768400.14241195</v>
      </c>
      <c r="M47" s="56">
        <f t="shared" si="4"/>
        <v>8.4917404808342117E-2</v>
      </c>
      <c r="O47" s="44" t="s">
        <v>41</v>
      </c>
      <c r="P47" s="49">
        <f>IF('Datos Mun'!D45="Zona de Crec",'Datos Mun'!Z45*'Art 14 F I'!$P$5,0)</f>
        <v>50014104.925775215</v>
      </c>
      <c r="Q47" s="49">
        <f>IF('Datos Mun'!D45="Zona de Crec",$Q$5*'Datos Mun'!AC45,0)</f>
        <v>241124043.09493265</v>
      </c>
      <c r="R47" s="49">
        <f>IF('Datos Mun'!D45="Zona de Crec",$R$5*'Datos Mun'!AD45,0)</f>
        <v>278630252.12170404</v>
      </c>
      <c r="S47" s="50">
        <f t="shared" si="5"/>
        <v>569768400.14241195</v>
      </c>
      <c r="T47" s="56">
        <f t="shared" si="6"/>
        <v>3.8845420643326752E-2</v>
      </c>
      <c r="U47" s="39"/>
      <c r="V47" s="44" t="s">
        <v>41</v>
      </c>
      <c r="W47" s="49">
        <f t="shared" si="7"/>
        <v>50014104.925775215</v>
      </c>
      <c r="X47" s="49">
        <f t="shared" si="8"/>
        <v>241124043.09493265</v>
      </c>
      <c r="Y47" s="49">
        <f t="shared" si="9"/>
        <v>278630252.12170404</v>
      </c>
      <c r="Z47" s="50">
        <f t="shared" si="10"/>
        <v>569768400.14241195</v>
      </c>
      <c r="AA47" s="56">
        <f t="shared" si="11"/>
        <v>1.3260656752557521E-2</v>
      </c>
    </row>
    <row r="48" spans="1:27">
      <c r="A48" s="44" t="s">
        <v>42</v>
      </c>
      <c r="B48" s="49">
        <f>IF('Datos Mun'!B46="AMM",$B$5*'Datos Mun'!Z46,0)</f>
        <v>0</v>
      </c>
      <c r="C48" s="49">
        <f>IF('Datos Mun'!B46="AMM",$C$5*'Datos Mun'!AC46,0)</f>
        <v>0</v>
      </c>
      <c r="D48" s="49">
        <f>IF('Datos Mun'!B46="AMM",$D$5*'Datos Mun'!AD46,0)</f>
        <v>0</v>
      </c>
      <c r="E48" s="50">
        <f t="shared" si="1"/>
        <v>0</v>
      </c>
      <c r="F48" s="56">
        <f t="shared" si="2"/>
        <v>0</v>
      </c>
      <c r="G48" s="39"/>
      <c r="H48" s="44" t="s">
        <v>42</v>
      </c>
      <c r="I48" s="49">
        <f>IF('Datos Mun'!B46="AMM",0,$B$5*'Datos Mun'!Z46)</f>
        <v>2259530.0031818845</v>
      </c>
      <c r="J48" s="49">
        <f>IF('Datos Mun'!B46="AMM",0,$J$5*'Datos Mun'!AC46)</f>
        <v>42184816.232576482</v>
      </c>
      <c r="K48" s="49">
        <f>IF('Datos Mun'!B46="AMM",0,$K$5*'Datos Mun'!AD46)</f>
        <v>42658061.232222192</v>
      </c>
      <c r="L48" s="50">
        <f t="shared" si="3"/>
        <v>87102407.467980564</v>
      </c>
      <c r="M48" s="56">
        <f t="shared" si="4"/>
        <v>1.2981608655185037E-2</v>
      </c>
      <c r="O48" s="44" t="s">
        <v>42</v>
      </c>
      <c r="P48" s="49">
        <f>IF('Datos Mun'!D46="Zona de Crec",'Datos Mun'!Z46*'Art 14 F I'!$P$5,0)</f>
        <v>0</v>
      </c>
      <c r="Q48" s="49">
        <f>IF('Datos Mun'!D46="Zona de Crec",$Q$5*'Datos Mun'!AC46,0)</f>
        <v>0</v>
      </c>
      <c r="R48" s="49">
        <f>IF('Datos Mun'!D46="Zona de Crec",$R$5*'Datos Mun'!AD46,0)</f>
        <v>0</v>
      </c>
      <c r="S48" s="50">
        <f t="shared" si="5"/>
        <v>0</v>
      </c>
      <c r="T48" s="56">
        <f t="shared" si="6"/>
        <v>0</v>
      </c>
      <c r="U48" s="39"/>
      <c r="V48" s="44" t="s">
        <v>42</v>
      </c>
      <c r="W48" s="49">
        <f t="shared" si="7"/>
        <v>2259530.0031818845</v>
      </c>
      <c r="X48" s="49">
        <f t="shared" si="8"/>
        <v>42184816.232576482</v>
      </c>
      <c r="Y48" s="49">
        <f t="shared" si="9"/>
        <v>42658061.232222192</v>
      </c>
      <c r="Z48" s="50">
        <f t="shared" si="10"/>
        <v>87102407.467980564</v>
      </c>
      <c r="AA48" s="56">
        <f t="shared" si="11"/>
        <v>2.0272011004218477E-3</v>
      </c>
    </row>
    <row r="49" spans="1:27">
      <c r="A49" s="44" t="s">
        <v>43</v>
      </c>
      <c r="B49" s="49">
        <f>IF('Datos Mun'!B47="AMM",$B$5*'Datos Mun'!Z47,0)</f>
        <v>0</v>
      </c>
      <c r="C49" s="49">
        <f>IF('Datos Mun'!B47="AMM",$C$5*'Datos Mun'!AC47,0)</f>
        <v>0</v>
      </c>
      <c r="D49" s="49">
        <f>IF('Datos Mun'!B47="AMM",$D$5*'Datos Mun'!AD47,0)</f>
        <v>0</v>
      </c>
      <c r="E49" s="50">
        <f t="shared" si="1"/>
        <v>0</v>
      </c>
      <c r="F49" s="56">
        <f t="shared" si="2"/>
        <v>0</v>
      </c>
      <c r="G49" s="39"/>
      <c r="H49" s="44" t="s">
        <v>43</v>
      </c>
      <c r="I49" s="49">
        <f>IF('Datos Mun'!B47="AMM",0,$B$5*'Datos Mun'!Z47)</f>
        <v>1019077.9263748857</v>
      </c>
      <c r="J49" s="49">
        <f>IF('Datos Mun'!B47="AMM",0,$J$5*'Datos Mun'!AC47)</f>
        <v>20907693.039205704</v>
      </c>
      <c r="K49" s="49">
        <f>IF('Datos Mun'!B47="AMM",0,$K$5*'Datos Mun'!AD47)</f>
        <v>58453872.688932694</v>
      </c>
      <c r="L49" s="50">
        <f t="shared" si="3"/>
        <v>80380643.654513285</v>
      </c>
      <c r="M49" s="56">
        <f t="shared" si="4"/>
        <v>1.197980732918732E-2</v>
      </c>
      <c r="O49" s="44" t="s">
        <v>43</v>
      </c>
      <c r="P49" s="49">
        <f>IF('Datos Mun'!D47="Zona de Crec",'Datos Mun'!Z47*'Art 14 F I'!$P$5,0)</f>
        <v>0</v>
      </c>
      <c r="Q49" s="49">
        <f>IF('Datos Mun'!D47="Zona de Crec",$Q$5*'Datos Mun'!AC47,0)</f>
        <v>0</v>
      </c>
      <c r="R49" s="49">
        <f>IF('Datos Mun'!D47="Zona de Crec",$R$5*'Datos Mun'!AD47,0)</f>
        <v>0</v>
      </c>
      <c r="S49" s="50">
        <f t="shared" si="5"/>
        <v>0</v>
      </c>
      <c r="T49" s="56">
        <f t="shared" si="6"/>
        <v>0</v>
      </c>
      <c r="U49" s="39"/>
      <c r="V49" s="44" t="s">
        <v>43</v>
      </c>
      <c r="W49" s="49">
        <f t="shared" si="7"/>
        <v>1019077.9263748857</v>
      </c>
      <c r="X49" s="49">
        <f t="shared" si="8"/>
        <v>20907693.039205704</v>
      </c>
      <c r="Y49" s="49">
        <f t="shared" si="9"/>
        <v>58453872.688932694</v>
      </c>
      <c r="Z49" s="50">
        <f t="shared" si="10"/>
        <v>80380643.654513285</v>
      </c>
      <c r="AA49" s="56">
        <f t="shared" si="11"/>
        <v>1.8707603383861281E-3</v>
      </c>
    </row>
    <row r="50" spans="1:27">
      <c r="A50" s="44" t="s">
        <v>44</v>
      </c>
      <c r="B50" s="49">
        <f>IF('Datos Mun'!B48="AMM",$B$5*'Datos Mun'!Z48,0)</f>
        <v>0</v>
      </c>
      <c r="C50" s="49">
        <f>IF('Datos Mun'!B48="AMM",$C$5*'Datos Mun'!AC48,0)</f>
        <v>0</v>
      </c>
      <c r="D50" s="49">
        <f>IF('Datos Mun'!B48="AMM",$D$5*'Datos Mun'!AD48,0)</f>
        <v>0</v>
      </c>
      <c r="E50" s="50">
        <f t="shared" si="1"/>
        <v>0</v>
      </c>
      <c r="F50" s="56">
        <f t="shared" si="2"/>
        <v>0</v>
      </c>
      <c r="G50" s="39"/>
      <c r="H50" s="44" t="s">
        <v>44</v>
      </c>
      <c r="I50" s="49">
        <f>IF('Datos Mun'!B48="AMM",0,$B$5*'Datos Mun'!Z48)</f>
        <v>36759201.604432434</v>
      </c>
      <c r="J50" s="49">
        <f>IF('Datos Mun'!B48="AMM",0,$J$5*'Datos Mun'!AC48)</f>
        <v>93500424.006257176</v>
      </c>
      <c r="K50" s="49">
        <f>IF('Datos Mun'!B48="AMM",0,$K$5*'Datos Mun'!AD48)</f>
        <v>82183886.537994474</v>
      </c>
      <c r="L50" s="50">
        <f t="shared" si="3"/>
        <v>212443512.14868408</v>
      </c>
      <c r="M50" s="56">
        <f t="shared" si="4"/>
        <v>3.1662253848277068E-2</v>
      </c>
      <c r="O50" s="44" t="s">
        <v>44</v>
      </c>
      <c r="P50" s="49">
        <f>IF('Datos Mun'!D48="Zona de Crec",'Datos Mun'!Z48*'Art 14 F I'!$P$5,0)</f>
        <v>0</v>
      </c>
      <c r="Q50" s="49">
        <f>IF('Datos Mun'!D48="Zona de Crec",$Q$5*'Datos Mun'!AC48,0)</f>
        <v>0</v>
      </c>
      <c r="R50" s="49">
        <f>IF('Datos Mun'!D48="Zona de Crec",$R$5*'Datos Mun'!AD48,0)</f>
        <v>0</v>
      </c>
      <c r="S50" s="50">
        <f t="shared" si="5"/>
        <v>0</v>
      </c>
      <c r="T50" s="56">
        <f t="shared" si="6"/>
        <v>0</v>
      </c>
      <c r="U50" s="39"/>
      <c r="V50" s="44" t="s">
        <v>44</v>
      </c>
      <c r="W50" s="49">
        <f t="shared" si="7"/>
        <v>36759201.604432434</v>
      </c>
      <c r="X50" s="49">
        <f t="shared" si="8"/>
        <v>93500424.006257176</v>
      </c>
      <c r="Y50" s="49">
        <f t="shared" si="9"/>
        <v>82183886.537994474</v>
      </c>
      <c r="Z50" s="50">
        <f t="shared" si="10"/>
        <v>212443512.14868408</v>
      </c>
      <c r="AA50" s="56">
        <f t="shared" si="11"/>
        <v>4.9443607142961024E-3</v>
      </c>
    </row>
    <row r="51" spans="1:27">
      <c r="A51" s="44" t="s">
        <v>45</v>
      </c>
      <c r="B51" s="49">
        <f>IF('Datos Mun'!B49="AMM",$B$5*'Datos Mun'!Z49,0)</f>
        <v>51642248.389533624</v>
      </c>
      <c r="C51" s="49">
        <f>IF('Datos Mun'!B49="AMM",$C$5*'Datos Mun'!AC49,0)</f>
        <v>178831704.09528551</v>
      </c>
      <c r="D51" s="49">
        <f>IF('Datos Mun'!B49="AMM",$D$5*'Datos Mun'!AD49,0)</f>
        <v>205852482.45481029</v>
      </c>
      <c r="E51" s="50">
        <f t="shared" si="1"/>
        <v>436326434.93962944</v>
      </c>
      <c r="F51" s="56">
        <f t="shared" si="2"/>
        <v>1.2034216437551473E-2</v>
      </c>
      <c r="G51" s="39"/>
      <c r="H51" s="44" t="s">
        <v>45</v>
      </c>
      <c r="I51" s="49">
        <f>IF('Datos Mun'!B49="AMM",0,$B$5*'Datos Mun'!Z49)</f>
        <v>0</v>
      </c>
      <c r="J51" s="49">
        <f>IF('Datos Mun'!B49="AMM",0,$J$5*'Datos Mun'!AC49)</f>
        <v>0</v>
      </c>
      <c r="K51" s="49">
        <f>IF('Datos Mun'!B49="AMM",0,$K$5*'Datos Mun'!AD49)</f>
        <v>0</v>
      </c>
      <c r="L51" s="50">
        <f t="shared" si="3"/>
        <v>0</v>
      </c>
      <c r="M51" s="56">
        <f t="shared" si="4"/>
        <v>0</v>
      </c>
      <c r="O51" s="44" t="s">
        <v>45</v>
      </c>
      <c r="P51" s="49">
        <f>IF('Datos Mun'!D49="Zona de Crec",'Datos Mun'!Z49*'Art 14 F I'!$P$5,0)</f>
        <v>51642248.389533624</v>
      </c>
      <c r="Q51" s="49">
        <f>IF('Datos Mun'!D49="Zona de Crec",$Q$5*'Datos Mun'!AC49,0)</f>
        <v>178831704.09528551</v>
      </c>
      <c r="R51" s="49">
        <f>IF('Datos Mun'!D49="Zona de Crec",$R$5*'Datos Mun'!AD49,0)</f>
        <v>205852482.45481029</v>
      </c>
      <c r="S51" s="50">
        <f t="shared" si="5"/>
        <v>436326434.93962944</v>
      </c>
      <c r="T51" s="56">
        <f t="shared" si="6"/>
        <v>2.9747672736495433E-2</v>
      </c>
      <c r="U51" s="39"/>
      <c r="V51" s="44" t="s">
        <v>45</v>
      </c>
      <c r="W51" s="49">
        <f t="shared" si="7"/>
        <v>51642248.389533624</v>
      </c>
      <c r="X51" s="49">
        <f t="shared" si="8"/>
        <v>178831704.09528551</v>
      </c>
      <c r="Y51" s="49">
        <f t="shared" si="9"/>
        <v>205852482.45481029</v>
      </c>
      <c r="Z51" s="50">
        <f t="shared" si="10"/>
        <v>436326434.93962944</v>
      </c>
      <c r="AA51" s="56">
        <f t="shared" si="11"/>
        <v>1.0154959601752852E-2</v>
      </c>
    </row>
    <row r="52" spans="1:27">
      <c r="A52" s="44" t="s">
        <v>46</v>
      </c>
      <c r="B52" s="49">
        <f>IF('Datos Mun'!B50="AMM",$B$5*'Datos Mun'!Z50,0)</f>
        <v>1887383451.1063106</v>
      </c>
      <c r="C52" s="49">
        <f>IF('Datos Mun'!B50="AMM",$C$5*'Datos Mun'!AC50,0)</f>
        <v>652144832.8711406</v>
      </c>
      <c r="D52" s="49">
        <f>IF('Datos Mun'!B50="AMM",$D$5*'Datos Mun'!AD50,0)</f>
        <v>336489457.12430531</v>
      </c>
      <c r="E52" s="50">
        <f t="shared" si="1"/>
        <v>2876017741.1017566</v>
      </c>
      <c r="F52" s="56">
        <f t="shared" si="2"/>
        <v>7.9322766633300998E-2</v>
      </c>
      <c r="G52" s="39"/>
      <c r="H52" s="44" t="s">
        <v>46</v>
      </c>
      <c r="I52" s="49">
        <f>IF('Datos Mun'!B50="AMM",0,$B$5*'Datos Mun'!Z50)</f>
        <v>0</v>
      </c>
      <c r="J52" s="49">
        <f>IF('Datos Mun'!B50="AMM",0,$J$5*'Datos Mun'!AC50)</f>
        <v>0</v>
      </c>
      <c r="K52" s="49">
        <f>IF('Datos Mun'!B50="AMM",0,$K$5*'Datos Mun'!AD50)</f>
        <v>0</v>
      </c>
      <c r="L52" s="50">
        <f t="shared" si="3"/>
        <v>0</v>
      </c>
      <c r="M52" s="56">
        <f t="shared" si="4"/>
        <v>0</v>
      </c>
      <c r="O52" s="44" t="s">
        <v>46</v>
      </c>
      <c r="P52" s="49">
        <f>IF('Datos Mun'!D50="Zona de Crec",'Datos Mun'!Z50*'Art 14 F I'!$P$5,0)</f>
        <v>0</v>
      </c>
      <c r="Q52" s="49">
        <f>IF('Datos Mun'!D50="Zona de Crec",$Q$5*'Datos Mun'!AC50,0)</f>
        <v>0</v>
      </c>
      <c r="R52" s="49">
        <f>IF('Datos Mun'!D50="Zona de Crec",$R$5*'Datos Mun'!AD50,0)</f>
        <v>0</v>
      </c>
      <c r="S52" s="50">
        <f t="shared" si="5"/>
        <v>0</v>
      </c>
      <c r="T52" s="56">
        <f t="shared" si="6"/>
        <v>0</v>
      </c>
      <c r="U52" s="39"/>
      <c r="V52" s="44" t="s">
        <v>46</v>
      </c>
      <c r="W52" s="49">
        <f t="shared" si="7"/>
        <v>1887383451.1063106</v>
      </c>
      <c r="X52" s="49">
        <f t="shared" si="8"/>
        <v>652144832.8711406</v>
      </c>
      <c r="Y52" s="49">
        <f t="shared" si="9"/>
        <v>336489457.12430531</v>
      </c>
      <c r="Z52" s="50">
        <f t="shared" si="10"/>
        <v>2876017741.1017566</v>
      </c>
      <c r="AA52" s="56">
        <f t="shared" si="11"/>
        <v>6.693576560139837E-2</v>
      </c>
    </row>
    <row r="53" spans="1:27">
      <c r="A53" s="44" t="s">
        <v>47</v>
      </c>
      <c r="B53" s="49">
        <f>IF('Datos Mun'!B51="AMM",$B$5*'Datos Mun'!Z51,0)</f>
        <v>5205547341.4550562</v>
      </c>
      <c r="C53" s="49">
        <f>IF('Datos Mun'!B51="AMM",$C$5*'Datos Mun'!AC51,0)</f>
        <v>210400245.58032507</v>
      </c>
      <c r="D53" s="49">
        <f>IF('Datos Mun'!B51="AMM",$D$5*'Datos Mun'!AD51,0)</f>
        <v>69798221.091431469</v>
      </c>
      <c r="E53" s="50">
        <f t="shared" si="1"/>
        <v>5485745808.1268129</v>
      </c>
      <c r="F53" s="56">
        <f t="shared" si="2"/>
        <v>0.15130106060505571</v>
      </c>
      <c r="G53" s="39"/>
      <c r="H53" s="44" t="s">
        <v>47</v>
      </c>
      <c r="I53" s="49">
        <f>IF('Datos Mun'!B51="AMM",0,$B$5*'Datos Mun'!Z51)</f>
        <v>0</v>
      </c>
      <c r="J53" s="49">
        <f>IF('Datos Mun'!B51="AMM",0,$J$5*'Datos Mun'!AC51)</f>
        <v>0</v>
      </c>
      <c r="K53" s="49">
        <f>IF('Datos Mun'!B51="AMM",0,$K$5*'Datos Mun'!AD51)</f>
        <v>0</v>
      </c>
      <c r="L53" s="50">
        <f t="shared" si="3"/>
        <v>0</v>
      </c>
      <c r="M53" s="56">
        <f t="shared" si="4"/>
        <v>0</v>
      </c>
      <c r="O53" s="44" t="s">
        <v>47</v>
      </c>
      <c r="P53" s="49">
        <f>IF('Datos Mun'!D51="Zona de Crec",'Datos Mun'!Z51*'Art 14 F I'!$P$5,0)</f>
        <v>0</v>
      </c>
      <c r="Q53" s="49">
        <f>IF('Datos Mun'!D51="Zona de Crec",$Q$5*'Datos Mun'!AC51,0)</f>
        <v>0</v>
      </c>
      <c r="R53" s="49">
        <f>IF('Datos Mun'!D51="Zona de Crec",$R$5*'Datos Mun'!AD51,0)</f>
        <v>0</v>
      </c>
      <c r="S53" s="50">
        <f t="shared" si="5"/>
        <v>0</v>
      </c>
      <c r="T53" s="56">
        <f t="shared" si="6"/>
        <v>0</v>
      </c>
      <c r="U53" s="39"/>
      <c r="V53" s="44" t="s">
        <v>47</v>
      </c>
      <c r="W53" s="49">
        <f t="shared" si="7"/>
        <v>5205547341.4550562</v>
      </c>
      <c r="X53" s="49">
        <f t="shared" si="8"/>
        <v>210400245.58032507</v>
      </c>
      <c r="Y53" s="49">
        <f t="shared" si="9"/>
        <v>69798221.091431469</v>
      </c>
      <c r="Z53" s="50">
        <f t="shared" si="10"/>
        <v>5485745808.1268129</v>
      </c>
      <c r="AA53" s="56">
        <f t="shared" si="11"/>
        <v>0.1276739674842772</v>
      </c>
    </row>
    <row r="54" spans="1:27">
      <c r="A54" s="44" t="s">
        <v>48</v>
      </c>
      <c r="B54" s="49">
        <f>IF('Datos Mun'!B52="AMM",$B$5*'Datos Mun'!Z52,0)</f>
        <v>629783563.44487107</v>
      </c>
      <c r="C54" s="49">
        <f>IF('Datos Mun'!B52="AMM",$C$5*'Datos Mun'!AC52,0)</f>
        <v>506513778.87041491</v>
      </c>
      <c r="D54" s="49">
        <f>IF('Datos Mun'!B52="AMM",$D$5*'Datos Mun'!AD52,0)</f>
        <v>403189172.33995295</v>
      </c>
      <c r="E54" s="50">
        <f t="shared" si="1"/>
        <v>1539486514.6552389</v>
      </c>
      <c r="F54" s="56">
        <f t="shared" si="2"/>
        <v>4.2460214271950424E-2</v>
      </c>
      <c r="G54" s="39"/>
      <c r="H54" s="44" t="s">
        <v>48</v>
      </c>
      <c r="I54" s="49">
        <f>IF('Datos Mun'!B52="AMM",0,$B$5*'Datos Mun'!Z52)</f>
        <v>0</v>
      </c>
      <c r="J54" s="49">
        <f>IF('Datos Mun'!B52="AMM",0,$J$5*'Datos Mun'!AC52)</f>
        <v>0</v>
      </c>
      <c r="K54" s="49">
        <f>IF('Datos Mun'!B52="AMM",0,$K$5*'Datos Mun'!AD52)</f>
        <v>0</v>
      </c>
      <c r="L54" s="50">
        <f t="shared" si="3"/>
        <v>0</v>
      </c>
      <c r="M54" s="56">
        <f t="shared" si="4"/>
        <v>0</v>
      </c>
      <c r="O54" s="44" t="s">
        <v>48</v>
      </c>
      <c r="P54" s="49">
        <f>IF('Datos Mun'!D52="Zona de Crec",'Datos Mun'!Z52*'Art 14 F I'!$P$5,0)</f>
        <v>629783563.44487107</v>
      </c>
      <c r="Q54" s="49">
        <f>IF('Datos Mun'!D52="Zona de Crec",$Q$5*'Datos Mun'!AC52,0)</f>
        <v>506513778.87041491</v>
      </c>
      <c r="R54" s="49">
        <f>IF('Datos Mun'!D52="Zona de Crec",$R$5*'Datos Mun'!AD52,0)</f>
        <v>403189172.33995295</v>
      </c>
      <c r="S54" s="50">
        <f t="shared" si="5"/>
        <v>1539486514.6552389</v>
      </c>
      <c r="T54" s="56">
        <f t="shared" si="6"/>
        <v>0.10495843788733182</v>
      </c>
      <c r="U54" s="39"/>
      <c r="V54" s="44" t="s">
        <v>48</v>
      </c>
      <c r="W54" s="49">
        <f t="shared" si="7"/>
        <v>629783563.44487107</v>
      </c>
      <c r="X54" s="49">
        <f t="shared" si="8"/>
        <v>506513778.87041491</v>
      </c>
      <c r="Y54" s="49">
        <f t="shared" si="9"/>
        <v>403189172.33995295</v>
      </c>
      <c r="Z54" s="50">
        <f t="shared" si="10"/>
        <v>1539486514.6552389</v>
      </c>
      <c r="AA54" s="56">
        <f t="shared" si="11"/>
        <v>3.5829649803203661E-2</v>
      </c>
    </row>
    <row r="55" spans="1:27">
      <c r="A55" s="44" t="s">
        <v>49</v>
      </c>
      <c r="B55" s="49">
        <f>IF('Datos Mun'!B53="AMM",$B$5*'Datos Mun'!Z53,0)</f>
        <v>511025267.17807859</v>
      </c>
      <c r="C55" s="49">
        <f>IF('Datos Mun'!B53="AMM",$C$5*'Datos Mun'!AC53,0)</f>
        <v>92410839.363900736</v>
      </c>
      <c r="D55" s="49">
        <f>IF('Datos Mun'!B53="AMM",$D$5*'Datos Mun'!AD53,0)</f>
        <v>79049040.254684269</v>
      </c>
      <c r="E55" s="50">
        <f t="shared" si="1"/>
        <v>682485146.79666352</v>
      </c>
      <c r="F55" s="56">
        <f t="shared" si="2"/>
        <v>1.8823461780631101E-2</v>
      </c>
      <c r="G55" s="39"/>
      <c r="H55" s="44" t="s">
        <v>49</v>
      </c>
      <c r="I55" s="49">
        <f>IF('Datos Mun'!B53="AMM",0,$B$5*'Datos Mun'!Z53)</f>
        <v>0</v>
      </c>
      <c r="J55" s="49">
        <f>IF('Datos Mun'!B53="AMM",0,$J$5*'Datos Mun'!AC53)</f>
        <v>0</v>
      </c>
      <c r="K55" s="49">
        <f>IF('Datos Mun'!B53="AMM",0,$K$5*'Datos Mun'!AD53)</f>
        <v>0</v>
      </c>
      <c r="L55" s="50">
        <f t="shared" si="3"/>
        <v>0</v>
      </c>
      <c r="M55" s="56">
        <f t="shared" si="4"/>
        <v>0</v>
      </c>
      <c r="O55" s="44" t="s">
        <v>49</v>
      </c>
      <c r="P55" s="49">
        <f>IF('Datos Mun'!D53="Zona de Crec",'Datos Mun'!Z53*'Art 14 F I'!$P$5,0)</f>
        <v>511025267.17807859</v>
      </c>
      <c r="Q55" s="49">
        <f>IF('Datos Mun'!D53="Zona de Crec",$Q$5*'Datos Mun'!AC53,0)</f>
        <v>92410839.363900736</v>
      </c>
      <c r="R55" s="49">
        <f>IF('Datos Mun'!D53="Zona de Crec",$R$5*'Datos Mun'!AD53,0)</f>
        <v>79049040.254684269</v>
      </c>
      <c r="S55" s="50">
        <f t="shared" si="5"/>
        <v>682485146.79666352</v>
      </c>
      <c r="T55" s="56">
        <f t="shared" si="6"/>
        <v>4.6530173669709574E-2</v>
      </c>
      <c r="U55" s="39"/>
      <c r="V55" s="44" t="s">
        <v>49</v>
      </c>
      <c r="W55" s="49">
        <f t="shared" si="7"/>
        <v>511025267.17807859</v>
      </c>
      <c r="X55" s="49">
        <f t="shared" si="8"/>
        <v>92410839.363900736</v>
      </c>
      <c r="Y55" s="49">
        <f t="shared" si="9"/>
        <v>79049040.254684269</v>
      </c>
      <c r="Z55" s="50">
        <f t="shared" si="10"/>
        <v>682485146.79666352</v>
      </c>
      <c r="AA55" s="56">
        <f t="shared" si="11"/>
        <v>1.588400000443569E-2</v>
      </c>
    </row>
    <row r="56" spans="1:27">
      <c r="A56" s="44" t="s">
        <v>50</v>
      </c>
      <c r="B56" s="49">
        <f>IF('Datos Mun'!B54="AMM",$B$5*'Datos Mun'!Z54,0)</f>
        <v>0</v>
      </c>
      <c r="C56" s="49">
        <f>IF('Datos Mun'!B54="AMM",$C$5*'Datos Mun'!AC54,0)</f>
        <v>0</v>
      </c>
      <c r="D56" s="49">
        <f>IF('Datos Mun'!B54="AMM",$D$5*'Datos Mun'!AD54,0)</f>
        <v>0</v>
      </c>
      <c r="E56" s="50">
        <f t="shared" si="1"/>
        <v>0</v>
      </c>
      <c r="F56" s="56">
        <f t="shared" si="2"/>
        <v>0</v>
      </c>
      <c r="G56" s="39"/>
      <c r="H56" s="44" t="s">
        <v>50</v>
      </c>
      <c r="I56" s="49">
        <f>IF('Datos Mun'!B54="AMM",0,$B$5*'Datos Mun'!Z54)</f>
        <v>3472705.2717785728</v>
      </c>
      <c r="J56" s="49">
        <f>IF('Datos Mun'!B54="AMM",0,$J$5*'Datos Mun'!AC54)</f>
        <v>46774342.424281605</v>
      </c>
      <c r="K56" s="49">
        <f>IF('Datos Mun'!B54="AMM",0,$K$5*'Datos Mun'!AD54)</f>
        <v>70721426.822184712</v>
      </c>
      <c r="L56" s="50">
        <f t="shared" si="3"/>
        <v>120968474.51824489</v>
      </c>
      <c r="M56" s="56">
        <f t="shared" si="4"/>
        <v>1.8028955128339654E-2</v>
      </c>
      <c r="O56" s="44" t="s">
        <v>50</v>
      </c>
      <c r="P56" s="49">
        <f>IF('Datos Mun'!D54="Zona de Crec",'Datos Mun'!Z54*'Art 14 F I'!$P$5,0)</f>
        <v>0</v>
      </c>
      <c r="Q56" s="49">
        <f>IF('Datos Mun'!D54="Zona de Crec",$Q$5*'Datos Mun'!AC54,0)</f>
        <v>0</v>
      </c>
      <c r="R56" s="49">
        <f>IF('Datos Mun'!D54="Zona de Crec",$R$5*'Datos Mun'!AD54,0)</f>
        <v>0</v>
      </c>
      <c r="S56" s="50">
        <f t="shared" si="5"/>
        <v>0</v>
      </c>
      <c r="T56" s="56">
        <f t="shared" si="6"/>
        <v>0</v>
      </c>
      <c r="U56" s="39"/>
      <c r="V56" s="44" t="s">
        <v>50</v>
      </c>
      <c r="W56" s="49">
        <f t="shared" si="7"/>
        <v>3472705.2717785728</v>
      </c>
      <c r="X56" s="49">
        <f t="shared" si="8"/>
        <v>46774342.424281605</v>
      </c>
      <c r="Y56" s="49">
        <f t="shared" si="9"/>
        <v>70721426.822184712</v>
      </c>
      <c r="Z56" s="50">
        <f t="shared" si="10"/>
        <v>120968474.51824489</v>
      </c>
      <c r="AA56" s="56">
        <f t="shared" si="11"/>
        <v>2.8153920401096325E-3</v>
      </c>
    </row>
    <row r="57" spans="1:27">
      <c r="A57" s="44" t="s">
        <v>51</v>
      </c>
      <c r="B57" s="49">
        <f>IF('Datos Mun'!B55="AMM",$B$5*'Datos Mun'!Z55,0)</f>
        <v>0</v>
      </c>
      <c r="C57" s="49">
        <f>IF('Datos Mun'!B55="AMM",$C$5*'Datos Mun'!AC55,0)</f>
        <v>0</v>
      </c>
      <c r="D57" s="49">
        <f>IF('Datos Mun'!B55="AMM",$D$5*'Datos Mun'!AD55,0)</f>
        <v>0</v>
      </c>
      <c r="E57" s="50">
        <f t="shared" si="1"/>
        <v>0</v>
      </c>
      <c r="F57" s="56">
        <f t="shared" si="2"/>
        <v>0</v>
      </c>
      <c r="G57" s="39"/>
      <c r="H57" s="44" t="s">
        <v>51</v>
      </c>
      <c r="I57" s="49">
        <f>IF('Datos Mun'!B55="AMM",0,$B$5*'Datos Mun'!Z55)</f>
        <v>1680338.1183806637</v>
      </c>
      <c r="J57" s="49">
        <f>IF('Datos Mun'!B55="AMM",0,$J$5*'Datos Mun'!AC55)</f>
        <v>27722984.764615469</v>
      </c>
      <c r="K57" s="49">
        <f>IF('Datos Mun'!B55="AMM",0,$K$5*'Datos Mun'!AD55)</f>
        <v>73923058.695283398</v>
      </c>
      <c r="L57" s="50">
        <f t="shared" si="3"/>
        <v>103326381.57827953</v>
      </c>
      <c r="M57" s="56">
        <f t="shared" si="4"/>
        <v>1.5399604768658455E-2</v>
      </c>
      <c r="O57" s="44" t="s">
        <v>51</v>
      </c>
      <c r="P57" s="49">
        <f>IF('Datos Mun'!D55="Zona de Crec",'Datos Mun'!Z55*'Art 14 F I'!$P$5,0)</f>
        <v>0</v>
      </c>
      <c r="Q57" s="49">
        <f>IF('Datos Mun'!D55="Zona de Crec",$Q$5*'Datos Mun'!AC55,0)</f>
        <v>0</v>
      </c>
      <c r="R57" s="49">
        <f>IF('Datos Mun'!D55="Zona de Crec",$R$5*'Datos Mun'!AD55,0)</f>
        <v>0</v>
      </c>
      <c r="S57" s="50">
        <f t="shared" si="5"/>
        <v>0</v>
      </c>
      <c r="T57" s="56">
        <f t="shared" si="6"/>
        <v>0</v>
      </c>
      <c r="U57" s="39"/>
      <c r="V57" s="44" t="s">
        <v>51</v>
      </c>
      <c r="W57" s="49">
        <f t="shared" si="7"/>
        <v>1680338.1183806637</v>
      </c>
      <c r="X57" s="49">
        <f t="shared" si="8"/>
        <v>27722984.764615469</v>
      </c>
      <c r="Y57" s="49">
        <f t="shared" si="9"/>
        <v>73923058.695283398</v>
      </c>
      <c r="Z57" s="50">
        <f t="shared" si="10"/>
        <v>103326381.57827953</v>
      </c>
      <c r="AA57" s="56">
        <f t="shared" si="11"/>
        <v>2.4047940869498484E-3</v>
      </c>
    </row>
    <row r="58" spans="1:27" ht="13.8" thickBot="1">
      <c r="A58" s="45" t="s">
        <v>52</v>
      </c>
      <c r="B58" s="51">
        <f>SUM(B7:B57)</f>
        <v>20931350386.388931</v>
      </c>
      <c r="C58" s="51">
        <f>SUM(C7:C57)</f>
        <v>7901022165.9313126</v>
      </c>
      <c r="D58" s="51">
        <f>SUM(D7:D57)</f>
        <v>7424781139.7240448</v>
      </c>
      <c r="E58" s="52">
        <f>SUM(E7:E57)</f>
        <v>36257153692.044289</v>
      </c>
      <c r="F58" s="59">
        <f>SUM(F7:F57)</f>
        <v>0.99999999999999989</v>
      </c>
      <c r="G58" s="40"/>
      <c r="H58" s="45" t="s">
        <v>52</v>
      </c>
      <c r="I58" s="51">
        <f>SUM(I7:I57)</f>
        <v>552065208.11106896</v>
      </c>
      <c r="J58" s="51">
        <f>SUM(J7:J57)</f>
        <v>2840685631.3186865</v>
      </c>
      <c r="K58" s="51">
        <f>SUM(K7:K57)</f>
        <v>3316926657.5259557</v>
      </c>
      <c r="L58" s="52">
        <f>SUM(L7:L57)</f>
        <v>6709677496.9557133</v>
      </c>
      <c r="M58" s="54">
        <f>SUM(M7:M57)</f>
        <v>0.99999999999999956</v>
      </c>
      <c r="O58" s="45" t="s">
        <v>52</v>
      </c>
      <c r="P58" s="51">
        <f>SUM(P7:P57)</f>
        <v>4536137472.05723</v>
      </c>
      <c r="Q58" s="51">
        <f>SUM(Q7:Q57)</f>
        <v>4894553242.5912666</v>
      </c>
      <c r="R58" s="51">
        <f>SUM(R7:R57)</f>
        <v>5236891479.2462749</v>
      </c>
      <c r="S58" s="52">
        <f>SUM(S7:S57)</f>
        <v>14667582193.894773</v>
      </c>
      <c r="T58" s="59">
        <f>SUM(T7:T57)</f>
        <v>0.99999999999999989</v>
      </c>
      <c r="U58" s="40"/>
      <c r="V58" s="45" t="s">
        <v>52</v>
      </c>
      <c r="W58" s="51">
        <f>SUM(W7:W57)</f>
        <v>21483415594.5</v>
      </c>
      <c r="X58" s="51">
        <f>SUM(X7:X57)</f>
        <v>10741707797.250002</v>
      </c>
      <c r="Y58" s="51">
        <f>SUM(Y7:Y57)</f>
        <v>10741707797.250002</v>
      </c>
      <c r="Z58" s="52">
        <f>SUM(Z7:Z57)</f>
        <v>42966831189</v>
      </c>
      <c r="AA58" s="59">
        <f>SUM(AA7:AA57)</f>
        <v>1.0000000000000002</v>
      </c>
    </row>
    <row r="59" spans="1:27" ht="13.8" thickTop="1"/>
    <row r="61" spans="1:27">
      <c r="E61" s="58"/>
      <c r="F61" s="58"/>
      <c r="S61" s="58"/>
      <c r="T61" s="58"/>
      <c r="Z61" s="58"/>
      <c r="AA61" s="58"/>
    </row>
    <row r="62" spans="1:27">
      <c r="E62" s="58"/>
      <c r="F62" s="58"/>
      <c r="L62" s="22">
        <f>L58+E58</f>
        <v>42966831189</v>
      </c>
      <c r="S62" s="58"/>
      <c r="T62" s="58"/>
      <c r="Z62" s="58"/>
      <c r="AA62" s="58"/>
    </row>
    <row r="63" spans="1:27">
      <c r="E63" s="58"/>
      <c r="F63" s="58"/>
      <c r="S63" s="58"/>
      <c r="T63" s="58"/>
      <c r="Z63" s="58"/>
      <c r="AA63" s="58"/>
    </row>
    <row r="64" spans="1:27">
      <c r="E64" s="58"/>
      <c r="F64" s="58"/>
      <c r="S64" s="58"/>
      <c r="T64" s="58"/>
      <c r="Z64" s="58"/>
      <c r="AA64" s="58"/>
    </row>
    <row r="65" spans="5:27">
      <c r="E65" s="58"/>
      <c r="F65" s="58"/>
      <c r="S65" s="58"/>
      <c r="T65" s="58"/>
      <c r="Z65" s="58"/>
      <c r="AA65" s="58"/>
    </row>
    <row r="66" spans="5:27">
      <c r="E66" s="58"/>
      <c r="F66" s="58"/>
      <c r="S66" s="58"/>
      <c r="T66" s="58"/>
      <c r="Z66" s="58"/>
      <c r="AA66" s="58"/>
    </row>
    <row r="67" spans="5:27">
      <c r="E67" s="58"/>
      <c r="F67" s="58"/>
      <c r="S67" s="58"/>
      <c r="T67" s="58"/>
      <c r="Z67" s="58"/>
      <c r="AA67" s="58"/>
    </row>
    <row r="68" spans="5:27">
      <c r="E68" s="58"/>
      <c r="F68" s="58"/>
      <c r="S68" s="58"/>
      <c r="T68" s="58"/>
      <c r="Z68" s="58"/>
      <c r="AA68" s="58"/>
    </row>
    <row r="69" spans="5:27">
      <c r="E69" s="58"/>
      <c r="F69" s="58"/>
      <c r="S69" s="58"/>
      <c r="T69" s="58"/>
      <c r="Z69" s="58"/>
      <c r="AA69" s="58"/>
    </row>
    <row r="70" spans="5:27">
      <c r="E70" s="58"/>
      <c r="F70" s="58"/>
      <c r="S70" s="58"/>
      <c r="T70" s="58"/>
      <c r="Z70" s="58"/>
      <c r="AA70" s="58"/>
    </row>
    <row r="71" spans="5:27">
      <c r="E71" s="58"/>
      <c r="F71" s="58"/>
      <c r="S71" s="58"/>
      <c r="T71" s="58"/>
      <c r="Z71" s="58"/>
      <c r="AA71" s="58"/>
    </row>
    <row r="72" spans="5:27">
      <c r="E72" s="58"/>
      <c r="F72" s="58"/>
      <c r="S72" s="58"/>
      <c r="T72" s="58"/>
      <c r="Z72" s="58"/>
      <c r="AA72" s="58"/>
    </row>
    <row r="73" spans="5:27">
      <c r="E73" s="58"/>
      <c r="F73" s="58"/>
      <c r="S73" s="58"/>
      <c r="T73" s="58"/>
      <c r="Z73" s="58"/>
      <c r="AA73" s="58"/>
    </row>
    <row r="74" spans="5:27">
      <c r="E74" s="58"/>
      <c r="F74" s="58"/>
      <c r="S74" s="58"/>
      <c r="T74" s="58"/>
      <c r="Z74" s="58"/>
      <c r="AA74" s="58"/>
    </row>
    <row r="75" spans="5:27">
      <c r="E75" s="58"/>
      <c r="F75" s="58"/>
      <c r="S75" s="58"/>
      <c r="T75" s="58"/>
      <c r="Z75" s="58"/>
      <c r="AA75" s="58"/>
    </row>
    <row r="76" spans="5:27">
      <c r="E76" s="58"/>
      <c r="F76" s="58"/>
      <c r="S76" s="58"/>
      <c r="T76" s="58"/>
      <c r="Z76" s="58"/>
      <c r="AA76" s="58"/>
    </row>
    <row r="77" spans="5:27">
      <c r="E77" s="58"/>
      <c r="F77" s="58"/>
      <c r="S77" s="58"/>
      <c r="T77" s="58"/>
      <c r="Z77" s="58"/>
      <c r="AA77" s="58"/>
    </row>
    <row r="78" spans="5:27">
      <c r="E78" s="58"/>
      <c r="F78" s="58"/>
      <c r="S78" s="58"/>
      <c r="T78" s="58"/>
      <c r="Z78" s="58"/>
      <c r="AA78" s="58"/>
    </row>
    <row r="79" spans="5:27">
      <c r="E79" s="58"/>
      <c r="F79" s="58"/>
      <c r="S79" s="58"/>
      <c r="T79" s="58"/>
      <c r="Z79" s="58"/>
      <c r="AA79" s="58"/>
    </row>
    <row r="80" spans="5:27">
      <c r="E80" s="58"/>
      <c r="F80" s="58"/>
      <c r="S80" s="58"/>
      <c r="T80" s="58"/>
      <c r="Z80" s="58"/>
      <c r="AA80" s="58"/>
    </row>
    <row r="81" spans="5:27">
      <c r="E81" s="58"/>
      <c r="F81" s="58"/>
      <c r="S81" s="58"/>
      <c r="T81" s="58"/>
      <c r="Z81" s="58"/>
      <c r="AA81" s="58"/>
    </row>
    <row r="82" spans="5:27">
      <c r="E82" s="58"/>
      <c r="F82" s="58"/>
      <c r="S82" s="58"/>
      <c r="T82" s="58"/>
      <c r="Z82" s="58"/>
      <c r="AA82" s="58"/>
    </row>
    <row r="83" spans="5:27">
      <c r="E83" s="58"/>
      <c r="F83" s="58"/>
      <c r="S83" s="58"/>
      <c r="T83" s="58"/>
      <c r="Z83" s="58"/>
      <c r="AA83" s="58"/>
    </row>
    <row r="84" spans="5:27">
      <c r="E84" s="58"/>
      <c r="F84" s="58"/>
      <c r="S84" s="58"/>
      <c r="T84" s="58"/>
      <c r="Z84" s="58"/>
      <c r="AA84" s="58"/>
    </row>
    <row r="85" spans="5:27">
      <c r="E85" s="58"/>
      <c r="F85" s="58"/>
      <c r="S85" s="58"/>
      <c r="T85" s="58"/>
      <c r="Z85" s="58"/>
      <c r="AA85" s="58"/>
    </row>
    <row r="86" spans="5:27">
      <c r="E86" s="58"/>
      <c r="F86" s="58"/>
      <c r="S86" s="58"/>
      <c r="T86" s="58"/>
      <c r="Z86" s="58"/>
      <c r="AA86" s="58"/>
    </row>
    <row r="87" spans="5:27">
      <c r="E87" s="58"/>
      <c r="F87" s="58"/>
      <c r="S87" s="58"/>
      <c r="T87" s="58"/>
      <c r="Z87" s="58"/>
      <c r="AA87" s="58"/>
    </row>
    <row r="88" spans="5:27">
      <c r="E88" s="58"/>
      <c r="F88" s="58"/>
      <c r="S88" s="58"/>
      <c r="T88" s="58"/>
      <c r="Z88" s="58"/>
      <c r="AA88" s="58"/>
    </row>
    <row r="89" spans="5:27">
      <c r="E89" s="58"/>
      <c r="F89" s="58"/>
      <c r="S89" s="58"/>
      <c r="T89" s="58"/>
      <c r="Z89" s="58"/>
      <c r="AA89" s="58"/>
    </row>
    <row r="90" spans="5:27">
      <c r="E90" s="58"/>
      <c r="F90" s="58"/>
      <c r="S90" s="58"/>
      <c r="T90" s="58"/>
      <c r="Z90" s="58"/>
      <c r="AA90" s="58"/>
    </row>
    <row r="91" spans="5:27">
      <c r="E91" s="58"/>
      <c r="F91" s="58"/>
      <c r="S91" s="58"/>
      <c r="T91" s="58"/>
      <c r="Z91" s="58"/>
      <c r="AA91" s="58"/>
    </row>
    <row r="92" spans="5:27">
      <c r="E92" s="58"/>
      <c r="F92" s="58"/>
      <c r="S92" s="58"/>
      <c r="T92" s="58"/>
      <c r="Z92" s="58"/>
      <c r="AA92" s="58"/>
    </row>
    <row r="93" spans="5:27">
      <c r="E93" s="58"/>
      <c r="F93" s="58"/>
      <c r="S93" s="58"/>
      <c r="T93" s="58"/>
      <c r="Z93" s="58"/>
      <c r="AA93" s="58"/>
    </row>
    <row r="94" spans="5:27">
      <c r="E94" s="58"/>
      <c r="F94" s="58"/>
      <c r="S94" s="58"/>
      <c r="T94" s="58"/>
      <c r="Z94" s="58"/>
      <c r="AA94" s="58"/>
    </row>
    <row r="95" spans="5:27">
      <c r="E95" s="58"/>
      <c r="F95" s="58"/>
      <c r="S95" s="58"/>
      <c r="T95" s="58"/>
      <c r="Z95" s="58"/>
      <c r="AA95" s="58"/>
    </row>
    <row r="96" spans="5:27">
      <c r="E96" s="58"/>
      <c r="F96" s="58"/>
      <c r="S96" s="58"/>
      <c r="T96" s="58"/>
      <c r="Z96" s="58"/>
      <c r="AA96" s="58"/>
    </row>
    <row r="97" spans="5:27">
      <c r="E97" s="58"/>
      <c r="F97" s="58"/>
      <c r="S97" s="58"/>
      <c r="T97" s="58"/>
      <c r="Z97" s="58"/>
      <c r="AA97" s="58"/>
    </row>
    <row r="98" spans="5:27">
      <c r="E98" s="58"/>
      <c r="F98" s="58"/>
      <c r="S98" s="58"/>
      <c r="T98" s="58"/>
      <c r="Z98" s="58"/>
      <c r="AA98" s="58"/>
    </row>
    <row r="99" spans="5:27">
      <c r="E99" s="58"/>
      <c r="F99" s="58"/>
      <c r="S99" s="58"/>
      <c r="T99" s="58"/>
      <c r="Z99" s="58"/>
      <c r="AA99" s="58"/>
    </row>
    <row r="100" spans="5:27">
      <c r="E100" s="58"/>
      <c r="F100" s="58"/>
      <c r="S100" s="58"/>
      <c r="T100" s="58"/>
      <c r="Z100" s="58"/>
      <c r="AA100" s="58"/>
    </row>
    <row r="101" spans="5:27">
      <c r="E101" s="58"/>
      <c r="F101" s="58"/>
      <c r="S101" s="58"/>
      <c r="T101" s="58"/>
      <c r="Z101" s="58"/>
      <c r="AA101" s="58"/>
    </row>
    <row r="102" spans="5:27">
      <c r="E102" s="58"/>
      <c r="F102" s="58"/>
      <c r="S102" s="58"/>
      <c r="T102" s="58"/>
      <c r="Z102" s="58"/>
      <c r="AA102" s="58"/>
    </row>
    <row r="103" spans="5:27">
      <c r="E103" s="58"/>
      <c r="F103" s="58"/>
      <c r="S103" s="58"/>
      <c r="T103" s="58"/>
      <c r="Z103" s="58"/>
      <c r="AA103" s="58"/>
    </row>
    <row r="104" spans="5:27">
      <c r="E104" s="58"/>
      <c r="F104" s="58"/>
      <c r="S104" s="58"/>
      <c r="T104" s="58"/>
      <c r="Z104" s="58"/>
      <c r="AA104" s="58"/>
    </row>
    <row r="105" spans="5:27">
      <c r="E105" s="58"/>
      <c r="F105" s="58"/>
      <c r="S105" s="58"/>
      <c r="T105" s="58"/>
      <c r="Z105" s="58"/>
      <c r="AA105" s="58"/>
    </row>
    <row r="106" spans="5:27">
      <c r="E106" s="58"/>
      <c r="F106" s="58"/>
      <c r="S106" s="58"/>
      <c r="T106" s="58"/>
      <c r="Z106" s="58"/>
      <c r="AA106" s="58"/>
    </row>
    <row r="107" spans="5:27">
      <c r="E107" s="58"/>
      <c r="F107" s="58"/>
      <c r="S107" s="58"/>
      <c r="T107" s="58"/>
      <c r="Z107" s="58"/>
      <c r="AA107" s="58"/>
    </row>
    <row r="108" spans="5:27">
      <c r="E108" s="58"/>
      <c r="F108" s="58"/>
      <c r="S108" s="58"/>
      <c r="T108" s="58"/>
      <c r="Z108" s="58"/>
      <c r="AA108" s="58"/>
    </row>
    <row r="109" spans="5:27">
      <c r="E109" s="58"/>
      <c r="F109" s="58"/>
      <c r="S109" s="58"/>
      <c r="T109" s="58"/>
      <c r="Z109" s="58"/>
      <c r="AA109" s="58"/>
    </row>
    <row r="110" spans="5:27">
      <c r="E110" s="58"/>
      <c r="F110" s="58"/>
      <c r="S110" s="58"/>
      <c r="T110" s="58"/>
      <c r="Z110" s="58"/>
      <c r="AA110" s="58"/>
    </row>
    <row r="111" spans="5:27">
      <c r="E111" s="58"/>
      <c r="F111" s="58"/>
      <c r="S111" s="58"/>
      <c r="T111" s="58"/>
      <c r="Z111" s="58"/>
      <c r="AA111" s="58"/>
    </row>
  </sheetData>
  <mergeCells count="8">
    <mergeCell ref="V1:AA1"/>
    <mergeCell ref="V2:AA2"/>
    <mergeCell ref="A1:F1"/>
    <mergeCell ref="A2:F2"/>
    <mergeCell ref="O2:T2"/>
    <mergeCell ref="O1:T1"/>
    <mergeCell ref="H2:M2"/>
    <mergeCell ref="H1:M1"/>
  </mergeCells>
  <pageMargins left="0.7" right="0.7" top="0.75" bottom="0.75" header="0.3" footer="0.3"/>
  <pageSetup scale="24" orientation="portrait" r:id="rId1"/>
  <ignoredErrors>
    <ignoredError sqref="F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283"/>
  <sheetViews>
    <sheetView tabSelected="1" topLeftCell="B4" zoomScaleNormal="100" workbookViewId="0">
      <selection activeCell="G12" sqref="G12"/>
    </sheetView>
  </sheetViews>
  <sheetFormatPr baseColWidth="10" defaultColWidth="11.44140625" defaultRowHeight="13.2"/>
  <cols>
    <col min="1" max="1" width="27.21875" style="13" hidden="1" customWidth="1"/>
    <col min="2" max="2" width="28.33203125" style="9" customWidth="1"/>
    <col min="3" max="3" width="18.44140625" style="9" customWidth="1"/>
    <col min="4" max="4" width="15.109375" style="9" customWidth="1"/>
    <col min="5" max="5" width="19.6640625" style="9" customWidth="1"/>
    <col min="6" max="6" width="20.6640625" style="9" customWidth="1"/>
    <col min="7" max="7" width="15.109375" style="9" customWidth="1"/>
    <col min="8" max="9" width="11.44140625" style="13"/>
    <col min="10" max="10" width="28.109375" style="13" bestFit="1" customWidth="1"/>
    <col min="11" max="15" width="20.6640625" style="13" customWidth="1"/>
    <col min="16" max="16384" width="11.44140625" style="13"/>
  </cols>
  <sheetData>
    <row r="1" spans="1:15">
      <c r="B1" s="362" t="s">
        <v>84</v>
      </c>
      <c r="C1" s="362"/>
      <c r="D1" s="362"/>
      <c r="E1" s="362"/>
      <c r="F1" s="362"/>
      <c r="G1" s="362"/>
      <c r="J1" s="362" t="s">
        <v>84</v>
      </c>
      <c r="K1" s="362"/>
      <c r="L1" s="362"/>
      <c r="M1" s="362"/>
      <c r="N1" s="362"/>
      <c r="O1" s="362"/>
    </row>
    <row r="2" spans="1:15">
      <c r="B2" s="362" t="s">
        <v>85</v>
      </c>
      <c r="C2" s="362"/>
      <c r="D2" s="362"/>
      <c r="E2" s="362"/>
      <c r="F2" s="362"/>
      <c r="G2" s="362"/>
      <c r="J2" s="362" t="s">
        <v>85</v>
      </c>
      <c r="K2" s="362"/>
      <c r="L2" s="362"/>
      <c r="M2" s="362"/>
      <c r="N2" s="362"/>
      <c r="O2" s="362"/>
    </row>
    <row r="3" spans="1:15">
      <c r="B3" s="362" t="s">
        <v>165</v>
      </c>
      <c r="C3" s="362"/>
      <c r="D3" s="362"/>
      <c r="E3" s="362"/>
      <c r="F3" s="362"/>
      <c r="G3" s="362"/>
      <c r="J3" s="362" t="s">
        <v>165</v>
      </c>
      <c r="K3" s="362"/>
      <c r="L3" s="362"/>
      <c r="M3" s="362"/>
      <c r="N3" s="362"/>
      <c r="O3" s="362"/>
    </row>
    <row r="4" spans="1:15" ht="13.8" thickBot="1">
      <c r="B4" s="362" t="s">
        <v>240</v>
      </c>
      <c r="C4" s="362"/>
      <c r="D4" s="362"/>
      <c r="E4" s="362"/>
      <c r="F4" s="362"/>
      <c r="G4" s="362"/>
      <c r="J4" s="362" t="s">
        <v>175</v>
      </c>
      <c r="K4" s="362"/>
      <c r="L4" s="362"/>
      <c r="M4" s="362"/>
      <c r="N4" s="362"/>
      <c r="O4" s="362"/>
    </row>
    <row r="5" spans="1:15" ht="40.799999999999997" thickTop="1" thickBot="1">
      <c r="B5" s="63" t="s">
        <v>0</v>
      </c>
      <c r="C5" s="60" t="s">
        <v>136</v>
      </c>
      <c r="D5" s="60" t="s">
        <v>144</v>
      </c>
      <c r="E5" s="60" t="s">
        <v>149</v>
      </c>
      <c r="F5" s="60" t="s">
        <v>164</v>
      </c>
      <c r="G5" s="61" t="s">
        <v>53</v>
      </c>
      <c r="J5" s="257"/>
      <c r="K5" s="252" t="s">
        <v>166</v>
      </c>
      <c r="L5" s="252" t="s">
        <v>167</v>
      </c>
      <c r="M5" s="252" t="s">
        <v>168</v>
      </c>
      <c r="N5" s="254" t="s">
        <v>169</v>
      </c>
      <c r="O5" s="253" t="s">
        <v>53</v>
      </c>
    </row>
    <row r="6" spans="1:15">
      <c r="A6" s="13" t="s">
        <v>1</v>
      </c>
      <c r="B6" s="64" t="s">
        <v>1</v>
      </c>
      <c r="C6" s="9">
        <f>VLOOKUP(B6,Seguridad!$A$14:$F$67,6,FALSE)</f>
        <v>386820.17829125328</v>
      </c>
      <c r="D6" s="9">
        <f>VLOOKUP(B6,Desarrollo!$A$13:$D$69,4,FALSE)</f>
        <v>212082.76</v>
      </c>
      <c r="E6" s="9">
        <f>IFERROR(VLOOKUP(B6,Ultracrecimiento!$A$6:$E$17,5,FALSE),0)</f>
        <v>0</v>
      </c>
      <c r="F6" s="9">
        <f>VLOOKUP(B6,Descentralizados!$I$6:$L$56,4,FALSE)</f>
        <v>145369.52354865437</v>
      </c>
      <c r="G6" s="62">
        <f t="shared" ref="G6:G37" si="0">SUM(C6:F6)</f>
        <v>744272.46183990769</v>
      </c>
      <c r="J6" s="257" t="s">
        <v>6</v>
      </c>
      <c r="K6" s="250">
        <f t="shared" ref="K6:K17" si="1">VLOOKUP(J6,$B$6:$F$56,3,FALSE)</f>
        <v>2009620.49</v>
      </c>
      <c r="L6" s="250">
        <f t="shared" ref="L6:L17" si="2">VLOOKUP(J6,$B$6:$F$56,4,FALSE)</f>
        <v>2077706.7467410071</v>
      </c>
      <c r="M6" s="250">
        <f t="shared" ref="M6:M17" si="3">VLOOKUP(J6,$B$6:$F$56,5,FALSE)</f>
        <v>2229327.0761782369</v>
      </c>
      <c r="N6" s="251">
        <f t="shared" ref="N6:N17" si="4">VLOOKUP(J6,$B$6:$F$56,2,FALSE)</f>
        <v>3533642.5977373798</v>
      </c>
      <c r="O6" s="255">
        <f>SUM(K6:N6)</f>
        <v>9850296.9106566235</v>
      </c>
    </row>
    <row r="7" spans="1:15">
      <c r="A7" s="13" t="s">
        <v>2</v>
      </c>
      <c r="B7" s="64" t="s">
        <v>2</v>
      </c>
      <c r="C7" s="9">
        <f>VLOOKUP(B7,Seguridad!$A$14:$F$67,6,FALSE)</f>
        <v>394157.98</v>
      </c>
      <c r="D7" s="9">
        <f>VLOOKUP(B7,Desarrollo!$A$13:$D$69,4,FALSE)</f>
        <v>238351.24</v>
      </c>
      <c r="E7" s="9">
        <f>IFERROR(VLOOKUP(B7,Ultracrecimiento!$A$6:$E$17,5,FALSE),0)</f>
        <v>0</v>
      </c>
      <c r="F7" s="9">
        <f>VLOOKUP(B7,Descentralizados!$I$6:$L$56,4,FALSE)</f>
        <v>241719.38991096185</v>
      </c>
      <c r="G7" s="62">
        <f t="shared" si="0"/>
        <v>874228.60991096182</v>
      </c>
      <c r="J7" s="258" t="s">
        <v>9</v>
      </c>
      <c r="K7" s="249">
        <f t="shared" si="1"/>
        <v>775393.73</v>
      </c>
      <c r="L7" s="249">
        <f t="shared" si="2"/>
        <v>736132.36799461534</v>
      </c>
      <c r="M7" s="249">
        <f t="shared" si="3"/>
        <v>506731.01118072955</v>
      </c>
      <c r="N7" s="211">
        <f t="shared" si="4"/>
        <v>929735.01641023904</v>
      </c>
      <c r="O7" s="208">
        <f t="shared" ref="O7:O57" si="5">SUM(K7:N7)</f>
        <v>2947992.125585584</v>
      </c>
    </row>
    <row r="8" spans="1:15">
      <c r="A8" s="13" t="s">
        <v>192</v>
      </c>
      <c r="B8" s="64" t="s">
        <v>3</v>
      </c>
      <c r="C8" s="9">
        <f>VLOOKUP(B8,Seguridad!$A$14:$F$67,6,FALSE)</f>
        <v>358637.97</v>
      </c>
      <c r="D8" s="9">
        <f>VLOOKUP(B8,Desarrollo!$A$13:$D$69,4,FALSE)</f>
        <v>252002.33</v>
      </c>
      <c r="E8" s="9">
        <f>IFERROR(VLOOKUP(B8,Ultracrecimiento!$A$6:$E$17,5,FALSE),0)</f>
        <v>0</v>
      </c>
      <c r="F8" s="9">
        <f>VLOOKUP(B8,Descentralizados!$I$6:$L$56,4,FALSE)</f>
        <v>184149.08754386404</v>
      </c>
      <c r="G8" s="62">
        <f t="shared" si="0"/>
        <v>794789.38754386397</v>
      </c>
      <c r="J8" s="258" t="s">
        <v>18</v>
      </c>
      <c r="K8" s="249">
        <f t="shared" si="1"/>
        <v>1209802.94</v>
      </c>
      <c r="L8" s="249">
        <f t="shared" si="2"/>
        <v>1308890.6139026871</v>
      </c>
      <c r="M8" s="249">
        <f t="shared" si="3"/>
        <v>1016198.6147387596</v>
      </c>
      <c r="N8" s="211">
        <f t="shared" si="4"/>
        <v>2269736.3064858736</v>
      </c>
      <c r="O8" s="208">
        <f t="shared" si="5"/>
        <v>5804628.4751273207</v>
      </c>
    </row>
    <row r="9" spans="1:15">
      <c r="A9" s="13" t="s">
        <v>4</v>
      </c>
      <c r="B9" s="64" t="s">
        <v>4</v>
      </c>
      <c r="C9" s="9">
        <f>VLOOKUP(B9,Seguridad!$A$14:$F$67,6,FALSE)</f>
        <v>967999.53</v>
      </c>
      <c r="D9" s="9">
        <f>VLOOKUP(B9,Desarrollo!$A$13:$D$69,4,FALSE)</f>
        <v>459728.1</v>
      </c>
      <c r="E9" s="9">
        <f>IFERROR(VLOOKUP(B9,Ultracrecimiento!$A$6:$E$17,5,FALSE),0)</f>
        <v>0</v>
      </c>
      <c r="F9" s="9">
        <f>VLOOKUP(B9,Descentralizados!$I$6:$L$56,4,FALSE)</f>
        <v>709853.38313987956</v>
      </c>
      <c r="G9" s="62">
        <f t="shared" si="0"/>
        <v>2137581.0131398793</v>
      </c>
      <c r="J9" s="258" t="s">
        <v>20</v>
      </c>
      <c r="K9" s="249">
        <f t="shared" si="1"/>
        <v>1500693.94</v>
      </c>
      <c r="L9" s="249">
        <f t="shared" si="2"/>
        <v>1576601.8020941212</v>
      </c>
      <c r="M9" s="249">
        <f t="shared" si="3"/>
        <v>1457409.4272060406</v>
      </c>
      <c r="N9" s="211">
        <f t="shared" si="4"/>
        <v>2679281.3549333974</v>
      </c>
      <c r="O9" s="208">
        <f t="shared" si="5"/>
        <v>7213986.5242335591</v>
      </c>
    </row>
    <row r="10" spans="1:15">
      <c r="A10" s="13" t="s">
        <v>193</v>
      </c>
      <c r="B10" s="64" t="s">
        <v>5</v>
      </c>
      <c r="C10" s="9">
        <f>VLOOKUP(B10,Seguridad!$A$14:$F$67,6,FALSE)</f>
        <v>657599.57999999996</v>
      </c>
      <c r="D10" s="9">
        <f>VLOOKUP(B10,Desarrollo!$A$13:$D$69,4,FALSE)</f>
        <v>409207.11</v>
      </c>
      <c r="E10" s="9">
        <f>IFERROR(VLOOKUP(B10,Ultracrecimiento!$A$6:$E$17,5,FALSE),0)</f>
        <v>0</v>
      </c>
      <c r="F10" s="9">
        <f>VLOOKUP(B10,Descentralizados!$I$6:$L$56,4,FALSE)</f>
        <v>511469.03323250258</v>
      </c>
      <c r="G10" s="62">
        <f t="shared" si="0"/>
        <v>1578275.7232325026</v>
      </c>
      <c r="J10" s="258" t="s">
        <v>25</v>
      </c>
      <c r="K10" s="249">
        <f t="shared" si="1"/>
        <v>1672898.67</v>
      </c>
      <c r="L10" s="249">
        <f t="shared" si="2"/>
        <v>0</v>
      </c>
      <c r="M10" s="249">
        <f t="shared" si="3"/>
        <v>1718602.0735388638</v>
      </c>
      <c r="N10" s="211">
        <f t="shared" si="4"/>
        <v>3468701.7636457523</v>
      </c>
      <c r="O10" s="208">
        <f t="shared" si="5"/>
        <v>6860202.5071846163</v>
      </c>
    </row>
    <row r="11" spans="1:15">
      <c r="A11" s="13" t="s">
        <v>6</v>
      </c>
      <c r="B11" s="64" t="s">
        <v>6</v>
      </c>
      <c r="C11" s="9">
        <f>VLOOKUP(B11,Seguridad!$A$14:$F$67,6,FALSE)</f>
        <v>3533642.5977373798</v>
      </c>
      <c r="D11" s="9">
        <f>VLOOKUP(B11,Desarrollo!$A$13:$D$69,4,FALSE)</f>
        <v>2009620.49</v>
      </c>
      <c r="E11" s="9">
        <f>IFERROR(VLOOKUP(B11,Ultracrecimiento!$A$6:$E$17,5,FALSE),0)</f>
        <v>2077706.7467410071</v>
      </c>
      <c r="F11" s="9">
        <f>VLOOKUP(B11,Descentralizados!$I$6:$L$56,4,FALSE)</f>
        <v>2229327.0761782369</v>
      </c>
      <c r="G11" s="62">
        <f t="shared" si="0"/>
        <v>9850296.9106566235</v>
      </c>
      <c r="J11" s="258" t="s">
        <v>31</v>
      </c>
      <c r="K11" s="249">
        <f t="shared" si="1"/>
        <v>1364774.86</v>
      </c>
      <c r="L11" s="249">
        <f t="shared" si="2"/>
        <v>1485736.4434584058</v>
      </c>
      <c r="M11" s="249">
        <f t="shared" si="3"/>
        <v>1251253.2801098649</v>
      </c>
      <c r="N11" s="211">
        <f t="shared" si="4"/>
        <v>2632041.9072682164</v>
      </c>
      <c r="O11" s="208">
        <f t="shared" si="5"/>
        <v>6733806.4908364862</v>
      </c>
    </row>
    <row r="12" spans="1:15">
      <c r="A12" s="13" t="s">
        <v>7</v>
      </c>
      <c r="B12" s="64" t="s">
        <v>7</v>
      </c>
      <c r="C12" s="9">
        <f>VLOOKUP(B12,Seguridad!$A$14:$F$67,6,FALSE)</f>
        <v>602961.71</v>
      </c>
      <c r="D12" s="9">
        <f>VLOOKUP(B12,Desarrollo!$A$13:$D$69,4,FALSE)</f>
        <v>390260</v>
      </c>
      <c r="E12" s="9">
        <f>IFERROR(VLOOKUP(B12,Ultracrecimiento!$A$6:$E$17,5,FALSE),0)</f>
        <v>0</v>
      </c>
      <c r="F12" s="9">
        <f>VLOOKUP(B12,Descentralizados!$I$6:$L$56,4,FALSE)</f>
        <v>685389.59118695778</v>
      </c>
      <c r="G12" s="62">
        <f t="shared" si="0"/>
        <v>1678611.3011869579</v>
      </c>
      <c r="J12" s="258" t="s">
        <v>39</v>
      </c>
      <c r="K12" s="249">
        <f t="shared" si="1"/>
        <v>5414226.3799999999</v>
      </c>
      <c r="L12" s="249">
        <f t="shared" si="2"/>
        <v>0</v>
      </c>
      <c r="M12" s="249">
        <f t="shared" si="3"/>
        <v>7393285.1175556742</v>
      </c>
      <c r="N12" s="211">
        <f t="shared" si="4"/>
        <v>5905511.3771533119</v>
      </c>
      <c r="O12" s="208">
        <f t="shared" si="5"/>
        <v>18713022.874708984</v>
      </c>
    </row>
    <row r="13" spans="1:15">
      <c r="A13" s="13" t="s">
        <v>8</v>
      </c>
      <c r="B13" s="64" t="s">
        <v>8</v>
      </c>
      <c r="C13" s="9">
        <f>VLOOKUP(B13,Seguridad!$A$14:$F$67,6,FALSE)</f>
        <v>399175.75</v>
      </c>
      <c r="D13" s="9">
        <f>VLOOKUP(B13,Desarrollo!$A$13:$D$69,4,FALSE)</f>
        <v>240921.07</v>
      </c>
      <c r="E13" s="9">
        <f>IFERROR(VLOOKUP(B13,Ultracrecimiento!$A$6:$E$17,5,FALSE),0)</f>
        <v>0</v>
      </c>
      <c r="F13" s="9">
        <f>VLOOKUP(B13,Descentralizados!$I$6:$L$56,4,FALSE)</f>
        <v>247851.58996842895</v>
      </c>
      <c r="G13" s="62">
        <f t="shared" si="0"/>
        <v>887948.40996842901</v>
      </c>
      <c r="J13" s="258" t="s">
        <v>45</v>
      </c>
      <c r="K13" s="249">
        <f t="shared" si="1"/>
        <v>715628.46</v>
      </c>
      <c r="L13" s="249">
        <f t="shared" si="2"/>
        <v>659932.01196578087</v>
      </c>
      <c r="M13" s="249">
        <f t="shared" si="3"/>
        <v>266656.27441285294</v>
      </c>
      <c r="N13" s="211">
        <f t="shared" si="4"/>
        <v>756323.83035263908</v>
      </c>
      <c r="O13" s="208">
        <f t="shared" si="5"/>
        <v>2398540.576731273</v>
      </c>
    </row>
    <row r="14" spans="1:15">
      <c r="A14" s="13" t="s">
        <v>194</v>
      </c>
      <c r="B14" s="64" t="s">
        <v>9</v>
      </c>
      <c r="C14" s="9">
        <f>VLOOKUP(B14,Seguridad!$A$14:$F$67,6,FALSE)</f>
        <v>929735.01641023904</v>
      </c>
      <c r="D14" s="9">
        <f>VLOOKUP(B14,Desarrollo!$A$13:$D$69,4,FALSE)</f>
        <v>775393.73</v>
      </c>
      <c r="E14" s="9">
        <f>IFERROR(VLOOKUP(B14,Ultracrecimiento!$A$6:$E$17,5,FALSE),0)</f>
        <v>736132.36799461534</v>
      </c>
      <c r="F14" s="9">
        <f>VLOOKUP(B14,Descentralizados!$I$6:$L$56,4,FALSE)</f>
        <v>506731.01118072955</v>
      </c>
      <c r="G14" s="62">
        <f t="shared" si="0"/>
        <v>2947992.125585584</v>
      </c>
      <c r="J14" s="258" t="s">
        <v>46</v>
      </c>
      <c r="K14" s="249">
        <f t="shared" si="1"/>
        <v>1698641.55</v>
      </c>
      <c r="L14" s="249">
        <f t="shared" si="2"/>
        <v>0</v>
      </c>
      <c r="M14" s="249">
        <f t="shared" si="3"/>
        <v>1757647.7485109828</v>
      </c>
      <c r="N14" s="211">
        <f t="shared" si="4"/>
        <v>2342833.1360309427</v>
      </c>
      <c r="O14" s="208">
        <f t="shared" si="5"/>
        <v>5799122.4345419258</v>
      </c>
    </row>
    <row r="15" spans="1:15">
      <c r="A15" s="13" t="s">
        <v>195</v>
      </c>
      <c r="B15" s="64" t="s">
        <v>10</v>
      </c>
      <c r="C15" s="9">
        <f>VLOOKUP(B15,Seguridad!$A$14:$F$67,6,FALSE)</f>
        <v>2212351.02</v>
      </c>
      <c r="D15" s="9">
        <f>VLOOKUP(B15,Desarrollo!$A$13:$D$69,4,FALSE)</f>
        <v>609443.43000000005</v>
      </c>
      <c r="E15" s="9">
        <f>IFERROR(VLOOKUP(B15,Ultracrecimiento!$A$6:$E$17,5,FALSE),0)</f>
        <v>674064.27108877513</v>
      </c>
      <c r="F15" s="9">
        <f>VLOOKUP(B15,Descentralizados!$I$6:$L$56,4,FALSE)</f>
        <v>901209.03352620406</v>
      </c>
      <c r="G15" s="62">
        <f t="shared" si="0"/>
        <v>4397067.754614979</v>
      </c>
      <c r="J15" s="258" t="s">
        <v>47</v>
      </c>
      <c r="K15" s="249">
        <f t="shared" si="1"/>
        <v>2750166.73</v>
      </c>
      <c r="L15" s="249">
        <f t="shared" si="2"/>
        <v>0</v>
      </c>
      <c r="M15" s="249">
        <f t="shared" si="3"/>
        <v>3352555.3861374836</v>
      </c>
      <c r="N15" s="211">
        <f t="shared" si="4"/>
        <v>977666.72429920267</v>
      </c>
      <c r="O15" s="208">
        <f t="shared" si="5"/>
        <v>7080388.8404366868</v>
      </c>
    </row>
    <row r="16" spans="1:15">
      <c r="A16" s="13" t="s">
        <v>189</v>
      </c>
      <c r="B16" s="64" t="s">
        <v>189</v>
      </c>
      <c r="C16" s="9">
        <f>VLOOKUP(B16,Seguridad!$A$14:$F$67,6,FALSE)</f>
        <v>465341.89</v>
      </c>
      <c r="D16" s="9">
        <f>VLOOKUP(B16,Desarrollo!$A$13:$D$69,4,FALSE)</f>
        <v>339721.85</v>
      </c>
      <c r="E16" s="9">
        <f>IFERROR(VLOOKUP(B16,Ultracrecimiento!$A$6:$E$17,5,FALSE),0)</f>
        <v>0</v>
      </c>
      <c r="F16" s="9">
        <f>VLOOKUP(B16,Descentralizados!$I$6:$L$56,4,FALSE)</f>
        <v>335262.86541885132</v>
      </c>
      <c r="G16" s="62">
        <f t="shared" si="0"/>
        <v>1140326.6054188514</v>
      </c>
      <c r="J16" s="258" t="s">
        <v>48</v>
      </c>
      <c r="K16" s="249">
        <f t="shared" si="1"/>
        <v>1160119.45</v>
      </c>
      <c r="L16" s="249">
        <f t="shared" si="2"/>
        <v>1174567.0456711713</v>
      </c>
      <c r="M16" s="249">
        <f t="shared" si="3"/>
        <v>940840.86049838585</v>
      </c>
      <c r="N16" s="211">
        <f t="shared" si="4"/>
        <v>1826675.1380488642</v>
      </c>
      <c r="O16" s="208">
        <f t="shared" si="5"/>
        <v>5102202.4942184212</v>
      </c>
    </row>
    <row r="17" spans="1:15" ht="13.8" thickBot="1">
      <c r="A17" s="13" t="s">
        <v>12</v>
      </c>
      <c r="B17" s="64" t="s">
        <v>12</v>
      </c>
      <c r="C17" s="9">
        <f>VLOOKUP(B17,Seguridad!$A$14:$F$67,6,FALSE)</f>
        <v>511922.56</v>
      </c>
      <c r="D17" s="9">
        <f>VLOOKUP(B17,Desarrollo!$A$13:$D$69,4,FALSE)</f>
        <v>388179.59</v>
      </c>
      <c r="E17" s="9">
        <f>IFERROR(VLOOKUP(B17,Ultracrecimiento!$A$6:$E$17,5,FALSE),0)</f>
        <v>0</v>
      </c>
      <c r="F17" s="9">
        <f>VLOOKUP(B17,Descentralizados!$I$6:$L$56,4,FALSE)</f>
        <v>463594.35675485799</v>
      </c>
      <c r="G17" s="62">
        <f t="shared" si="0"/>
        <v>1363696.506754858</v>
      </c>
      <c r="J17" s="258" t="s">
        <v>49</v>
      </c>
      <c r="K17" s="249">
        <f t="shared" si="1"/>
        <v>814812.01</v>
      </c>
      <c r="L17" s="249">
        <f t="shared" si="2"/>
        <v>671768.51395682571</v>
      </c>
      <c r="M17" s="249">
        <f t="shared" si="3"/>
        <v>417093.56118220865</v>
      </c>
      <c r="N17" s="211">
        <f t="shared" si="4"/>
        <v>561408.70170978492</v>
      </c>
      <c r="O17" s="208">
        <f t="shared" si="5"/>
        <v>2465082.7868488193</v>
      </c>
    </row>
    <row r="18" spans="1:15" ht="13.8" thickBot="1">
      <c r="A18" s="13" t="s">
        <v>196</v>
      </c>
      <c r="B18" s="64" t="s">
        <v>13</v>
      </c>
      <c r="C18" s="9">
        <f>VLOOKUP(B18,Seguridad!$A$14:$F$67,6,FALSE)</f>
        <v>1569735.53</v>
      </c>
      <c r="D18" s="9">
        <f>VLOOKUP(B18,Desarrollo!$A$13:$D$69,4,FALSE)</f>
        <v>499583.13</v>
      </c>
      <c r="E18" s="9">
        <f>IFERROR(VLOOKUP(B18,Ultracrecimiento!$A$6:$E$17,5,FALSE),0)</f>
        <v>607979.18865591078</v>
      </c>
      <c r="F18" s="9">
        <f>VLOOKUP(B18,Descentralizados!$I$6:$L$56,4,FALSE)</f>
        <v>670693.50041138555</v>
      </c>
      <c r="G18" s="62">
        <f t="shared" si="0"/>
        <v>3347991.3490672968</v>
      </c>
      <c r="J18" s="259" t="s">
        <v>129</v>
      </c>
      <c r="K18" s="260">
        <f>SUM(K6:K17)</f>
        <v>21086779.210000001</v>
      </c>
      <c r="L18" s="260">
        <f>SUM(L6:L17)</f>
        <v>9691335.545784615</v>
      </c>
      <c r="M18" s="260">
        <f>SUM(M6:M17)</f>
        <v>22307600.431250084</v>
      </c>
      <c r="N18" s="261">
        <f>SUM(N6:N17)</f>
        <v>27883557.854075603</v>
      </c>
      <c r="O18" s="256">
        <f>SUM(O6:O17)</f>
        <v>80969273.041110292</v>
      </c>
    </row>
    <row r="19" spans="1:15">
      <c r="A19" s="13" t="s">
        <v>14</v>
      </c>
      <c r="B19" s="64" t="s">
        <v>14</v>
      </c>
      <c r="C19" s="9">
        <f>VLOOKUP(B19,Seguridad!$A$14:$F$67,6,FALSE)</f>
        <v>982369.4</v>
      </c>
      <c r="D19" s="9">
        <f>VLOOKUP(B19,Desarrollo!$A$13:$D$69,4,FALSE)</f>
        <v>645578.04</v>
      </c>
      <c r="E19" s="9">
        <f>IFERROR(VLOOKUP(B19,Ultracrecimiento!$A$6:$E$17,5,FALSE),0)</f>
        <v>0</v>
      </c>
      <c r="F19" s="9">
        <f>VLOOKUP(B19,Descentralizados!$I$6:$L$56,4,FALSE)</f>
        <v>1585969.7013374334</v>
      </c>
      <c r="G19" s="62">
        <f t="shared" si="0"/>
        <v>3213917.1413374334</v>
      </c>
      <c r="J19" s="258" t="s">
        <v>1</v>
      </c>
      <c r="K19" s="249">
        <f t="shared" ref="K19:K57" si="6">VLOOKUP(J19,$B$6:$F$56,3,FALSE)</f>
        <v>212082.76</v>
      </c>
      <c r="L19" s="249">
        <f t="shared" ref="L19:L57" si="7">VLOOKUP(J19,$B$6:$F$56,4,FALSE)</f>
        <v>0</v>
      </c>
      <c r="M19" s="249">
        <f t="shared" ref="M19:M57" si="8">VLOOKUP(J19,$B$6:$F$56,5,FALSE)</f>
        <v>145369.52354865437</v>
      </c>
      <c r="N19" s="211">
        <f t="shared" ref="N19:N57" si="9">VLOOKUP(J19,$B$6:$F$56,2,FALSE)</f>
        <v>386820.17829125328</v>
      </c>
      <c r="O19" s="208">
        <f t="shared" si="5"/>
        <v>744272.46183990769</v>
      </c>
    </row>
    <row r="20" spans="1:15">
      <c r="A20" s="13" t="s">
        <v>15</v>
      </c>
      <c r="B20" s="64" t="s">
        <v>15</v>
      </c>
      <c r="C20" s="9">
        <f>VLOOKUP(B20,Seguridad!$A$14:$F$67,6,FALSE)</f>
        <v>357792.68</v>
      </c>
      <c r="D20" s="9">
        <f>VLOOKUP(B20,Desarrollo!$A$13:$D$69,4,FALSE)</f>
        <v>247376.92</v>
      </c>
      <c r="E20" s="9">
        <f>IFERROR(VLOOKUP(B20,Ultracrecimiento!$A$6:$E$17,5,FALSE),0)</f>
        <v>0</v>
      </c>
      <c r="F20" s="9">
        <f>VLOOKUP(B20,Descentralizados!$I$6:$L$56,4,FALSE)</f>
        <v>218983.81735002479</v>
      </c>
      <c r="G20" s="62">
        <f t="shared" si="0"/>
        <v>824153.4173500248</v>
      </c>
      <c r="J20" s="258" t="s">
        <v>2</v>
      </c>
      <c r="K20" s="249">
        <f t="shared" si="6"/>
        <v>238351.24</v>
      </c>
      <c r="L20" s="249">
        <f t="shared" si="7"/>
        <v>0</v>
      </c>
      <c r="M20" s="249">
        <f t="shared" si="8"/>
        <v>241719.38991096185</v>
      </c>
      <c r="N20" s="211">
        <f t="shared" si="9"/>
        <v>394157.98</v>
      </c>
      <c r="O20" s="208">
        <f t="shared" si="5"/>
        <v>874228.60991096182</v>
      </c>
    </row>
    <row r="21" spans="1:15">
      <c r="A21" s="13" t="s">
        <v>197</v>
      </c>
      <c r="B21" s="64" t="s">
        <v>16</v>
      </c>
      <c r="C21" s="9">
        <f>VLOOKUP(B21,Seguridad!$A$14:$F$67,6,FALSE)</f>
        <v>391891.9</v>
      </c>
      <c r="D21" s="9">
        <f>VLOOKUP(B21,Desarrollo!$A$13:$D$69,4,FALSE)</f>
        <v>228627.03</v>
      </c>
      <c r="E21" s="9">
        <f>IFERROR(VLOOKUP(B21,Ultracrecimiento!$A$6:$E$17,5,FALSE),0)</f>
        <v>0</v>
      </c>
      <c r="F21" s="9">
        <f>VLOOKUP(B21,Descentralizados!$I$6:$L$56,4,FALSE)</f>
        <v>109860.46261583385</v>
      </c>
      <c r="G21" s="62">
        <f t="shared" si="0"/>
        <v>730379.3926158339</v>
      </c>
      <c r="J21" s="258" t="s">
        <v>3</v>
      </c>
      <c r="K21" s="249">
        <f t="shared" si="6"/>
        <v>252002.33</v>
      </c>
      <c r="L21" s="249">
        <f t="shared" si="7"/>
        <v>0</v>
      </c>
      <c r="M21" s="249">
        <f t="shared" si="8"/>
        <v>184149.08754386404</v>
      </c>
      <c r="N21" s="211">
        <f t="shared" si="9"/>
        <v>358637.97</v>
      </c>
      <c r="O21" s="208">
        <f t="shared" si="5"/>
        <v>794789.38754386397</v>
      </c>
    </row>
    <row r="22" spans="1:15">
      <c r="A22" s="13" t="s">
        <v>17</v>
      </c>
      <c r="B22" s="64" t="s">
        <v>17</v>
      </c>
      <c r="C22" s="9">
        <f>VLOOKUP(B22,Seguridad!$A$14:$F$67,6,FALSE)</f>
        <v>1068966.29</v>
      </c>
      <c r="D22" s="9">
        <f>VLOOKUP(B22,Desarrollo!$A$13:$D$69,4,FALSE)</f>
        <v>614630.15</v>
      </c>
      <c r="E22" s="9">
        <f>IFERROR(VLOOKUP(B22,Ultracrecimiento!$A$6:$E$17,5,FALSE),0)</f>
        <v>0</v>
      </c>
      <c r="F22" s="9">
        <f>VLOOKUP(B22,Descentralizados!$I$6:$L$56,4,FALSE)</f>
        <v>1147558.9651947303</v>
      </c>
      <c r="G22" s="62">
        <f t="shared" si="0"/>
        <v>2831155.4051947305</v>
      </c>
      <c r="J22" s="258" t="s">
        <v>4</v>
      </c>
      <c r="K22" s="249">
        <f t="shared" si="6"/>
        <v>459728.1</v>
      </c>
      <c r="L22" s="249">
        <f t="shared" si="7"/>
        <v>0</v>
      </c>
      <c r="M22" s="249">
        <f t="shared" si="8"/>
        <v>709853.38313987956</v>
      </c>
      <c r="N22" s="211">
        <f t="shared" si="9"/>
        <v>967999.53</v>
      </c>
      <c r="O22" s="208">
        <f t="shared" si="5"/>
        <v>2137581.0131398793</v>
      </c>
    </row>
    <row r="23" spans="1:15">
      <c r="A23" s="13" t="s">
        <v>198</v>
      </c>
      <c r="B23" s="64" t="s">
        <v>18</v>
      </c>
      <c r="C23" s="9">
        <f>VLOOKUP(B23,Seguridad!$A$14:$F$67,6,FALSE)</f>
        <v>2269736.3064858736</v>
      </c>
      <c r="D23" s="9">
        <f>VLOOKUP(B23,Desarrollo!$A$13:$D$69,4,FALSE)</f>
        <v>1209802.94</v>
      </c>
      <c r="E23" s="9">
        <f>IFERROR(VLOOKUP(B23,Ultracrecimiento!$A$6:$E$17,5,FALSE),0)</f>
        <v>1308890.6139026871</v>
      </c>
      <c r="F23" s="9">
        <f>VLOOKUP(B23,Descentralizados!$I$6:$L$56,4,FALSE)</f>
        <v>1016198.6147387596</v>
      </c>
      <c r="G23" s="62">
        <f t="shared" si="0"/>
        <v>5804628.4751273198</v>
      </c>
      <c r="J23" s="258" t="s">
        <v>5</v>
      </c>
      <c r="K23" s="249">
        <f t="shared" si="6"/>
        <v>409207.11</v>
      </c>
      <c r="L23" s="249">
        <f t="shared" si="7"/>
        <v>0</v>
      </c>
      <c r="M23" s="249">
        <f t="shared" si="8"/>
        <v>511469.03323250258</v>
      </c>
      <c r="N23" s="211">
        <f t="shared" si="9"/>
        <v>657599.57999999996</v>
      </c>
      <c r="O23" s="208">
        <f t="shared" si="5"/>
        <v>1578275.7232325026</v>
      </c>
    </row>
    <row r="24" spans="1:15">
      <c r="A24" s="13" t="s">
        <v>19</v>
      </c>
      <c r="B24" s="64" t="s">
        <v>19</v>
      </c>
      <c r="C24" s="9">
        <f>VLOOKUP(B24,Seguridad!$A$14:$F$67,6,FALSE)</f>
        <v>432357.73</v>
      </c>
      <c r="D24" s="9">
        <f>VLOOKUP(B24,Desarrollo!$A$13:$D$69,4,FALSE)</f>
        <v>329171.71999999997</v>
      </c>
      <c r="E24" s="9">
        <f>IFERROR(VLOOKUP(B24,Ultracrecimiento!$A$6:$E$17,5,FALSE),0)</f>
        <v>0</v>
      </c>
      <c r="F24" s="9">
        <f>VLOOKUP(B24,Descentralizados!$I$6:$L$56,4,FALSE)</f>
        <v>313125.9545100762</v>
      </c>
      <c r="G24" s="62">
        <f t="shared" si="0"/>
        <v>1074655.4045100762</v>
      </c>
      <c r="J24" s="258" t="s">
        <v>7</v>
      </c>
      <c r="K24" s="249">
        <f t="shared" si="6"/>
        <v>390260</v>
      </c>
      <c r="L24" s="249">
        <f t="shared" si="7"/>
        <v>0</v>
      </c>
      <c r="M24" s="249">
        <f t="shared" si="8"/>
        <v>685389.59118695778</v>
      </c>
      <c r="N24" s="211">
        <f t="shared" si="9"/>
        <v>602961.71</v>
      </c>
      <c r="O24" s="208">
        <f t="shared" si="5"/>
        <v>1678611.3011869579</v>
      </c>
    </row>
    <row r="25" spans="1:15">
      <c r="A25" s="13" t="s">
        <v>20</v>
      </c>
      <c r="B25" s="64" t="s">
        <v>20</v>
      </c>
      <c r="C25" s="9">
        <f>VLOOKUP(B25,Seguridad!$A$14:$F$67,6,FALSE)</f>
        <v>2679281.3549333974</v>
      </c>
      <c r="D25" s="9">
        <f>VLOOKUP(B25,Desarrollo!$A$13:$D$69,4,FALSE)</f>
        <v>1500693.94</v>
      </c>
      <c r="E25" s="9">
        <f>IFERROR(VLOOKUP(B25,Ultracrecimiento!$A$6:$E$17,5,FALSE),0)</f>
        <v>1576601.8020941212</v>
      </c>
      <c r="F25" s="9">
        <f>VLOOKUP(B25,Descentralizados!$I$6:$L$56,4,FALSE)</f>
        <v>1457409.4272060406</v>
      </c>
      <c r="G25" s="62">
        <f t="shared" si="0"/>
        <v>7213986.5242335591</v>
      </c>
      <c r="J25" s="258" t="s">
        <v>8</v>
      </c>
      <c r="K25" s="249">
        <f t="shared" si="6"/>
        <v>240921.07</v>
      </c>
      <c r="L25" s="249">
        <f t="shared" si="7"/>
        <v>0</v>
      </c>
      <c r="M25" s="249">
        <f t="shared" si="8"/>
        <v>247851.58996842895</v>
      </c>
      <c r="N25" s="211">
        <f t="shared" si="9"/>
        <v>399175.75</v>
      </c>
      <c r="O25" s="208">
        <f t="shared" si="5"/>
        <v>887948.40996842901</v>
      </c>
    </row>
    <row r="26" spans="1:15">
      <c r="A26" s="13" t="s">
        <v>200</v>
      </c>
      <c r="B26" s="64" t="s">
        <v>21</v>
      </c>
      <c r="C26" s="9">
        <f>VLOOKUP(B26,Seguridad!$A$14:$F$67,6,FALSE)</f>
        <v>587081.11</v>
      </c>
      <c r="D26" s="9">
        <f>VLOOKUP(B26,Desarrollo!$A$13:$D$69,4,FALSE)</f>
        <v>381175.3</v>
      </c>
      <c r="E26" s="9">
        <f>IFERROR(VLOOKUP(B26,Ultracrecimiento!$A$6:$E$17,5,FALSE),0)</f>
        <v>0</v>
      </c>
      <c r="F26" s="9">
        <f>VLOOKUP(B26,Descentralizados!$I$6:$L$56,4,FALSE)</f>
        <v>422243.00989880943</v>
      </c>
      <c r="G26" s="62">
        <f t="shared" si="0"/>
        <v>1390499.4198988094</v>
      </c>
      <c r="J26" s="258" t="s">
        <v>10</v>
      </c>
      <c r="K26" s="249">
        <f t="shared" si="6"/>
        <v>609443.43000000005</v>
      </c>
      <c r="L26" s="249">
        <f t="shared" si="7"/>
        <v>674064.27108877513</v>
      </c>
      <c r="M26" s="249">
        <f t="shared" si="8"/>
        <v>901209.03352620406</v>
      </c>
      <c r="N26" s="211">
        <f t="shared" si="9"/>
        <v>2212351.02</v>
      </c>
      <c r="O26" s="208">
        <f t="shared" si="5"/>
        <v>4397067.754614979</v>
      </c>
    </row>
    <row r="27" spans="1:15">
      <c r="A27" s="13" t="s">
        <v>22</v>
      </c>
      <c r="B27" s="64" t="s">
        <v>22</v>
      </c>
      <c r="C27" s="9">
        <f>VLOOKUP(B27,Seguridad!$A$14:$F$67,6,FALSE)</f>
        <v>365849.88</v>
      </c>
      <c r="D27" s="9">
        <f>VLOOKUP(B27,Desarrollo!$A$13:$D$69,4,FALSE)</f>
        <v>219386.15</v>
      </c>
      <c r="E27" s="9">
        <f>IFERROR(VLOOKUP(B27,Ultracrecimiento!$A$6:$E$17,5,FALSE),0)</f>
        <v>0</v>
      </c>
      <c r="F27" s="9">
        <f>VLOOKUP(B27,Descentralizados!$I$6:$L$56,4,FALSE)</f>
        <v>214938.94027262507</v>
      </c>
      <c r="G27" s="62">
        <f t="shared" si="0"/>
        <v>800174.9702726251</v>
      </c>
      <c r="J27" s="258" t="s">
        <v>189</v>
      </c>
      <c r="K27" s="249">
        <f t="shared" si="6"/>
        <v>339721.85</v>
      </c>
      <c r="L27" s="249">
        <f t="shared" si="7"/>
        <v>0</v>
      </c>
      <c r="M27" s="249">
        <f t="shared" si="8"/>
        <v>335262.86541885132</v>
      </c>
      <c r="N27" s="211">
        <f t="shared" si="9"/>
        <v>465341.89</v>
      </c>
      <c r="O27" s="208">
        <f t="shared" si="5"/>
        <v>1140326.6054188511</v>
      </c>
    </row>
    <row r="28" spans="1:15">
      <c r="A28" s="13" t="s">
        <v>23</v>
      </c>
      <c r="B28" s="64" t="s">
        <v>23</v>
      </c>
      <c r="C28" s="9">
        <f>VLOOKUP(B28,Seguridad!$A$14:$F$67,6,FALSE)</f>
        <v>446313.95</v>
      </c>
      <c r="D28" s="9">
        <f>VLOOKUP(B28,Desarrollo!$A$13:$D$69,4,FALSE)</f>
        <v>292772.78000000003</v>
      </c>
      <c r="E28" s="9">
        <f>IFERROR(VLOOKUP(B28,Ultracrecimiento!$A$6:$E$17,5,FALSE),0)</f>
        <v>0</v>
      </c>
      <c r="F28" s="9">
        <f>VLOOKUP(B28,Descentralizados!$I$6:$L$56,4,FALSE)</f>
        <v>340332.44893929962</v>
      </c>
      <c r="G28" s="62">
        <f t="shared" si="0"/>
        <v>1079419.1789392997</v>
      </c>
      <c r="J28" s="258" t="s">
        <v>12</v>
      </c>
      <c r="K28" s="249">
        <f t="shared" si="6"/>
        <v>388179.59</v>
      </c>
      <c r="L28" s="249">
        <f t="shared" si="7"/>
        <v>0</v>
      </c>
      <c r="M28" s="249">
        <f t="shared" si="8"/>
        <v>463594.35675485799</v>
      </c>
      <c r="N28" s="211">
        <f t="shared" si="9"/>
        <v>511922.56</v>
      </c>
      <c r="O28" s="208">
        <f t="shared" si="5"/>
        <v>1363696.506754858</v>
      </c>
    </row>
    <row r="29" spans="1:15">
      <c r="A29" s="13" t="s">
        <v>24</v>
      </c>
      <c r="B29" s="64" t="s">
        <v>24</v>
      </c>
      <c r="C29" s="9">
        <f>VLOOKUP(B29,Seguridad!$A$14:$F$67,6,FALSE)</f>
        <v>2170464.38</v>
      </c>
      <c r="D29" s="9">
        <f>VLOOKUP(B29,Desarrollo!$A$13:$D$69,4,FALSE)</f>
        <v>597667.25</v>
      </c>
      <c r="E29" s="9">
        <f>IFERROR(VLOOKUP(B29,Ultracrecimiento!$A$6:$E$17,5,FALSE),0)</f>
        <v>668718.16860718466</v>
      </c>
      <c r="F29" s="9">
        <f>VLOOKUP(B29,Descentralizados!$I$6:$L$56,4,FALSE)</f>
        <v>876499.52562279732</v>
      </c>
      <c r="G29" s="62">
        <f t="shared" si="0"/>
        <v>4313349.3242299818</v>
      </c>
      <c r="J29" s="258" t="s">
        <v>13</v>
      </c>
      <c r="K29" s="249">
        <f t="shared" si="6"/>
        <v>499583.13</v>
      </c>
      <c r="L29" s="249">
        <f t="shared" si="7"/>
        <v>607979.18865591078</v>
      </c>
      <c r="M29" s="249">
        <f t="shared" si="8"/>
        <v>670693.50041138555</v>
      </c>
      <c r="N29" s="211">
        <f t="shared" si="9"/>
        <v>1569735.53</v>
      </c>
      <c r="O29" s="208">
        <f t="shared" si="5"/>
        <v>3347991.3490672968</v>
      </c>
    </row>
    <row r="30" spans="1:15">
      <c r="A30" s="13" t="s">
        <v>25</v>
      </c>
      <c r="B30" s="64" t="s">
        <v>25</v>
      </c>
      <c r="C30" s="9">
        <f>VLOOKUP(B30,Seguridad!$A$14:$F$67,6,FALSE)</f>
        <v>3468701.7636457523</v>
      </c>
      <c r="D30" s="9">
        <f>VLOOKUP(B30,Desarrollo!$A$13:$D$69,4,FALSE)</f>
        <v>1672898.67</v>
      </c>
      <c r="E30" s="9">
        <f>IFERROR(VLOOKUP(B30,Ultracrecimiento!$A$6:$E$17,5,FALSE),0)</f>
        <v>0</v>
      </c>
      <c r="F30" s="9">
        <f>VLOOKUP(B30,Descentralizados!$I$6:$L$56,4,FALSE)</f>
        <v>1718602.0735388638</v>
      </c>
      <c r="G30" s="62">
        <f t="shared" si="0"/>
        <v>6860202.5071846163</v>
      </c>
      <c r="J30" s="258" t="s">
        <v>14</v>
      </c>
      <c r="K30" s="249">
        <f t="shared" si="6"/>
        <v>645578.04</v>
      </c>
      <c r="L30" s="249">
        <f t="shared" si="7"/>
        <v>0</v>
      </c>
      <c r="M30" s="249">
        <f t="shared" si="8"/>
        <v>1585969.7013374334</v>
      </c>
      <c r="N30" s="211">
        <f t="shared" si="9"/>
        <v>982369.4</v>
      </c>
      <c r="O30" s="208">
        <f t="shared" si="5"/>
        <v>3213917.1413374334</v>
      </c>
    </row>
    <row r="31" spans="1:15">
      <c r="A31" s="13" t="s">
        <v>201</v>
      </c>
      <c r="B31" s="64" t="s">
        <v>26</v>
      </c>
      <c r="C31" s="9">
        <f>VLOOKUP(B31,Seguridad!$A$14:$F$67,6,FALSE)</f>
        <v>368565.59</v>
      </c>
      <c r="D31" s="9">
        <f>VLOOKUP(B31,Desarrollo!$A$13:$D$69,4,FALSE)</f>
        <v>221054.18</v>
      </c>
      <c r="E31" s="9">
        <f>IFERROR(VLOOKUP(B31,Ultracrecimiento!$A$6:$E$17,5,FALSE),0)</f>
        <v>0</v>
      </c>
      <c r="F31" s="9">
        <f>VLOOKUP(B31,Descentralizados!$I$6:$L$56,4,FALSE)</f>
        <v>201348.380720783</v>
      </c>
      <c r="G31" s="62">
        <f t="shared" si="0"/>
        <v>790968.15072078304</v>
      </c>
      <c r="J31" s="258" t="s">
        <v>15</v>
      </c>
      <c r="K31" s="249">
        <f t="shared" si="6"/>
        <v>247376.92</v>
      </c>
      <c r="L31" s="249">
        <f t="shared" si="7"/>
        <v>0</v>
      </c>
      <c r="M31" s="249">
        <f t="shared" si="8"/>
        <v>218983.81735002479</v>
      </c>
      <c r="N31" s="211">
        <f t="shared" si="9"/>
        <v>357792.68</v>
      </c>
      <c r="O31" s="208">
        <f t="shared" si="5"/>
        <v>824153.4173500248</v>
      </c>
    </row>
    <row r="32" spans="1:15">
      <c r="A32" s="13" t="s">
        <v>27</v>
      </c>
      <c r="B32" s="64" t="s">
        <v>27</v>
      </c>
      <c r="C32" s="9">
        <f>VLOOKUP(B32,Seguridad!$A$14:$F$67,6,FALSE)</f>
        <v>622637.1</v>
      </c>
      <c r="D32" s="9">
        <f>VLOOKUP(B32,Desarrollo!$A$13:$D$69,4,FALSE)</f>
        <v>258008.06</v>
      </c>
      <c r="E32" s="9">
        <f>IFERROR(VLOOKUP(B32,Ultracrecimiento!$A$6:$E$17,5,FALSE),0)</f>
        <v>0</v>
      </c>
      <c r="F32" s="9">
        <f>VLOOKUP(B32,Descentralizados!$I$6:$L$56,4,FALSE)</f>
        <v>210306.25401232424</v>
      </c>
      <c r="G32" s="62">
        <f t="shared" si="0"/>
        <v>1090951.4140123241</v>
      </c>
      <c r="J32" s="258" t="s">
        <v>16</v>
      </c>
      <c r="K32" s="249">
        <f t="shared" si="6"/>
        <v>228627.03</v>
      </c>
      <c r="L32" s="249">
        <f t="shared" si="7"/>
        <v>0</v>
      </c>
      <c r="M32" s="249">
        <f t="shared" si="8"/>
        <v>109860.46261583385</v>
      </c>
      <c r="N32" s="211">
        <f t="shared" si="9"/>
        <v>391891.9</v>
      </c>
      <c r="O32" s="208">
        <f t="shared" si="5"/>
        <v>730379.3926158339</v>
      </c>
    </row>
    <row r="33" spans="1:15">
      <c r="A33" s="13" t="s">
        <v>28</v>
      </c>
      <c r="B33" s="64" t="s">
        <v>28</v>
      </c>
      <c r="C33" s="9">
        <f>VLOOKUP(B33,Seguridad!$A$14:$F$67,6,FALSE)</f>
        <v>358260.29</v>
      </c>
      <c r="D33" s="9">
        <f>VLOOKUP(B33,Desarrollo!$A$13:$D$69,4,FALSE)</f>
        <v>238912.17</v>
      </c>
      <c r="E33" s="9">
        <f>IFERROR(VLOOKUP(B33,Ultracrecimiento!$A$6:$E$17,5,FALSE),0)</f>
        <v>0</v>
      </c>
      <c r="F33" s="9">
        <f>VLOOKUP(B33,Descentralizados!$I$6:$L$56,4,FALSE)</f>
        <v>184361.89706776637</v>
      </c>
      <c r="G33" s="62">
        <f t="shared" si="0"/>
        <v>781534.35706776637</v>
      </c>
      <c r="J33" s="258" t="s">
        <v>17</v>
      </c>
      <c r="K33" s="249">
        <f t="shared" si="6"/>
        <v>614630.15</v>
      </c>
      <c r="L33" s="249">
        <f t="shared" si="7"/>
        <v>0</v>
      </c>
      <c r="M33" s="249">
        <f t="shared" si="8"/>
        <v>1147558.9651947303</v>
      </c>
      <c r="N33" s="211">
        <f t="shared" si="9"/>
        <v>1068966.29</v>
      </c>
      <c r="O33" s="208">
        <f t="shared" si="5"/>
        <v>2831155.4051947305</v>
      </c>
    </row>
    <row r="34" spans="1:15">
      <c r="A34" s="13" t="s">
        <v>29</v>
      </c>
      <c r="B34" s="64" t="s">
        <v>29</v>
      </c>
      <c r="C34" s="9">
        <f>VLOOKUP(B34,Seguridad!$A$14:$F$67,6,FALSE)</f>
        <v>459694.66</v>
      </c>
      <c r="D34" s="9">
        <f>VLOOKUP(B34,Desarrollo!$A$13:$D$69,4,FALSE)</f>
        <v>248868.91</v>
      </c>
      <c r="E34" s="9">
        <f>IFERROR(VLOOKUP(B34,Ultracrecimiento!$A$6:$E$17,5,FALSE),0)</f>
        <v>0</v>
      </c>
      <c r="F34" s="9">
        <f>VLOOKUP(B34,Descentralizados!$I$6:$L$56,4,FALSE)</f>
        <v>153121.62531019372</v>
      </c>
      <c r="G34" s="62">
        <f t="shared" si="0"/>
        <v>861685.1953101937</v>
      </c>
      <c r="J34" s="258" t="s">
        <v>19</v>
      </c>
      <c r="K34" s="249">
        <f t="shared" si="6"/>
        <v>329171.71999999997</v>
      </c>
      <c r="L34" s="249">
        <f t="shared" si="7"/>
        <v>0</v>
      </c>
      <c r="M34" s="249">
        <f t="shared" si="8"/>
        <v>313125.9545100762</v>
      </c>
      <c r="N34" s="211">
        <f t="shared" si="9"/>
        <v>432357.73</v>
      </c>
      <c r="O34" s="208">
        <f t="shared" si="5"/>
        <v>1074655.4045100762</v>
      </c>
    </row>
    <row r="35" spans="1:15">
      <c r="A35" s="13" t="s">
        <v>30</v>
      </c>
      <c r="B35" s="64" t="s">
        <v>30</v>
      </c>
      <c r="C35" s="9">
        <f>VLOOKUP(B35,Seguridad!$A$14:$F$67,6,FALSE)</f>
        <v>392647.26</v>
      </c>
      <c r="D35" s="9">
        <f>VLOOKUP(B35,Desarrollo!$A$13:$D$69,4,FALSE)</f>
        <v>251851.53</v>
      </c>
      <c r="E35" s="9">
        <f>IFERROR(VLOOKUP(B35,Ultracrecimiento!$A$6:$E$17,5,FALSE),0)</f>
        <v>0</v>
      </c>
      <c r="F35" s="9">
        <f>VLOOKUP(B35,Descentralizados!$I$6:$L$56,4,FALSE)</f>
        <v>200994.39261957086</v>
      </c>
      <c r="G35" s="62">
        <f t="shared" si="0"/>
        <v>845493.18261957087</v>
      </c>
      <c r="J35" s="258" t="s">
        <v>21</v>
      </c>
      <c r="K35" s="249">
        <f t="shared" si="6"/>
        <v>381175.3</v>
      </c>
      <c r="L35" s="249">
        <f t="shared" si="7"/>
        <v>0</v>
      </c>
      <c r="M35" s="249">
        <f t="shared" si="8"/>
        <v>422243.00989880943</v>
      </c>
      <c r="N35" s="211">
        <f t="shared" si="9"/>
        <v>587081.11</v>
      </c>
      <c r="O35" s="208">
        <f t="shared" si="5"/>
        <v>1390499.4198988094</v>
      </c>
    </row>
    <row r="36" spans="1:15">
      <c r="A36" s="13" t="s">
        <v>202</v>
      </c>
      <c r="B36" s="64" t="s">
        <v>31</v>
      </c>
      <c r="C36" s="9">
        <f>VLOOKUP(B36,Seguridad!$A$14:$F$67,6,FALSE)</f>
        <v>2632041.9072682164</v>
      </c>
      <c r="D36" s="9">
        <f>VLOOKUP(B36,Desarrollo!$A$13:$D$69,4,FALSE)</f>
        <v>1364774.86</v>
      </c>
      <c r="E36" s="9">
        <f>IFERROR(VLOOKUP(B36,Ultracrecimiento!$A$6:$E$17,5,FALSE),0)</f>
        <v>1485736.4434584058</v>
      </c>
      <c r="F36" s="9">
        <f>VLOOKUP(B36,Descentralizados!$I$6:$L$56,4,FALSE)</f>
        <v>1251253.2801098649</v>
      </c>
      <c r="G36" s="62">
        <f t="shared" si="0"/>
        <v>6733806.4908364872</v>
      </c>
      <c r="J36" s="258" t="s">
        <v>22</v>
      </c>
      <c r="K36" s="249">
        <f t="shared" si="6"/>
        <v>219386.15</v>
      </c>
      <c r="L36" s="249">
        <f t="shared" si="7"/>
        <v>0</v>
      </c>
      <c r="M36" s="249">
        <f t="shared" si="8"/>
        <v>214938.94027262507</v>
      </c>
      <c r="N36" s="211">
        <f t="shared" si="9"/>
        <v>365849.88</v>
      </c>
      <c r="O36" s="208">
        <f t="shared" si="5"/>
        <v>800174.9702726251</v>
      </c>
    </row>
    <row r="37" spans="1:15">
      <c r="A37" s="13" t="s">
        <v>32</v>
      </c>
      <c r="B37" s="64" t="s">
        <v>32</v>
      </c>
      <c r="C37" s="9">
        <f>VLOOKUP(B37,Seguridad!$A$14:$F$67,6,FALSE)</f>
        <v>429570.09</v>
      </c>
      <c r="D37" s="9">
        <f>VLOOKUP(B37,Desarrollo!$A$13:$D$69,4,FALSE)</f>
        <v>350941.83</v>
      </c>
      <c r="E37" s="9">
        <f>IFERROR(VLOOKUP(B37,Ultracrecimiento!$A$6:$E$17,5,FALSE),0)</f>
        <v>0</v>
      </c>
      <c r="F37" s="9">
        <f>VLOOKUP(B37,Descentralizados!$I$6:$L$56,4,FALSE)</f>
        <v>406614.37317754544</v>
      </c>
      <c r="G37" s="62">
        <f t="shared" si="0"/>
        <v>1187126.2931775455</v>
      </c>
      <c r="J37" s="258" t="s">
        <v>23</v>
      </c>
      <c r="K37" s="249">
        <f t="shared" si="6"/>
        <v>292772.78000000003</v>
      </c>
      <c r="L37" s="249">
        <f t="shared" si="7"/>
        <v>0</v>
      </c>
      <c r="M37" s="249">
        <f t="shared" si="8"/>
        <v>340332.44893929962</v>
      </c>
      <c r="N37" s="211">
        <f t="shared" si="9"/>
        <v>446313.95</v>
      </c>
      <c r="O37" s="208">
        <f t="shared" si="5"/>
        <v>1079419.1789392997</v>
      </c>
    </row>
    <row r="38" spans="1:15">
      <c r="A38" s="13" t="s">
        <v>33</v>
      </c>
      <c r="B38" s="64" t="s">
        <v>33</v>
      </c>
      <c r="C38" s="9">
        <f>VLOOKUP(B38,Seguridad!$A$14:$F$67,6,FALSE)</f>
        <v>1856035.83</v>
      </c>
      <c r="D38" s="9">
        <f>VLOOKUP(B38,Desarrollo!$A$13:$D$69,4,FALSE)</f>
        <v>658559.72</v>
      </c>
      <c r="E38" s="9">
        <f>IFERROR(VLOOKUP(B38,Ultracrecimiento!$A$6:$E$17,5,FALSE),0)</f>
        <v>0</v>
      </c>
      <c r="F38" s="9">
        <f>VLOOKUP(B38,Descentralizados!$I$6:$L$56,4,FALSE)</f>
        <v>1180575.9289833552</v>
      </c>
      <c r="G38" s="62">
        <f t="shared" ref="G38:G56" si="10">SUM(C38:F38)</f>
        <v>3695171.4789833548</v>
      </c>
      <c r="J38" s="258" t="s">
        <v>24</v>
      </c>
      <c r="K38" s="249">
        <f t="shared" si="6"/>
        <v>597667.25</v>
      </c>
      <c r="L38" s="249">
        <f t="shared" si="7"/>
        <v>668718.16860718466</v>
      </c>
      <c r="M38" s="249">
        <f t="shared" si="8"/>
        <v>876499.52562279732</v>
      </c>
      <c r="N38" s="211">
        <f t="shared" si="9"/>
        <v>2170464.38</v>
      </c>
      <c r="O38" s="208">
        <f t="shared" si="5"/>
        <v>4313349.3242299818</v>
      </c>
    </row>
    <row r="39" spans="1:15">
      <c r="A39" s="13" t="s">
        <v>203</v>
      </c>
      <c r="B39" s="64" t="s">
        <v>34</v>
      </c>
      <c r="C39" s="9">
        <f>VLOOKUP(B39,Seguridad!$A$14:$F$67,6,FALSE)</f>
        <v>425397.61</v>
      </c>
      <c r="D39" s="9">
        <f>VLOOKUP(B39,Desarrollo!$A$13:$D$69,4,FALSE)</f>
        <v>267018.7</v>
      </c>
      <c r="E39" s="9">
        <f>IFERROR(VLOOKUP(B39,Ultracrecimiento!$A$6:$E$17,5,FALSE),0)</f>
        <v>0</v>
      </c>
      <c r="F39" s="9">
        <f>VLOOKUP(B39,Descentralizados!$I$6:$L$56,4,FALSE)</f>
        <v>264613.6535775896</v>
      </c>
      <c r="G39" s="62">
        <f t="shared" si="10"/>
        <v>957029.96357758972</v>
      </c>
      <c r="J39" s="258" t="s">
        <v>26</v>
      </c>
      <c r="K39" s="249">
        <f t="shared" si="6"/>
        <v>221054.18</v>
      </c>
      <c r="L39" s="249">
        <f t="shared" si="7"/>
        <v>0</v>
      </c>
      <c r="M39" s="249">
        <f t="shared" si="8"/>
        <v>201348.380720783</v>
      </c>
      <c r="N39" s="211">
        <f t="shared" si="9"/>
        <v>368565.59</v>
      </c>
      <c r="O39" s="208">
        <f t="shared" si="5"/>
        <v>790968.15072078304</v>
      </c>
    </row>
    <row r="40" spans="1:15">
      <c r="A40" s="13" t="s">
        <v>35</v>
      </c>
      <c r="B40" s="64" t="s">
        <v>35</v>
      </c>
      <c r="C40" s="9">
        <f>VLOOKUP(B40,Seguridad!$A$14:$F$67,6,FALSE)</f>
        <v>360004.82</v>
      </c>
      <c r="D40" s="9">
        <f>VLOOKUP(B40,Desarrollo!$A$13:$D$69,4,FALSE)</f>
        <v>195895.9</v>
      </c>
      <c r="E40" s="9">
        <f>IFERROR(VLOOKUP(B40,Ultracrecimiento!$A$6:$E$17,5,FALSE),0)</f>
        <v>0</v>
      </c>
      <c r="F40" s="9">
        <f>VLOOKUP(B40,Descentralizados!$I$6:$L$56,4,FALSE)</f>
        <v>258289.40993765972</v>
      </c>
      <c r="G40" s="62">
        <f t="shared" si="10"/>
        <v>814190.12993765972</v>
      </c>
      <c r="J40" s="258" t="s">
        <v>27</v>
      </c>
      <c r="K40" s="249">
        <f t="shared" si="6"/>
        <v>258008.06</v>
      </c>
      <c r="L40" s="249">
        <f t="shared" si="7"/>
        <v>0</v>
      </c>
      <c r="M40" s="249">
        <f t="shared" si="8"/>
        <v>210306.25401232424</v>
      </c>
      <c r="N40" s="211">
        <f t="shared" si="9"/>
        <v>622637.1</v>
      </c>
      <c r="O40" s="208">
        <f t="shared" si="5"/>
        <v>1090951.4140123241</v>
      </c>
    </row>
    <row r="41" spans="1:15">
      <c r="A41" s="13" t="s">
        <v>36</v>
      </c>
      <c r="B41" s="64" t="s">
        <v>36</v>
      </c>
      <c r="C41" s="9">
        <f>VLOOKUP(B41,Seguridad!$A$14:$F$67,6,FALSE)</f>
        <v>470953.15</v>
      </c>
      <c r="D41" s="9">
        <f>VLOOKUP(B41,Desarrollo!$A$13:$D$69,4,FALSE)</f>
        <v>304198.43</v>
      </c>
      <c r="E41" s="9">
        <f>IFERROR(VLOOKUP(B41,Ultracrecimiento!$A$6:$E$17,5,FALSE),0)</f>
        <v>0</v>
      </c>
      <c r="F41" s="9">
        <f>VLOOKUP(B41,Descentralizados!$I$6:$L$56,4,FALSE)</f>
        <v>334120.64596245222</v>
      </c>
      <c r="G41" s="62">
        <f t="shared" si="10"/>
        <v>1109272.2259624524</v>
      </c>
      <c r="J41" s="258" t="s">
        <v>28</v>
      </c>
      <c r="K41" s="249">
        <f t="shared" si="6"/>
        <v>238912.17</v>
      </c>
      <c r="L41" s="249">
        <f t="shared" si="7"/>
        <v>0</v>
      </c>
      <c r="M41" s="249">
        <f t="shared" si="8"/>
        <v>184361.89706776637</v>
      </c>
      <c r="N41" s="211">
        <f t="shared" si="9"/>
        <v>358260.29</v>
      </c>
      <c r="O41" s="208">
        <f t="shared" si="5"/>
        <v>781534.35706776637</v>
      </c>
    </row>
    <row r="42" spans="1:15">
      <c r="A42" s="13" t="s">
        <v>37</v>
      </c>
      <c r="B42" s="64" t="s">
        <v>37</v>
      </c>
      <c r="C42" s="9">
        <f>VLOOKUP(B42,Seguridad!$A$14:$F$67,6,FALSE)</f>
        <v>442105.5</v>
      </c>
      <c r="D42" s="9">
        <f>VLOOKUP(B42,Desarrollo!$A$13:$D$69,4,FALSE)</f>
        <v>342188.91</v>
      </c>
      <c r="E42" s="9">
        <f>IFERROR(VLOOKUP(B42,Ultracrecimiento!$A$6:$E$17,5,FALSE),0)</f>
        <v>0</v>
      </c>
      <c r="F42" s="9">
        <f>VLOOKUP(B42,Descentralizados!$I$6:$L$56,4,FALSE)</f>
        <v>340439.40219221031</v>
      </c>
      <c r="G42" s="62">
        <f t="shared" si="10"/>
        <v>1124733.8121922102</v>
      </c>
      <c r="J42" s="258" t="s">
        <v>29</v>
      </c>
      <c r="K42" s="249">
        <f t="shared" si="6"/>
        <v>248868.91</v>
      </c>
      <c r="L42" s="249">
        <f t="shared" si="7"/>
        <v>0</v>
      </c>
      <c r="M42" s="249">
        <f t="shared" si="8"/>
        <v>153121.62531019372</v>
      </c>
      <c r="N42" s="211">
        <f t="shared" si="9"/>
        <v>459694.66</v>
      </c>
      <c r="O42" s="208">
        <f t="shared" si="5"/>
        <v>861685.1953101937</v>
      </c>
    </row>
    <row r="43" spans="1:15">
      <c r="A43" s="13" t="s">
        <v>38</v>
      </c>
      <c r="B43" s="64" t="s">
        <v>38</v>
      </c>
      <c r="C43" s="9">
        <f>VLOOKUP(B43,Seguridad!$A$14:$F$67,6,FALSE)</f>
        <v>1546013.56</v>
      </c>
      <c r="D43" s="9">
        <f>VLOOKUP(B43,Desarrollo!$A$13:$D$69,4,FALSE)</f>
        <v>551507.15</v>
      </c>
      <c r="E43" s="9">
        <f>IFERROR(VLOOKUP(B43,Ultracrecimiento!$A$6:$E$17,5,FALSE),0)</f>
        <v>0</v>
      </c>
      <c r="F43" s="9">
        <f>VLOOKUP(B43,Descentralizados!$I$6:$L$56,4,FALSE)</f>
        <v>1492133.0807035097</v>
      </c>
      <c r="G43" s="62">
        <f t="shared" si="10"/>
        <v>3589653.7907035099</v>
      </c>
      <c r="J43" s="258" t="s">
        <v>30</v>
      </c>
      <c r="K43" s="249">
        <f t="shared" si="6"/>
        <v>251851.53</v>
      </c>
      <c r="L43" s="249">
        <f t="shared" si="7"/>
        <v>0</v>
      </c>
      <c r="M43" s="249">
        <f t="shared" si="8"/>
        <v>200994.39261957086</v>
      </c>
      <c r="N43" s="211">
        <f t="shared" si="9"/>
        <v>392647.26</v>
      </c>
      <c r="O43" s="208">
        <f t="shared" si="5"/>
        <v>845493.18261957087</v>
      </c>
    </row>
    <row r="44" spans="1:15">
      <c r="A44" s="13" t="s">
        <v>39</v>
      </c>
      <c r="B44" s="64" t="s">
        <v>39</v>
      </c>
      <c r="C44" s="9">
        <f>VLOOKUP(B44,Seguridad!$A$14:$F$67,6,FALSE)</f>
        <v>5905511.3771533119</v>
      </c>
      <c r="D44" s="9">
        <f>VLOOKUP(B44,Desarrollo!$A$13:$D$69,4,FALSE)</f>
        <v>5414226.3799999999</v>
      </c>
      <c r="E44" s="9">
        <f>IFERROR(VLOOKUP(B44,Ultracrecimiento!$A$6:$E$17,5,FALSE),0)</f>
        <v>0</v>
      </c>
      <c r="F44" s="9">
        <f>VLOOKUP(B44,Descentralizados!$I$6:$L$56,4,FALSE)</f>
        <v>7393285.1175556742</v>
      </c>
      <c r="G44" s="62">
        <f t="shared" si="10"/>
        <v>18713022.874708988</v>
      </c>
      <c r="J44" s="258" t="s">
        <v>32</v>
      </c>
      <c r="K44" s="249">
        <f t="shared" si="6"/>
        <v>350941.83</v>
      </c>
      <c r="L44" s="249">
        <f t="shared" si="7"/>
        <v>0</v>
      </c>
      <c r="M44" s="249">
        <f t="shared" si="8"/>
        <v>406614.37317754544</v>
      </c>
      <c r="N44" s="211">
        <f t="shared" si="9"/>
        <v>429570.09</v>
      </c>
      <c r="O44" s="208">
        <f t="shared" si="5"/>
        <v>1187126.2931775455</v>
      </c>
    </row>
    <row r="45" spans="1:15">
      <c r="A45" s="13" t="s">
        <v>204</v>
      </c>
      <c r="B45" s="64" t="s">
        <v>40</v>
      </c>
      <c r="C45" s="9">
        <f>VLOOKUP(B45,Seguridad!$A$14:$F$67,6,FALSE)</f>
        <v>349627.58</v>
      </c>
      <c r="D45" s="9">
        <f>VLOOKUP(B45,Desarrollo!$A$13:$D$69,4,FALSE)</f>
        <v>261521.83</v>
      </c>
      <c r="E45" s="9">
        <f>IFERROR(VLOOKUP(B45,Ultracrecimiento!$A$6:$E$17,5,FALSE),0)</f>
        <v>0</v>
      </c>
      <c r="F45" s="9">
        <f>VLOOKUP(B45,Descentralizados!$I$6:$L$56,4,FALSE)</f>
        <v>296299.24811091315</v>
      </c>
      <c r="G45" s="62">
        <f t="shared" si="10"/>
        <v>907448.65811091312</v>
      </c>
      <c r="J45" s="258" t="s">
        <v>33</v>
      </c>
      <c r="K45" s="249">
        <f t="shared" si="6"/>
        <v>658559.72</v>
      </c>
      <c r="L45" s="249">
        <f t="shared" si="7"/>
        <v>0</v>
      </c>
      <c r="M45" s="249">
        <f t="shared" si="8"/>
        <v>1180575.9289833552</v>
      </c>
      <c r="N45" s="211">
        <f t="shared" si="9"/>
        <v>1856035.83</v>
      </c>
      <c r="O45" s="208">
        <f t="shared" si="5"/>
        <v>3695171.4789833552</v>
      </c>
    </row>
    <row r="46" spans="1:15">
      <c r="A46" s="13" t="s">
        <v>205</v>
      </c>
      <c r="B46" s="64" t="s">
        <v>41</v>
      </c>
      <c r="C46" s="9">
        <f>VLOOKUP(B46,Seguridad!$A$14:$F$67,6,FALSE)</f>
        <v>2988323.92</v>
      </c>
      <c r="D46" s="9">
        <f>VLOOKUP(B46,Desarrollo!$A$13:$D$69,4,FALSE)</f>
        <v>777773.71</v>
      </c>
      <c r="E46" s="9">
        <f>IFERROR(VLOOKUP(B46,Ultracrecimiento!$A$6:$E$17,5,FALSE),0)</f>
        <v>761890.59524832305</v>
      </c>
      <c r="F46" s="9">
        <f>VLOOKUP(B46,Descentralizados!$I$6:$L$56,4,FALSE)</f>
        <v>1254409.8136899709</v>
      </c>
      <c r="G46" s="62">
        <f t="shared" si="10"/>
        <v>5782398.0389382932</v>
      </c>
      <c r="J46" s="258" t="s">
        <v>34</v>
      </c>
      <c r="K46" s="249">
        <f t="shared" si="6"/>
        <v>267018.7</v>
      </c>
      <c r="L46" s="249">
        <f t="shared" si="7"/>
        <v>0</v>
      </c>
      <c r="M46" s="249">
        <f t="shared" si="8"/>
        <v>264613.6535775896</v>
      </c>
      <c r="N46" s="211">
        <f t="shared" si="9"/>
        <v>425397.61</v>
      </c>
      <c r="O46" s="208">
        <f t="shared" si="5"/>
        <v>957029.9635775896</v>
      </c>
    </row>
    <row r="47" spans="1:15">
      <c r="A47" s="13" t="s">
        <v>206</v>
      </c>
      <c r="B47" s="64" t="s">
        <v>42</v>
      </c>
      <c r="C47" s="9">
        <f>VLOOKUP(B47,Seguridad!$A$14:$F$67,6,FALSE)</f>
        <v>430253.51</v>
      </c>
      <c r="D47" s="9">
        <f>VLOOKUP(B47,Desarrollo!$A$13:$D$69,4,FALSE)</f>
        <v>271333.28000000003</v>
      </c>
      <c r="E47" s="9">
        <f>IFERROR(VLOOKUP(B47,Ultracrecimiento!$A$6:$E$17,5,FALSE),0)</f>
        <v>0</v>
      </c>
      <c r="F47" s="9">
        <f>VLOOKUP(B47,Descentralizados!$I$6:$L$56,4,FALSE)</f>
        <v>191765.83800812345</v>
      </c>
      <c r="G47" s="62">
        <f t="shared" si="10"/>
        <v>893352.62800812349</v>
      </c>
      <c r="J47" s="258" t="s">
        <v>35</v>
      </c>
      <c r="K47" s="249">
        <f t="shared" si="6"/>
        <v>195895.9</v>
      </c>
      <c r="L47" s="249">
        <f t="shared" si="7"/>
        <v>0</v>
      </c>
      <c r="M47" s="249">
        <f t="shared" si="8"/>
        <v>258289.40993765972</v>
      </c>
      <c r="N47" s="211">
        <f t="shared" si="9"/>
        <v>360004.82</v>
      </c>
      <c r="O47" s="208">
        <f t="shared" si="5"/>
        <v>814190.12993765972</v>
      </c>
    </row>
    <row r="48" spans="1:15">
      <c r="A48" s="13" t="s">
        <v>43</v>
      </c>
      <c r="B48" s="64" t="s">
        <v>43</v>
      </c>
      <c r="C48" s="9">
        <f>VLOOKUP(B48,Seguridad!$A$14:$F$67,6,FALSE)</f>
        <v>376083.24</v>
      </c>
      <c r="D48" s="9">
        <f>VLOOKUP(B48,Desarrollo!$A$13:$D$69,4,FALSE)</f>
        <v>264280.43</v>
      </c>
      <c r="E48" s="9">
        <f>IFERROR(VLOOKUP(B48,Ultracrecimiento!$A$6:$E$17,5,FALSE),0)</f>
        <v>0</v>
      </c>
      <c r="F48" s="9">
        <f>VLOOKUP(B48,Descentralizados!$I$6:$L$56,4,FALSE)</f>
        <v>215238.04648679294</v>
      </c>
      <c r="G48" s="62">
        <f t="shared" si="10"/>
        <v>855601.7164867929</v>
      </c>
      <c r="J48" s="258" t="s">
        <v>36</v>
      </c>
      <c r="K48" s="249">
        <f t="shared" si="6"/>
        <v>304198.43</v>
      </c>
      <c r="L48" s="249">
        <f t="shared" si="7"/>
        <v>0</v>
      </c>
      <c r="M48" s="249">
        <f t="shared" si="8"/>
        <v>334120.64596245222</v>
      </c>
      <c r="N48" s="211">
        <f t="shared" si="9"/>
        <v>470953.15</v>
      </c>
      <c r="O48" s="208">
        <f t="shared" si="5"/>
        <v>1109272.2259624521</v>
      </c>
    </row>
    <row r="49" spans="1:15">
      <c r="A49" s="13" t="s">
        <v>44</v>
      </c>
      <c r="B49" s="64" t="s">
        <v>44</v>
      </c>
      <c r="C49" s="9">
        <f>VLOOKUP(B49,Seguridad!$A$14:$F$67,6,FALSE)</f>
        <v>957568.34</v>
      </c>
      <c r="D49" s="9">
        <f>VLOOKUP(B49,Desarrollo!$A$13:$D$69,4,FALSE)</f>
        <v>402848.25</v>
      </c>
      <c r="E49" s="9">
        <f>IFERROR(VLOOKUP(B49,Ultracrecimiento!$A$6:$E$17,5,FALSE),0)</f>
        <v>0</v>
      </c>
      <c r="F49" s="9">
        <f>VLOOKUP(B49,Descentralizados!$I$6:$L$56,4,FALSE)</f>
        <v>467718.50883177295</v>
      </c>
      <c r="G49" s="62">
        <f t="shared" si="10"/>
        <v>1828135.0988317728</v>
      </c>
      <c r="J49" s="258" t="s">
        <v>37</v>
      </c>
      <c r="K49" s="249">
        <f t="shared" si="6"/>
        <v>342188.91</v>
      </c>
      <c r="L49" s="249">
        <f t="shared" si="7"/>
        <v>0</v>
      </c>
      <c r="M49" s="249">
        <f t="shared" si="8"/>
        <v>340439.40219221031</v>
      </c>
      <c r="N49" s="211">
        <f t="shared" si="9"/>
        <v>442105.5</v>
      </c>
      <c r="O49" s="208">
        <f t="shared" si="5"/>
        <v>1124733.8121922102</v>
      </c>
    </row>
    <row r="50" spans="1:15">
      <c r="A50" s="13" t="s">
        <v>45</v>
      </c>
      <c r="B50" s="64" t="s">
        <v>45</v>
      </c>
      <c r="C50" s="9">
        <f>VLOOKUP(B50,Seguridad!$A$14:$F$67,6,FALSE)</f>
        <v>756323.83035263908</v>
      </c>
      <c r="D50" s="9">
        <f>VLOOKUP(B50,Desarrollo!$A$13:$D$69,4,FALSE)</f>
        <v>715628.46</v>
      </c>
      <c r="E50" s="9">
        <f>IFERROR(VLOOKUP(B50,Ultracrecimiento!$A$6:$E$17,5,FALSE),0)</f>
        <v>659932.01196578087</v>
      </c>
      <c r="F50" s="9">
        <f>VLOOKUP(B50,Descentralizados!$I$6:$L$56,4,FALSE)</f>
        <v>266656.27441285294</v>
      </c>
      <c r="G50" s="62">
        <f t="shared" si="10"/>
        <v>2398540.576731273</v>
      </c>
      <c r="J50" s="258" t="s">
        <v>38</v>
      </c>
      <c r="K50" s="249">
        <f t="shared" si="6"/>
        <v>551507.15</v>
      </c>
      <c r="L50" s="249">
        <f t="shared" si="7"/>
        <v>0</v>
      </c>
      <c r="M50" s="249">
        <f t="shared" si="8"/>
        <v>1492133.0807035097</v>
      </c>
      <c r="N50" s="211">
        <f t="shared" si="9"/>
        <v>1546013.56</v>
      </c>
      <c r="O50" s="208">
        <f t="shared" si="5"/>
        <v>3589653.7907035099</v>
      </c>
    </row>
    <row r="51" spans="1:15">
      <c r="A51" s="13" t="s">
        <v>207</v>
      </c>
      <c r="B51" s="64" t="s">
        <v>46</v>
      </c>
      <c r="C51" s="9">
        <f>VLOOKUP(B51,Seguridad!$A$14:$F$67,6,FALSE)</f>
        <v>2342833.1360309427</v>
      </c>
      <c r="D51" s="9">
        <f>VLOOKUP(B51,Desarrollo!$A$13:$D$69,4,FALSE)</f>
        <v>1698641.55</v>
      </c>
      <c r="E51" s="9">
        <f>IFERROR(VLOOKUP(B51,Ultracrecimiento!$A$6:$E$17,5,FALSE),0)</f>
        <v>0</v>
      </c>
      <c r="F51" s="9">
        <f>VLOOKUP(B51,Descentralizados!$I$6:$L$56,4,FALSE)</f>
        <v>1757647.7485109828</v>
      </c>
      <c r="G51" s="62">
        <f t="shared" si="10"/>
        <v>5799122.4345419258</v>
      </c>
      <c r="J51" s="258" t="s">
        <v>40</v>
      </c>
      <c r="K51" s="249">
        <f t="shared" si="6"/>
        <v>261521.83</v>
      </c>
      <c r="L51" s="249">
        <f t="shared" si="7"/>
        <v>0</v>
      </c>
      <c r="M51" s="249">
        <f t="shared" si="8"/>
        <v>296299.24811091315</v>
      </c>
      <c r="N51" s="211">
        <f t="shared" si="9"/>
        <v>349627.58</v>
      </c>
      <c r="O51" s="208">
        <f t="shared" si="5"/>
        <v>907448.65811091312</v>
      </c>
    </row>
    <row r="52" spans="1:15">
      <c r="A52" s="13" t="s">
        <v>199</v>
      </c>
      <c r="B52" s="64" t="s">
        <v>47</v>
      </c>
      <c r="C52" s="9">
        <f>VLOOKUP(B52,Seguridad!$A$14:$F$67,6,FALSE)</f>
        <v>977666.72429920267</v>
      </c>
      <c r="D52" s="9">
        <f>VLOOKUP(B52,Desarrollo!$A$13:$D$69,4,FALSE)</f>
        <v>2750166.73</v>
      </c>
      <c r="E52" s="9">
        <f>IFERROR(VLOOKUP(B52,Ultracrecimiento!$A$6:$E$17,5,FALSE),0)</f>
        <v>0</v>
      </c>
      <c r="F52" s="9">
        <f>VLOOKUP(B52,Descentralizados!$I$6:$L$56,4,FALSE)</f>
        <v>3352555.3861374836</v>
      </c>
      <c r="G52" s="62">
        <f t="shared" si="10"/>
        <v>7080388.8404366858</v>
      </c>
      <c r="J52" s="258" t="s">
        <v>41</v>
      </c>
      <c r="K52" s="249">
        <f t="shared" si="6"/>
        <v>777773.71</v>
      </c>
      <c r="L52" s="249">
        <f t="shared" si="7"/>
        <v>761890.59524832305</v>
      </c>
      <c r="M52" s="249">
        <f t="shared" si="8"/>
        <v>1254409.8136899709</v>
      </c>
      <c r="N52" s="211">
        <f t="shared" si="9"/>
        <v>2988323.92</v>
      </c>
      <c r="O52" s="208">
        <f t="shared" si="5"/>
        <v>5782398.0389382932</v>
      </c>
    </row>
    <row r="53" spans="1:15">
      <c r="A53" s="13" t="s">
        <v>48</v>
      </c>
      <c r="B53" s="64" t="s">
        <v>48</v>
      </c>
      <c r="C53" s="9">
        <f>VLOOKUP(B53,Seguridad!$A$14:$F$67,6,FALSE)</f>
        <v>1826675.1380488642</v>
      </c>
      <c r="D53" s="9">
        <f>VLOOKUP(B53,Desarrollo!$A$13:$D$69,4,FALSE)</f>
        <v>1160119.45</v>
      </c>
      <c r="E53" s="9">
        <f>IFERROR(VLOOKUP(B53,Ultracrecimiento!$A$6:$E$17,5,FALSE),0)</f>
        <v>1174567.0456711713</v>
      </c>
      <c r="F53" s="9">
        <f>VLOOKUP(B53,Descentralizados!$I$6:$L$56,4,FALSE)</f>
        <v>940840.86049838585</v>
      </c>
      <c r="G53" s="62">
        <f t="shared" si="10"/>
        <v>5102202.4942184212</v>
      </c>
      <c r="J53" s="258" t="s">
        <v>42</v>
      </c>
      <c r="K53" s="249">
        <f t="shared" si="6"/>
        <v>271333.28000000003</v>
      </c>
      <c r="L53" s="249">
        <f t="shared" si="7"/>
        <v>0</v>
      </c>
      <c r="M53" s="249">
        <f t="shared" si="8"/>
        <v>191765.83800812345</v>
      </c>
      <c r="N53" s="211">
        <f t="shared" si="9"/>
        <v>430253.51</v>
      </c>
      <c r="O53" s="208">
        <f t="shared" si="5"/>
        <v>893352.62800812349</v>
      </c>
    </row>
    <row r="54" spans="1:15">
      <c r="A54" s="13" t="s">
        <v>49</v>
      </c>
      <c r="B54" s="64" t="s">
        <v>49</v>
      </c>
      <c r="C54" s="9">
        <f>VLOOKUP(B54,Seguridad!$A$14:$F$67,6,FALSE)</f>
        <v>561408.70170978492</v>
      </c>
      <c r="D54" s="9">
        <f>VLOOKUP(B54,Desarrollo!$A$13:$D$69,4,FALSE)</f>
        <v>814812.01</v>
      </c>
      <c r="E54" s="9">
        <f>IFERROR(VLOOKUP(B54,Ultracrecimiento!$A$6:$E$17,5,FALSE),0)</f>
        <v>671768.51395682571</v>
      </c>
      <c r="F54" s="9">
        <f>VLOOKUP(B54,Descentralizados!$I$6:$L$56,4,FALSE)</f>
        <v>417093.56118220865</v>
      </c>
      <c r="G54" s="62">
        <f t="shared" si="10"/>
        <v>2465082.7868488193</v>
      </c>
      <c r="J54" s="258" t="s">
        <v>43</v>
      </c>
      <c r="K54" s="249">
        <f t="shared" si="6"/>
        <v>264280.43</v>
      </c>
      <c r="L54" s="249">
        <f t="shared" si="7"/>
        <v>0</v>
      </c>
      <c r="M54" s="249">
        <f t="shared" si="8"/>
        <v>215238.04648679294</v>
      </c>
      <c r="N54" s="211">
        <f t="shared" si="9"/>
        <v>376083.24</v>
      </c>
      <c r="O54" s="208">
        <f t="shared" si="5"/>
        <v>855601.7164867929</v>
      </c>
    </row>
    <row r="55" spans="1:15">
      <c r="A55" s="13" t="s">
        <v>50</v>
      </c>
      <c r="B55" s="64" t="s">
        <v>50</v>
      </c>
      <c r="C55" s="9">
        <f>VLOOKUP(B55,Seguridad!$A$14:$F$67,6,FALSE)</f>
        <v>361245.77</v>
      </c>
      <c r="D55" s="9">
        <f>VLOOKUP(B55,Desarrollo!$A$13:$D$69,4,FALSE)</f>
        <v>306867.46999999997</v>
      </c>
      <c r="E55" s="9">
        <f>IFERROR(VLOOKUP(B55,Ultracrecimiento!$A$6:$E$17,5,FALSE),0)</f>
        <v>0</v>
      </c>
      <c r="F55" s="9">
        <f>VLOOKUP(B55,Descentralizados!$I$6:$L$56,4,FALSE)</f>
        <v>266325.82913489686</v>
      </c>
      <c r="G55" s="62">
        <f t="shared" si="10"/>
        <v>934439.06913489685</v>
      </c>
      <c r="J55" s="258" t="s">
        <v>44</v>
      </c>
      <c r="K55" s="249">
        <f t="shared" si="6"/>
        <v>402848.25</v>
      </c>
      <c r="L55" s="249">
        <f t="shared" si="7"/>
        <v>0</v>
      </c>
      <c r="M55" s="249">
        <f t="shared" si="8"/>
        <v>467718.50883177295</v>
      </c>
      <c r="N55" s="211">
        <f t="shared" si="9"/>
        <v>957568.34</v>
      </c>
      <c r="O55" s="208">
        <f t="shared" si="5"/>
        <v>1828135.0988317728</v>
      </c>
    </row>
    <row r="56" spans="1:15">
      <c r="A56" s="13" t="s">
        <v>51</v>
      </c>
      <c r="B56" s="64" t="s">
        <v>51</v>
      </c>
      <c r="C56" s="9">
        <f>VLOOKUP(B56,Seguridad!$A$14:$F$67,6,FALSE)</f>
        <v>397593.08</v>
      </c>
      <c r="D56" s="9">
        <f>VLOOKUP(B56,Desarrollo!$A$13:$D$69,4,FALSE)</f>
        <v>288356.39</v>
      </c>
      <c r="E56" s="9">
        <f>IFERROR(VLOOKUP(B56,Ultracrecimiento!$A$6:$E$17,5,FALSE),0)</f>
        <v>0</v>
      </c>
      <c r="F56" s="9">
        <f>VLOOKUP(B56,Descentralizados!$I$6:$L$56,4,FALSE)</f>
        <v>295638.69155837776</v>
      </c>
      <c r="G56" s="62">
        <f t="shared" si="10"/>
        <v>981588.16155837779</v>
      </c>
      <c r="J56" s="258" t="s">
        <v>50</v>
      </c>
      <c r="K56" s="249">
        <f t="shared" si="6"/>
        <v>306867.46999999997</v>
      </c>
      <c r="L56" s="249">
        <f t="shared" si="7"/>
        <v>0</v>
      </c>
      <c r="M56" s="249">
        <f t="shared" si="8"/>
        <v>266325.82913489686</v>
      </c>
      <c r="N56" s="211">
        <f t="shared" si="9"/>
        <v>361245.77</v>
      </c>
      <c r="O56" s="208">
        <f t="shared" si="5"/>
        <v>934439.06913489685</v>
      </c>
    </row>
    <row r="57" spans="1:15" ht="13.8" thickBot="1">
      <c r="B57" s="65" t="s">
        <v>52</v>
      </c>
      <c r="C57" s="12">
        <f>SUM(C6:C56)</f>
        <v>56805929.772366866</v>
      </c>
      <c r="D57" s="12">
        <f>SUM(D6:D56)</f>
        <v>35144632.00999999</v>
      </c>
      <c r="E57" s="12">
        <f>SUM(E6:E56)</f>
        <v>12403987.769384809</v>
      </c>
      <c r="F57" s="12">
        <f>SUM(F6:F56)</f>
        <v>40847989.631720074</v>
      </c>
      <c r="G57" s="20">
        <f t="shared" ref="G57" si="11">SUM(G6:G56)</f>
        <v>145202539.18347174</v>
      </c>
      <c r="J57" s="258" t="s">
        <v>51</v>
      </c>
      <c r="K57" s="249">
        <f t="shared" si="6"/>
        <v>288356.39</v>
      </c>
      <c r="L57" s="249">
        <f t="shared" si="7"/>
        <v>0</v>
      </c>
      <c r="M57" s="249">
        <f t="shared" si="8"/>
        <v>295638.69155837776</v>
      </c>
      <c r="N57" s="211">
        <f t="shared" si="9"/>
        <v>397593.08</v>
      </c>
      <c r="O57" s="208">
        <f t="shared" si="5"/>
        <v>981588.16155837779</v>
      </c>
    </row>
    <row r="58" spans="1:15" ht="14.4" thickTop="1" thickBot="1">
      <c r="C58" s="9">
        <f>'Part. 2022 Mes'!B20+'Part. 2022 Mes'!C20</f>
        <v>56805929.756792679</v>
      </c>
      <c r="D58" s="9">
        <f>'Part. 2022 Mes'!B31</f>
        <v>35144632.013256952</v>
      </c>
      <c r="E58" s="9">
        <f>'Part. 2022 Mes'!B36</f>
        <v>12403987.769384809</v>
      </c>
      <c r="F58" s="9">
        <f>Descentralizados!E57</f>
        <v>40847989.631720074</v>
      </c>
      <c r="G58" s="9">
        <f>SUM(C58:F58)</f>
        <v>145202539.1711545</v>
      </c>
      <c r="J58" s="259" t="s">
        <v>129</v>
      </c>
      <c r="K58" s="260">
        <f>SUM(K19:K57)</f>
        <v>14057852.800000001</v>
      </c>
      <c r="L58" s="260">
        <f>SUM(L19:L57)</f>
        <v>2712652.2236001934</v>
      </c>
      <c r="M58" s="260">
        <f>SUM(M19:M57)</f>
        <v>18540389.200469986</v>
      </c>
      <c r="N58" s="261">
        <f>SUM(N19:N57)</f>
        <v>28922371.918291241</v>
      </c>
      <c r="O58" s="256">
        <f>SUM(O19:O57)</f>
        <v>64233266.142361417</v>
      </c>
    </row>
    <row r="59" spans="1:15" ht="13.8" thickBot="1">
      <c r="A59" s="295">
        <v>1</v>
      </c>
      <c r="B59" s="295">
        <v>2</v>
      </c>
      <c r="C59" s="295">
        <v>3</v>
      </c>
      <c r="D59" s="295">
        <v>5</v>
      </c>
      <c r="E59" s="295">
        <v>6</v>
      </c>
      <c r="F59" s="295">
        <v>7</v>
      </c>
      <c r="J59" s="259" t="s">
        <v>52</v>
      </c>
      <c r="K59" s="260">
        <f>K58+K18</f>
        <v>35144632.010000005</v>
      </c>
      <c r="L59" s="260">
        <f>L58+L18</f>
        <v>12403987.769384809</v>
      </c>
      <c r="M59" s="260">
        <f>M58+M18</f>
        <v>40847989.631720066</v>
      </c>
      <c r="N59" s="261">
        <f>N58+N18</f>
        <v>56805929.772366844</v>
      </c>
      <c r="O59" s="256">
        <f>O58+O18</f>
        <v>145202539.18347171</v>
      </c>
    </row>
    <row r="60" spans="1:15" ht="48" customHeight="1">
      <c r="B60" s="296"/>
      <c r="C60" s="297" t="s">
        <v>136</v>
      </c>
      <c r="D60" s="297" t="s">
        <v>144</v>
      </c>
      <c r="E60" s="297" t="s">
        <v>149</v>
      </c>
      <c r="F60" s="297" t="s">
        <v>164</v>
      </c>
    </row>
    <row r="79" spans="2:8">
      <c r="B79" s="337" t="s">
        <v>0</v>
      </c>
      <c r="C79" s="338" t="s">
        <v>235</v>
      </c>
      <c r="D79" s="337" t="s">
        <v>233</v>
      </c>
      <c r="E79" s="337" t="s">
        <v>236</v>
      </c>
      <c r="F79" s="337" t="s">
        <v>234</v>
      </c>
      <c r="H79" s="9"/>
    </row>
    <row r="80" spans="2:8">
      <c r="B80" s="9" t="s">
        <v>1</v>
      </c>
      <c r="C80" s="336">
        <v>44562</v>
      </c>
      <c r="D80" s="9" t="s">
        <v>136</v>
      </c>
      <c r="E80" s="9" t="str">
        <f t="shared" ref="E80:E143" si="12">"01 ENERO"</f>
        <v>01 ENERO</v>
      </c>
      <c r="F80" s="9">
        <f t="shared" ref="F80:F111" si="13">C6</f>
        <v>386820.17829125328</v>
      </c>
      <c r="H80" s="9"/>
    </row>
    <row r="81" spans="2:8">
      <c r="B81" s="9" t="s">
        <v>2</v>
      </c>
      <c r="C81" s="336">
        <v>44562</v>
      </c>
      <c r="D81" s="9" t="s">
        <v>136</v>
      </c>
      <c r="E81" s="9" t="str">
        <f t="shared" si="12"/>
        <v>01 ENERO</v>
      </c>
      <c r="F81" s="9">
        <f t="shared" si="13"/>
        <v>394157.98</v>
      </c>
      <c r="H81" s="9"/>
    </row>
    <row r="82" spans="2:8">
      <c r="B82" s="9" t="s">
        <v>3</v>
      </c>
      <c r="C82" s="336">
        <v>44562</v>
      </c>
      <c r="D82" s="9" t="s">
        <v>136</v>
      </c>
      <c r="E82" s="9" t="str">
        <f t="shared" si="12"/>
        <v>01 ENERO</v>
      </c>
      <c r="F82" s="9">
        <f t="shared" si="13"/>
        <v>358637.97</v>
      </c>
      <c r="H82" s="9"/>
    </row>
    <row r="83" spans="2:8">
      <c r="B83" s="9" t="s">
        <v>4</v>
      </c>
      <c r="C83" s="336">
        <v>44562</v>
      </c>
      <c r="D83" s="9" t="s">
        <v>136</v>
      </c>
      <c r="E83" s="9" t="str">
        <f t="shared" si="12"/>
        <v>01 ENERO</v>
      </c>
      <c r="F83" s="9">
        <f t="shared" si="13"/>
        <v>967999.53</v>
      </c>
      <c r="H83" s="9"/>
    </row>
    <row r="84" spans="2:8">
      <c r="B84" s="9" t="s">
        <v>5</v>
      </c>
      <c r="C84" s="336">
        <v>44562</v>
      </c>
      <c r="D84" s="9" t="s">
        <v>136</v>
      </c>
      <c r="E84" s="9" t="str">
        <f t="shared" si="12"/>
        <v>01 ENERO</v>
      </c>
      <c r="F84" s="9">
        <f t="shared" si="13"/>
        <v>657599.57999999996</v>
      </c>
      <c r="H84" s="9"/>
    </row>
    <row r="85" spans="2:8">
      <c r="B85" s="9" t="s">
        <v>6</v>
      </c>
      <c r="C85" s="336">
        <v>44562</v>
      </c>
      <c r="D85" s="9" t="s">
        <v>136</v>
      </c>
      <c r="E85" s="9" t="str">
        <f t="shared" si="12"/>
        <v>01 ENERO</v>
      </c>
      <c r="F85" s="9">
        <f t="shared" si="13"/>
        <v>3533642.5977373798</v>
      </c>
      <c r="H85" s="9"/>
    </row>
    <row r="86" spans="2:8">
      <c r="B86" s="9" t="s">
        <v>7</v>
      </c>
      <c r="C86" s="336">
        <v>44562</v>
      </c>
      <c r="D86" s="9" t="s">
        <v>136</v>
      </c>
      <c r="E86" s="9" t="str">
        <f t="shared" si="12"/>
        <v>01 ENERO</v>
      </c>
      <c r="F86" s="9">
        <f t="shared" si="13"/>
        <v>602961.71</v>
      </c>
      <c r="H86" s="9"/>
    </row>
    <row r="87" spans="2:8">
      <c r="B87" s="9" t="s">
        <v>8</v>
      </c>
      <c r="C87" s="336">
        <v>44562</v>
      </c>
      <c r="D87" s="9" t="s">
        <v>136</v>
      </c>
      <c r="E87" s="9" t="str">
        <f t="shared" si="12"/>
        <v>01 ENERO</v>
      </c>
      <c r="F87" s="9">
        <f t="shared" si="13"/>
        <v>399175.75</v>
      </c>
      <c r="H87" s="9"/>
    </row>
    <row r="88" spans="2:8">
      <c r="B88" s="9" t="s">
        <v>9</v>
      </c>
      <c r="C88" s="336">
        <v>44562</v>
      </c>
      <c r="D88" s="9" t="s">
        <v>136</v>
      </c>
      <c r="E88" s="9" t="str">
        <f t="shared" si="12"/>
        <v>01 ENERO</v>
      </c>
      <c r="F88" s="9">
        <f t="shared" si="13"/>
        <v>929735.01641023904</v>
      </c>
      <c r="H88" s="9"/>
    </row>
    <row r="89" spans="2:8">
      <c r="B89" s="9" t="s">
        <v>10</v>
      </c>
      <c r="C89" s="336">
        <v>44562</v>
      </c>
      <c r="D89" s="9" t="s">
        <v>136</v>
      </c>
      <c r="E89" s="9" t="str">
        <f t="shared" si="12"/>
        <v>01 ENERO</v>
      </c>
      <c r="F89" s="9">
        <f t="shared" si="13"/>
        <v>2212351.02</v>
      </c>
      <c r="H89" s="9"/>
    </row>
    <row r="90" spans="2:8">
      <c r="B90" s="9" t="s">
        <v>189</v>
      </c>
      <c r="C90" s="336">
        <v>44562</v>
      </c>
      <c r="D90" s="9" t="s">
        <v>136</v>
      </c>
      <c r="E90" s="9" t="str">
        <f t="shared" si="12"/>
        <v>01 ENERO</v>
      </c>
      <c r="F90" s="9">
        <f t="shared" si="13"/>
        <v>465341.89</v>
      </c>
      <c r="H90" s="9"/>
    </row>
    <row r="91" spans="2:8">
      <c r="B91" s="9" t="s">
        <v>12</v>
      </c>
      <c r="C91" s="336">
        <v>44562</v>
      </c>
      <c r="D91" s="9" t="s">
        <v>136</v>
      </c>
      <c r="E91" s="9" t="str">
        <f t="shared" si="12"/>
        <v>01 ENERO</v>
      </c>
      <c r="F91" s="9">
        <f t="shared" si="13"/>
        <v>511922.56</v>
      </c>
      <c r="H91" s="9"/>
    </row>
    <row r="92" spans="2:8">
      <c r="B92" s="9" t="s">
        <v>13</v>
      </c>
      <c r="C92" s="336">
        <v>44562</v>
      </c>
      <c r="D92" s="9" t="s">
        <v>136</v>
      </c>
      <c r="E92" s="9" t="str">
        <f t="shared" si="12"/>
        <v>01 ENERO</v>
      </c>
      <c r="F92" s="9">
        <f t="shared" si="13"/>
        <v>1569735.53</v>
      </c>
      <c r="H92" s="9"/>
    </row>
    <row r="93" spans="2:8">
      <c r="B93" s="9" t="s">
        <v>14</v>
      </c>
      <c r="C93" s="336">
        <v>44562</v>
      </c>
      <c r="D93" s="9" t="s">
        <v>136</v>
      </c>
      <c r="E93" s="9" t="str">
        <f t="shared" si="12"/>
        <v>01 ENERO</v>
      </c>
      <c r="F93" s="9">
        <f t="shared" si="13"/>
        <v>982369.4</v>
      </c>
      <c r="H93" s="9"/>
    </row>
    <row r="94" spans="2:8">
      <c r="B94" s="9" t="s">
        <v>15</v>
      </c>
      <c r="C94" s="336">
        <v>44562</v>
      </c>
      <c r="D94" s="9" t="s">
        <v>136</v>
      </c>
      <c r="E94" s="9" t="str">
        <f t="shared" si="12"/>
        <v>01 ENERO</v>
      </c>
      <c r="F94" s="9">
        <f t="shared" si="13"/>
        <v>357792.68</v>
      </c>
      <c r="H94" s="9"/>
    </row>
    <row r="95" spans="2:8">
      <c r="B95" s="9" t="s">
        <v>16</v>
      </c>
      <c r="C95" s="336">
        <v>44562</v>
      </c>
      <c r="D95" s="9" t="s">
        <v>136</v>
      </c>
      <c r="E95" s="9" t="str">
        <f t="shared" si="12"/>
        <v>01 ENERO</v>
      </c>
      <c r="F95" s="9">
        <f t="shared" si="13"/>
        <v>391891.9</v>
      </c>
      <c r="H95" s="9"/>
    </row>
    <row r="96" spans="2:8">
      <c r="B96" s="9" t="s">
        <v>17</v>
      </c>
      <c r="C96" s="336">
        <v>44562</v>
      </c>
      <c r="D96" s="9" t="s">
        <v>136</v>
      </c>
      <c r="E96" s="9" t="str">
        <f t="shared" si="12"/>
        <v>01 ENERO</v>
      </c>
      <c r="F96" s="9">
        <f t="shared" si="13"/>
        <v>1068966.29</v>
      </c>
      <c r="H96" s="9"/>
    </row>
    <row r="97" spans="2:8">
      <c r="B97" s="9" t="s">
        <v>18</v>
      </c>
      <c r="C97" s="336">
        <v>44562</v>
      </c>
      <c r="D97" s="9" t="s">
        <v>136</v>
      </c>
      <c r="E97" s="9" t="str">
        <f t="shared" si="12"/>
        <v>01 ENERO</v>
      </c>
      <c r="F97" s="9">
        <f t="shared" si="13"/>
        <v>2269736.3064858736</v>
      </c>
      <c r="H97" s="9"/>
    </row>
    <row r="98" spans="2:8">
      <c r="B98" s="9" t="s">
        <v>19</v>
      </c>
      <c r="C98" s="336">
        <v>44562</v>
      </c>
      <c r="D98" s="9" t="s">
        <v>136</v>
      </c>
      <c r="E98" s="9" t="str">
        <f t="shared" si="12"/>
        <v>01 ENERO</v>
      </c>
      <c r="F98" s="9">
        <f t="shared" si="13"/>
        <v>432357.73</v>
      </c>
      <c r="H98" s="9"/>
    </row>
    <row r="99" spans="2:8">
      <c r="B99" s="9" t="s">
        <v>20</v>
      </c>
      <c r="C99" s="336">
        <v>44562</v>
      </c>
      <c r="D99" s="9" t="s">
        <v>136</v>
      </c>
      <c r="E99" s="9" t="str">
        <f t="shared" si="12"/>
        <v>01 ENERO</v>
      </c>
      <c r="F99" s="9">
        <f t="shared" si="13"/>
        <v>2679281.3549333974</v>
      </c>
      <c r="H99" s="9"/>
    </row>
    <row r="100" spans="2:8">
      <c r="B100" s="9" t="s">
        <v>21</v>
      </c>
      <c r="C100" s="336">
        <v>44562</v>
      </c>
      <c r="D100" s="9" t="s">
        <v>136</v>
      </c>
      <c r="E100" s="9" t="str">
        <f t="shared" si="12"/>
        <v>01 ENERO</v>
      </c>
      <c r="F100" s="9">
        <f t="shared" si="13"/>
        <v>587081.11</v>
      </c>
      <c r="H100" s="9"/>
    </row>
    <row r="101" spans="2:8">
      <c r="B101" s="9" t="s">
        <v>22</v>
      </c>
      <c r="C101" s="336">
        <v>44562</v>
      </c>
      <c r="D101" s="9" t="s">
        <v>136</v>
      </c>
      <c r="E101" s="9" t="str">
        <f t="shared" si="12"/>
        <v>01 ENERO</v>
      </c>
      <c r="F101" s="9">
        <f t="shared" si="13"/>
        <v>365849.88</v>
      </c>
      <c r="H101" s="9"/>
    </row>
    <row r="102" spans="2:8">
      <c r="B102" s="9" t="s">
        <v>23</v>
      </c>
      <c r="C102" s="336">
        <v>44562</v>
      </c>
      <c r="D102" s="9" t="s">
        <v>136</v>
      </c>
      <c r="E102" s="9" t="str">
        <f t="shared" si="12"/>
        <v>01 ENERO</v>
      </c>
      <c r="F102" s="9">
        <f t="shared" si="13"/>
        <v>446313.95</v>
      </c>
      <c r="H102" s="9"/>
    </row>
    <row r="103" spans="2:8">
      <c r="B103" s="9" t="s">
        <v>24</v>
      </c>
      <c r="C103" s="336">
        <v>44562</v>
      </c>
      <c r="D103" s="9" t="s">
        <v>136</v>
      </c>
      <c r="E103" s="9" t="str">
        <f t="shared" si="12"/>
        <v>01 ENERO</v>
      </c>
      <c r="F103" s="9">
        <f t="shared" si="13"/>
        <v>2170464.38</v>
      </c>
      <c r="H103" s="9"/>
    </row>
    <row r="104" spans="2:8">
      <c r="B104" s="9" t="s">
        <v>25</v>
      </c>
      <c r="C104" s="336">
        <v>44562</v>
      </c>
      <c r="D104" s="9" t="s">
        <v>136</v>
      </c>
      <c r="E104" s="9" t="str">
        <f t="shared" si="12"/>
        <v>01 ENERO</v>
      </c>
      <c r="F104" s="9">
        <f t="shared" si="13"/>
        <v>3468701.7636457523</v>
      </c>
      <c r="H104" s="9"/>
    </row>
    <row r="105" spans="2:8">
      <c r="B105" s="9" t="s">
        <v>26</v>
      </c>
      <c r="C105" s="336">
        <v>44562</v>
      </c>
      <c r="D105" s="9" t="s">
        <v>136</v>
      </c>
      <c r="E105" s="9" t="str">
        <f t="shared" si="12"/>
        <v>01 ENERO</v>
      </c>
      <c r="F105" s="9">
        <f t="shared" si="13"/>
        <v>368565.59</v>
      </c>
      <c r="H105" s="9"/>
    </row>
    <row r="106" spans="2:8">
      <c r="B106" s="9" t="s">
        <v>27</v>
      </c>
      <c r="C106" s="336">
        <v>44562</v>
      </c>
      <c r="D106" s="9" t="s">
        <v>136</v>
      </c>
      <c r="E106" s="9" t="str">
        <f t="shared" si="12"/>
        <v>01 ENERO</v>
      </c>
      <c r="F106" s="9">
        <f t="shared" si="13"/>
        <v>622637.1</v>
      </c>
      <c r="H106" s="9"/>
    </row>
    <row r="107" spans="2:8">
      <c r="B107" s="9" t="s">
        <v>28</v>
      </c>
      <c r="C107" s="336">
        <v>44562</v>
      </c>
      <c r="D107" s="9" t="s">
        <v>136</v>
      </c>
      <c r="E107" s="9" t="str">
        <f t="shared" si="12"/>
        <v>01 ENERO</v>
      </c>
      <c r="F107" s="9">
        <f t="shared" si="13"/>
        <v>358260.29</v>
      </c>
      <c r="H107" s="9"/>
    </row>
    <row r="108" spans="2:8">
      <c r="B108" s="9" t="s">
        <v>29</v>
      </c>
      <c r="C108" s="336">
        <v>44562</v>
      </c>
      <c r="D108" s="9" t="s">
        <v>136</v>
      </c>
      <c r="E108" s="9" t="str">
        <f t="shared" si="12"/>
        <v>01 ENERO</v>
      </c>
      <c r="F108" s="9">
        <f t="shared" si="13"/>
        <v>459694.66</v>
      </c>
      <c r="H108" s="9"/>
    </row>
    <row r="109" spans="2:8">
      <c r="B109" s="9" t="s">
        <v>30</v>
      </c>
      <c r="C109" s="336">
        <v>44562</v>
      </c>
      <c r="D109" s="9" t="s">
        <v>136</v>
      </c>
      <c r="E109" s="9" t="str">
        <f t="shared" si="12"/>
        <v>01 ENERO</v>
      </c>
      <c r="F109" s="9">
        <f t="shared" si="13"/>
        <v>392647.26</v>
      </c>
      <c r="H109" s="9"/>
    </row>
    <row r="110" spans="2:8">
      <c r="B110" s="9" t="s">
        <v>31</v>
      </c>
      <c r="C110" s="336">
        <v>44562</v>
      </c>
      <c r="D110" s="9" t="s">
        <v>136</v>
      </c>
      <c r="E110" s="9" t="str">
        <f t="shared" si="12"/>
        <v>01 ENERO</v>
      </c>
      <c r="F110" s="9">
        <f t="shared" si="13"/>
        <v>2632041.9072682164</v>
      </c>
      <c r="H110" s="9"/>
    </row>
    <row r="111" spans="2:8">
      <c r="B111" s="9" t="s">
        <v>32</v>
      </c>
      <c r="C111" s="336">
        <v>44562</v>
      </c>
      <c r="D111" s="9" t="s">
        <v>136</v>
      </c>
      <c r="E111" s="9" t="str">
        <f t="shared" si="12"/>
        <v>01 ENERO</v>
      </c>
      <c r="F111" s="9">
        <f t="shared" si="13"/>
        <v>429570.09</v>
      </c>
      <c r="H111" s="9"/>
    </row>
    <row r="112" spans="2:8">
      <c r="B112" s="9" t="s">
        <v>33</v>
      </c>
      <c r="C112" s="336">
        <v>44562</v>
      </c>
      <c r="D112" s="9" t="s">
        <v>136</v>
      </c>
      <c r="E112" s="9" t="str">
        <f t="shared" si="12"/>
        <v>01 ENERO</v>
      </c>
      <c r="F112" s="9">
        <f t="shared" ref="F112:F130" si="14">C38</f>
        <v>1856035.83</v>
      </c>
      <c r="H112" s="9"/>
    </row>
    <row r="113" spans="2:8">
      <c r="B113" s="9" t="s">
        <v>34</v>
      </c>
      <c r="C113" s="336">
        <v>44562</v>
      </c>
      <c r="D113" s="9" t="s">
        <v>136</v>
      </c>
      <c r="E113" s="9" t="str">
        <f t="shared" si="12"/>
        <v>01 ENERO</v>
      </c>
      <c r="F113" s="9">
        <f t="shared" si="14"/>
        <v>425397.61</v>
      </c>
      <c r="H113" s="9"/>
    </row>
    <row r="114" spans="2:8">
      <c r="B114" s="9" t="s">
        <v>35</v>
      </c>
      <c r="C114" s="336">
        <v>44562</v>
      </c>
      <c r="D114" s="9" t="s">
        <v>136</v>
      </c>
      <c r="E114" s="9" t="str">
        <f t="shared" si="12"/>
        <v>01 ENERO</v>
      </c>
      <c r="F114" s="9">
        <f t="shared" si="14"/>
        <v>360004.82</v>
      </c>
      <c r="H114" s="9"/>
    </row>
    <row r="115" spans="2:8">
      <c r="B115" s="9" t="s">
        <v>36</v>
      </c>
      <c r="C115" s="336">
        <v>44562</v>
      </c>
      <c r="D115" s="9" t="s">
        <v>136</v>
      </c>
      <c r="E115" s="9" t="str">
        <f t="shared" si="12"/>
        <v>01 ENERO</v>
      </c>
      <c r="F115" s="9">
        <f t="shared" si="14"/>
        <v>470953.15</v>
      </c>
      <c r="H115" s="9"/>
    </row>
    <row r="116" spans="2:8">
      <c r="B116" s="9" t="s">
        <v>37</v>
      </c>
      <c r="C116" s="336">
        <v>44562</v>
      </c>
      <c r="D116" s="9" t="s">
        <v>136</v>
      </c>
      <c r="E116" s="9" t="str">
        <f t="shared" si="12"/>
        <v>01 ENERO</v>
      </c>
      <c r="F116" s="9">
        <f t="shared" si="14"/>
        <v>442105.5</v>
      </c>
      <c r="H116" s="9"/>
    </row>
    <row r="117" spans="2:8">
      <c r="B117" s="9" t="s">
        <v>38</v>
      </c>
      <c r="C117" s="336">
        <v>44562</v>
      </c>
      <c r="D117" s="9" t="s">
        <v>136</v>
      </c>
      <c r="E117" s="9" t="str">
        <f t="shared" si="12"/>
        <v>01 ENERO</v>
      </c>
      <c r="F117" s="9">
        <f t="shared" si="14"/>
        <v>1546013.56</v>
      </c>
      <c r="H117" s="9"/>
    </row>
    <row r="118" spans="2:8">
      <c r="B118" s="9" t="s">
        <v>39</v>
      </c>
      <c r="C118" s="336">
        <v>44562</v>
      </c>
      <c r="D118" s="9" t="s">
        <v>136</v>
      </c>
      <c r="E118" s="9" t="str">
        <f t="shared" si="12"/>
        <v>01 ENERO</v>
      </c>
      <c r="F118" s="9">
        <f t="shared" si="14"/>
        <v>5905511.3771533119</v>
      </c>
      <c r="H118" s="9"/>
    </row>
    <row r="119" spans="2:8">
      <c r="B119" s="9" t="s">
        <v>40</v>
      </c>
      <c r="C119" s="336">
        <v>44562</v>
      </c>
      <c r="D119" s="9" t="s">
        <v>136</v>
      </c>
      <c r="E119" s="9" t="str">
        <f t="shared" si="12"/>
        <v>01 ENERO</v>
      </c>
      <c r="F119" s="9">
        <f t="shared" si="14"/>
        <v>349627.58</v>
      </c>
      <c r="H119" s="9"/>
    </row>
    <row r="120" spans="2:8">
      <c r="B120" s="9" t="s">
        <v>41</v>
      </c>
      <c r="C120" s="336">
        <v>44562</v>
      </c>
      <c r="D120" s="9" t="s">
        <v>136</v>
      </c>
      <c r="E120" s="9" t="str">
        <f t="shared" si="12"/>
        <v>01 ENERO</v>
      </c>
      <c r="F120" s="9">
        <f t="shared" si="14"/>
        <v>2988323.92</v>
      </c>
      <c r="H120" s="9"/>
    </row>
    <row r="121" spans="2:8">
      <c r="B121" s="9" t="s">
        <v>42</v>
      </c>
      <c r="C121" s="336">
        <v>44562</v>
      </c>
      <c r="D121" s="9" t="s">
        <v>136</v>
      </c>
      <c r="E121" s="9" t="str">
        <f t="shared" si="12"/>
        <v>01 ENERO</v>
      </c>
      <c r="F121" s="9">
        <f t="shared" si="14"/>
        <v>430253.51</v>
      </c>
      <c r="H121" s="9"/>
    </row>
    <row r="122" spans="2:8">
      <c r="B122" s="9" t="s">
        <v>43</v>
      </c>
      <c r="C122" s="336">
        <v>44562</v>
      </c>
      <c r="D122" s="9" t="s">
        <v>136</v>
      </c>
      <c r="E122" s="9" t="str">
        <f t="shared" si="12"/>
        <v>01 ENERO</v>
      </c>
      <c r="F122" s="9">
        <f t="shared" si="14"/>
        <v>376083.24</v>
      </c>
      <c r="H122" s="9"/>
    </row>
    <row r="123" spans="2:8">
      <c r="B123" s="9" t="s">
        <v>44</v>
      </c>
      <c r="C123" s="336">
        <v>44562</v>
      </c>
      <c r="D123" s="9" t="s">
        <v>136</v>
      </c>
      <c r="E123" s="9" t="str">
        <f t="shared" si="12"/>
        <v>01 ENERO</v>
      </c>
      <c r="F123" s="9">
        <f t="shared" si="14"/>
        <v>957568.34</v>
      </c>
      <c r="H123" s="9"/>
    </row>
    <row r="124" spans="2:8">
      <c r="B124" s="9" t="s">
        <v>45</v>
      </c>
      <c r="C124" s="336">
        <v>44562</v>
      </c>
      <c r="D124" s="9" t="s">
        <v>136</v>
      </c>
      <c r="E124" s="9" t="str">
        <f t="shared" si="12"/>
        <v>01 ENERO</v>
      </c>
      <c r="F124" s="9">
        <f t="shared" si="14"/>
        <v>756323.83035263908</v>
      </c>
      <c r="H124" s="9"/>
    </row>
    <row r="125" spans="2:8">
      <c r="B125" s="9" t="s">
        <v>46</v>
      </c>
      <c r="C125" s="336">
        <v>44562</v>
      </c>
      <c r="D125" s="9" t="s">
        <v>136</v>
      </c>
      <c r="E125" s="9" t="str">
        <f t="shared" si="12"/>
        <v>01 ENERO</v>
      </c>
      <c r="F125" s="9">
        <f t="shared" si="14"/>
        <v>2342833.1360309427</v>
      </c>
      <c r="H125" s="9"/>
    </row>
    <row r="126" spans="2:8">
      <c r="B126" s="9" t="s">
        <v>47</v>
      </c>
      <c r="C126" s="336">
        <v>44562</v>
      </c>
      <c r="D126" s="9" t="s">
        <v>136</v>
      </c>
      <c r="E126" s="9" t="str">
        <f t="shared" si="12"/>
        <v>01 ENERO</v>
      </c>
      <c r="F126" s="9">
        <f t="shared" si="14"/>
        <v>977666.72429920267</v>
      </c>
      <c r="H126" s="9"/>
    </row>
    <row r="127" spans="2:8">
      <c r="B127" s="9" t="s">
        <v>48</v>
      </c>
      <c r="C127" s="336">
        <v>44562</v>
      </c>
      <c r="D127" s="9" t="s">
        <v>136</v>
      </c>
      <c r="E127" s="9" t="str">
        <f t="shared" si="12"/>
        <v>01 ENERO</v>
      </c>
      <c r="F127" s="9">
        <f t="shared" si="14"/>
        <v>1826675.1380488642</v>
      </c>
      <c r="H127" s="9"/>
    </row>
    <row r="128" spans="2:8">
      <c r="B128" s="9" t="s">
        <v>49</v>
      </c>
      <c r="C128" s="336">
        <v>44562</v>
      </c>
      <c r="D128" s="9" t="s">
        <v>136</v>
      </c>
      <c r="E128" s="9" t="str">
        <f t="shared" si="12"/>
        <v>01 ENERO</v>
      </c>
      <c r="F128" s="9">
        <f t="shared" si="14"/>
        <v>561408.70170978492</v>
      </c>
      <c r="H128" s="9"/>
    </row>
    <row r="129" spans="2:8">
      <c r="B129" s="9" t="s">
        <v>50</v>
      </c>
      <c r="C129" s="336">
        <v>44562</v>
      </c>
      <c r="D129" s="9" t="s">
        <v>136</v>
      </c>
      <c r="E129" s="9" t="str">
        <f t="shared" si="12"/>
        <v>01 ENERO</v>
      </c>
      <c r="F129" s="9">
        <f t="shared" si="14"/>
        <v>361245.77</v>
      </c>
      <c r="H129" s="9"/>
    </row>
    <row r="130" spans="2:8">
      <c r="B130" s="9" t="s">
        <v>51</v>
      </c>
      <c r="C130" s="336">
        <v>44562</v>
      </c>
      <c r="D130" s="9" t="s">
        <v>136</v>
      </c>
      <c r="E130" s="9" t="str">
        <f t="shared" si="12"/>
        <v>01 ENERO</v>
      </c>
      <c r="F130" s="9">
        <f t="shared" si="14"/>
        <v>397593.08</v>
      </c>
      <c r="H130" s="9"/>
    </row>
    <row r="131" spans="2:8">
      <c r="B131" s="9" t="s">
        <v>1</v>
      </c>
      <c r="C131" s="336">
        <v>44562</v>
      </c>
      <c r="D131" s="9" t="s">
        <v>144</v>
      </c>
      <c r="E131" s="9" t="str">
        <f t="shared" si="12"/>
        <v>01 ENERO</v>
      </c>
      <c r="F131" s="9">
        <f>D6</f>
        <v>212082.76</v>
      </c>
      <c r="H131" s="9"/>
    </row>
    <row r="132" spans="2:8">
      <c r="B132" s="9" t="s">
        <v>2</v>
      </c>
      <c r="C132" s="336">
        <v>44562</v>
      </c>
      <c r="D132" s="9" t="s">
        <v>144</v>
      </c>
      <c r="E132" s="9" t="str">
        <f t="shared" si="12"/>
        <v>01 ENERO</v>
      </c>
      <c r="F132" s="9">
        <f t="shared" ref="F132:F181" si="15">D7</f>
        <v>238351.24</v>
      </c>
      <c r="H132" s="9"/>
    </row>
    <row r="133" spans="2:8">
      <c r="B133" s="9" t="s">
        <v>3</v>
      </c>
      <c r="C133" s="336">
        <v>44562</v>
      </c>
      <c r="D133" s="9" t="s">
        <v>144</v>
      </c>
      <c r="E133" s="9" t="str">
        <f t="shared" si="12"/>
        <v>01 ENERO</v>
      </c>
      <c r="F133" s="9">
        <f t="shared" si="15"/>
        <v>252002.33</v>
      </c>
      <c r="H133" s="9"/>
    </row>
    <row r="134" spans="2:8">
      <c r="B134" s="9" t="s">
        <v>4</v>
      </c>
      <c r="C134" s="336">
        <v>44562</v>
      </c>
      <c r="D134" s="9" t="s">
        <v>144</v>
      </c>
      <c r="E134" s="9" t="str">
        <f t="shared" si="12"/>
        <v>01 ENERO</v>
      </c>
      <c r="F134" s="9">
        <f t="shared" si="15"/>
        <v>459728.1</v>
      </c>
      <c r="H134" s="9"/>
    </row>
    <row r="135" spans="2:8">
      <c r="B135" s="9" t="s">
        <v>5</v>
      </c>
      <c r="C135" s="336">
        <v>44562</v>
      </c>
      <c r="D135" s="9" t="s">
        <v>144</v>
      </c>
      <c r="E135" s="9" t="str">
        <f t="shared" si="12"/>
        <v>01 ENERO</v>
      </c>
      <c r="F135" s="9">
        <f t="shared" si="15"/>
        <v>409207.11</v>
      </c>
      <c r="H135" s="9"/>
    </row>
    <row r="136" spans="2:8">
      <c r="B136" s="9" t="s">
        <v>6</v>
      </c>
      <c r="C136" s="336">
        <v>44562</v>
      </c>
      <c r="D136" s="9" t="s">
        <v>144</v>
      </c>
      <c r="E136" s="9" t="str">
        <f t="shared" si="12"/>
        <v>01 ENERO</v>
      </c>
      <c r="F136" s="9">
        <f t="shared" si="15"/>
        <v>2009620.49</v>
      </c>
      <c r="H136" s="9"/>
    </row>
    <row r="137" spans="2:8">
      <c r="B137" s="9" t="s">
        <v>7</v>
      </c>
      <c r="C137" s="336">
        <v>44562</v>
      </c>
      <c r="D137" s="9" t="s">
        <v>144</v>
      </c>
      <c r="E137" s="9" t="str">
        <f t="shared" si="12"/>
        <v>01 ENERO</v>
      </c>
      <c r="F137" s="9">
        <f t="shared" si="15"/>
        <v>390260</v>
      </c>
      <c r="H137" s="9"/>
    </row>
    <row r="138" spans="2:8">
      <c r="B138" s="9" t="s">
        <v>8</v>
      </c>
      <c r="C138" s="336">
        <v>44562</v>
      </c>
      <c r="D138" s="9" t="s">
        <v>144</v>
      </c>
      <c r="E138" s="9" t="str">
        <f t="shared" si="12"/>
        <v>01 ENERO</v>
      </c>
      <c r="F138" s="9">
        <f t="shared" si="15"/>
        <v>240921.07</v>
      </c>
      <c r="H138" s="9"/>
    </row>
    <row r="139" spans="2:8">
      <c r="B139" s="9" t="s">
        <v>9</v>
      </c>
      <c r="C139" s="336">
        <v>44562</v>
      </c>
      <c r="D139" s="9" t="s">
        <v>144</v>
      </c>
      <c r="E139" s="9" t="str">
        <f t="shared" si="12"/>
        <v>01 ENERO</v>
      </c>
      <c r="F139" s="9">
        <f t="shared" si="15"/>
        <v>775393.73</v>
      </c>
      <c r="H139" s="9"/>
    </row>
    <row r="140" spans="2:8">
      <c r="B140" s="9" t="s">
        <v>10</v>
      </c>
      <c r="C140" s="336">
        <v>44562</v>
      </c>
      <c r="D140" s="9" t="s">
        <v>144</v>
      </c>
      <c r="E140" s="9" t="str">
        <f t="shared" si="12"/>
        <v>01 ENERO</v>
      </c>
      <c r="F140" s="9">
        <f t="shared" si="15"/>
        <v>609443.43000000005</v>
      </c>
      <c r="H140" s="9"/>
    </row>
    <row r="141" spans="2:8">
      <c r="B141" s="9" t="s">
        <v>189</v>
      </c>
      <c r="C141" s="336">
        <v>44562</v>
      </c>
      <c r="D141" s="9" t="s">
        <v>144</v>
      </c>
      <c r="E141" s="9" t="str">
        <f t="shared" si="12"/>
        <v>01 ENERO</v>
      </c>
      <c r="F141" s="9">
        <f t="shared" si="15"/>
        <v>339721.85</v>
      </c>
      <c r="H141" s="9"/>
    </row>
    <row r="142" spans="2:8">
      <c r="B142" s="9" t="s">
        <v>12</v>
      </c>
      <c r="C142" s="336">
        <v>44562</v>
      </c>
      <c r="D142" s="9" t="s">
        <v>144</v>
      </c>
      <c r="E142" s="9" t="str">
        <f t="shared" si="12"/>
        <v>01 ENERO</v>
      </c>
      <c r="F142" s="9">
        <f t="shared" si="15"/>
        <v>388179.59</v>
      </c>
      <c r="H142" s="9"/>
    </row>
    <row r="143" spans="2:8">
      <c r="B143" s="9" t="s">
        <v>13</v>
      </c>
      <c r="C143" s="336">
        <v>44562</v>
      </c>
      <c r="D143" s="9" t="s">
        <v>144</v>
      </c>
      <c r="E143" s="9" t="str">
        <f t="shared" si="12"/>
        <v>01 ENERO</v>
      </c>
      <c r="F143" s="9">
        <f t="shared" si="15"/>
        <v>499583.13</v>
      </c>
      <c r="H143" s="9"/>
    </row>
    <row r="144" spans="2:8">
      <c r="B144" s="9" t="s">
        <v>14</v>
      </c>
      <c r="C144" s="336">
        <v>44562</v>
      </c>
      <c r="D144" s="9" t="s">
        <v>144</v>
      </c>
      <c r="E144" s="9" t="str">
        <f t="shared" ref="E144:E207" si="16">"01 ENERO"</f>
        <v>01 ENERO</v>
      </c>
      <c r="F144" s="9">
        <f t="shared" si="15"/>
        <v>645578.04</v>
      </c>
      <c r="H144" s="9"/>
    </row>
    <row r="145" spans="2:8">
      <c r="B145" s="9" t="s">
        <v>15</v>
      </c>
      <c r="C145" s="336">
        <v>44562</v>
      </c>
      <c r="D145" s="9" t="s">
        <v>144</v>
      </c>
      <c r="E145" s="9" t="str">
        <f t="shared" si="16"/>
        <v>01 ENERO</v>
      </c>
      <c r="F145" s="9">
        <f t="shared" si="15"/>
        <v>247376.92</v>
      </c>
      <c r="H145" s="9"/>
    </row>
    <row r="146" spans="2:8">
      <c r="B146" s="9" t="s">
        <v>16</v>
      </c>
      <c r="C146" s="336">
        <v>44562</v>
      </c>
      <c r="D146" s="9" t="s">
        <v>144</v>
      </c>
      <c r="E146" s="9" t="str">
        <f t="shared" si="16"/>
        <v>01 ENERO</v>
      </c>
      <c r="F146" s="9">
        <f t="shared" si="15"/>
        <v>228627.03</v>
      </c>
      <c r="H146" s="9"/>
    </row>
    <row r="147" spans="2:8">
      <c r="B147" s="9" t="s">
        <v>17</v>
      </c>
      <c r="C147" s="336">
        <v>44562</v>
      </c>
      <c r="D147" s="9" t="s">
        <v>144</v>
      </c>
      <c r="E147" s="9" t="str">
        <f t="shared" si="16"/>
        <v>01 ENERO</v>
      </c>
      <c r="F147" s="9">
        <f t="shared" si="15"/>
        <v>614630.15</v>
      </c>
      <c r="H147" s="9"/>
    </row>
    <row r="148" spans="2:8">
      <c r="B148" s="9" t="s">
        <v>18</v>
      </c>
      <c r="C148" s="336">
        <v>44562</v>
      </c>
      <c r="D148" s="9" t="s">
        <v>144</v>
      </c>
      <c r="E148" s="9" t="str">
        <f t="shared" si="16"/>
        <v>01 ENERO</v>
      </c>
      <c r="F148" s="9">
        <f t="shared" si="15"/>
        <v>1209802.94</v>
      </c>
      <c r="H148" s="9"/>
    </row>
    <row r="149" spans="2:8">
      <c r="B149" s="9" t="s">
        <v>19</v>
      </c>
      <c r="C149" s="336">
        <v>44562</v>
      </c>
      <c r="D149" s="9" t="s">
        <v>144</v>
      </c>
      <c r="E149" s="9" t="str">
        <f t="shared" si="16"/>
        <v>01 ENERO</v>
      </c>
      <c r="F149" s="9">
        <f t="shared" si="15"/>
        <v>329171.71999999997</v>
      </c>
      <c r="H149" s="9"/>
    </row>
    <row r="150" spans="2:8">
      <c r="B150" s="9" t="s">
        <v>20</v>
      </c>
      <c r="C150" s="336">
        <v>44562</v>
      </c>
      <c r="D150" s="9" t="s">
        <v>144</v>
      </c>
      <c r="E150" s="9" t="str">
        <f t="shared" si="16"/>
        <v>01 ENERO</v>
      </c>
      <c r="F150" s="9">
        <f t="shared" si="15"/>
        <v>1500693.94</v>
      </c>
      <c r="H150" s="9"/>
    </row>
    <row r="151" spans="2:8">
      <c r="B151" s="9" t="s">
        <v>21</v>
      </c>
      <c r="C151" s="336">
        <v>44562</v>
      </c>
      <c r="D151" s="9" t="s">
        <v>144</v>
      </c>
      <c r="E151" s="9" t="str">
        <f t="shared" si="16"/>
        <v>01 ENERO</v>
      </c>
      <c r="F151" s="9">
        <f t="shared" si="15"/>
        <v>381175.3</v>
      </c>
      <c r="H151" s="9"/>
    </row>
    <row r="152" spans="2:8">
      <c r="B152" s="9" t="s">
        <v>22</v>
      </c>
      <c r="C152" s="336">
        <v>44562</v>
      </c>
      <c r="D152" s="9" t="s">
        <v>144</v>
      </c>
      <c r="E152" s="9" t="str">
        <f t="shared" si="16"/>
        <v>01 ENERO</v>
      </c>
      <c r="F152" s="9">
        <f t="shared" si="15"/>
        <v>219386.15</v>
      </c>
      <c r="H152" s="9"/>
    </row>
    <row r="153" spans="2:8">
      <c r="B153" s="9" t="s">
        <v>23</v>
      </c>
      <c r="C153" s="336">
        <v>44562</v>
      </c>
      <c r="D153" s="9" t="s">
        <v>144</v>
      </c>
      <c r="E153" s="9" t="str">
        <f t="shared" si="16"/>
        <v>01 ENERO</v>
      </c>
      <c r="F153" s="9">
        <f t="shared" si="15"/>
        <v>292772.78000000003</v>
      </c>
      <c r="H153" s="9"/>
    </row>
    <row r="154" spans="2:8">
      <c r="B154" s="9" t="s">
        <v>24</v>
      </c>
      <c r="C154" s="336">
        <v>44562</v>
      </c>
      <c r="D154" s="9" t="s">
        <v>144</v>
      </c>
      <c r="E154" s="9" t="str">
        <f t="shared" si="16"/>
        <v>01 ENERO</v>
      </c>
      <c r="F154" s="9">
        <f t="shared" si="15"/>
        <v>597667.25</v>
      </c>
      <c r="H154" s="9"/>
    </row>
    <row r="155" spans="2:8">
      <c r="B155" s="9" t="s">
        <v>25</v>
      </c>
      <c r="C155" s="336">
        <v>44562</v>
      </c>
      <c r="D155" s="9" t="s">
        <v>144</v>
      </c>
      <c r="E155" s="9" t="str">
        <f t="shared" si="16"/>
        <v>01 ENERO</v>
      </c>
      <c r="F155" s="9">
        <f t="shared" si="15"/>
        <v>1672898.67</v>
      </c>
      <c r="H155" s="9"/>
    </row>
    <row r="156" spans="2:8">
      <c r="B156" s="9" t="s">
        <v>26</v>
      </c>
      <c r="C156" s="336">
        <v>44562</v>
      </c>
      <c r="D156" s="9" t="s">
        <v>144</v>
      </c>
      <c r="E156" s="9" t="str">
        <f t="shared" si="16"/>
        <v>01 ENERO</v>
      </c>
      <c r="F156" s="9">
        <f t="shared" si="15"/>
        <v>221054.18</v>
      </c>
      <c r="H156" s="9"/>
    </row>
    <row r="157" spans="2:8">
      <c r="B157" s="9" t="s">
        <v>27</v>
      </c>
      <c r="C157" s="336">
        <v>44562</v>
      </c>
      <c r="D157" s="9" t="s">
        <v>144</v>
      </c>
      <c r="E157" s="9" t="str">
        <f t="shared" si="16"/>
        <v>01 ENERO</v>
      </c>
      <c r="F157" s="9">
        <f t="shared" si="15"/>
        <v>258008.06</v>
      </c>
      <c r="H157" s="9"/>
    </row>
    <row r="158" spans="2:8">
      <c r="B158" s="9" t="s">
        <v>28</v>
      </c>
      <c r="C158" s="336">
        <v>44562</v>
      </c>
      <c r="D158" s="9" t="s">
        <v>144</v>
      </c>
      <c r="E158" s="9" t="str">
        <f t="shared" si="16"/>
        <v>01 ENERO</v>
      </c>
      <c r="F158" s="9">
        <f t="shared" si="15"/>
        <v>238912.17</v>
      </c>
      <c r="H158" s="9"/>
    </row>
    <row r="159" spans="2:8">
      <c r="B159" s="9" t="s">
        <v>29</v>
      </c>
      <c r="C159" s="336">
        <v>44562</v>
      </c>
      <c r="D159" s="9" t="s">
        <v>144</v>
      </c>
      <c r="E159" s="9" t="str">
        <f t="shared" si="16"/>
        <v>01 ENERO</v>
      </c>
      <c r="F159" s="9">
        <f t="shared" si="15"/>
        <v>248868.91</v>
      </c>
      <c r="H159" s="9"/>
    </row>
    <row r="160" spans="2:8">
      <c r="B160" s="9" t="s">
        <v>30</v>
      </c>
      <c r="C160" s="336">
        <v>44562</v>
      </c>
      <c r="D160" s="9" t="s">
        <v>144</v>
      </c>
      <c r="E160" s="9" t="str">
        <f t="shared" si="16"/>
        <v>01 ENERO</v>
      </c>
      <c r="F160" s="9">
        <f t="shared" si="15"/>
        <v>251851.53</v>
      </c>
      <c r="H160" s="9"/>
    </row>
    <row r="161" spans="2:8">
      <c r="B161" s="9" t="s">
        <v>31</v>
      </c>
      <c r="C161" s="336">
        <v>44562</v>
      </c>
      <c r="D161" s="9" t="s">
        <v>144</v>
      </c>
      <c r="E161" s="9" t="str">
        <f t="shared" si="16"/>
        <v>01 ENERO</v>
      </c>
      <c r="F161" s="9">
        <f t="shared" si="15"/>
        <v>1364774.86</v>
      </c>
      <c r="H161" s="9"/>
    </row>
    <row r="162" spans="2:8">
      <c r="B162" s="9" t="s">
        <v>32</v>
      </c>
      <c r="C162" s="336">
        <v>44562</v>
      </c>
      <c r="D162" s="9" t="s">
        <v>144</v>
      </c>
      <c r="E162" s="9" t="str">
        <f t="shared" si="16"/>
        <v>01 ENERO</v>
      </c>
      <c r="F162" s="9">
        <f t="shared" si="15"/>
        <v>350941.83</v>
      </c>
      <c r="H162" s="9"/>
    </row>
    <row r="163" spans="2:8">
      <c r="B163" s="9" t="s">
        <v>33</v>
      </c>
      <c r="C163" s="336">
        <v>44562</v>
      </c>
      <c r="D163" s="9" t="s">
        <v>144</v>
      </c>
      <c r="E163" s="9" t="str">
        <f t="shared" si="16"/>
        <v>01 ENERO</v>
      </c>
      <c r="F163" s="9">
        <f t="shared" si="15"/>
        <v>658559.72</v>
      </c>
      <c r="H163" s="9"/>
    </row>
    <row r="164" spans="2:8">
      <c r="B164" s="9" t="s">
        <v>34</v>
      </c>
      <c r="C164" s="336">
        <v>44562</v>
      </c>
      <c r="D164" s="9" t="s">
        <v>144</v>
      </c>
      <c r="E164" s="9" t="str">
        <f t="shared" si="16"/>
        <v>01 ENERO</v>
      </c>
      <c r="F164" s="9">
        <f t="shared" si="15"/>
        <v>267018.7</v>
      </c>
      <c r="H164" s="9"/>
    </row>
    <row r="165" spans="2:8">
      <c r="B165" s="9" t="s">
        <v>35</v>
      </c>
      <c r="C165" s="336">
        <v>44562</v>
      </c>
      <c r="D165" s="9" t="s">
        <v>144</v>
      </c>
      <c r="E165" s="9" t="str">
        <f t="shared" si="16"/>
        <v>01 ENERO</v>
      </c>
      <c r="F165" s="9">
        <f t="shared" si="15"/>
        <v>195895.9</v>
      </c>
      <c r="H165" s="9"/>
    </row>
    <row r="166" spans="2:8">
      <c r="B166" s="9" t="s">
        <v>36</v>
      </c>
      <c r="C166" s="336">
        <v>44562</v>
      </c>
      <c r="D166" s="9" t="s">
        <v>144</v>
      </c>
      <c r="E166" s="9" t="str">
        <f t="shared" si="16"/>
        <v>01 ENERO</v>
      </c>
      <c r="F166" s="9">
        <f t="shared" si="15"/>
        <v>304198.43</v>
      </c>
      <c r="H166" s="9"/>
    </row>
    <row r="167" spans="2:8">
      <c r="B167" s="9" t="s">
        <v>37</v>
      </c>
      <c r="C167" s="336">
        <v>44562</v>
      </c>
      <c r="D167" s="9" t="s">
        <v>144</v>
      </c>
      <c r="E167" s="9" t="str">
        <f t="shared" si="16"/>
        <v>01 ENERO</v>
      </c>
      <c r="F167" s="9">
        <f t="shared" si="15"/>
        <v>342188.91</v>
      </c>
      <c r="H167" s="9"/>
    </row>
    <row r="168" spans="2:8">
      <c r="B168" s="9" t="s">
        <v>38</v>
      </c>
      <c r="C168" s="336">
        <v>44562</v>
      </c>
      <c r="D168" s="9" t="s">
        <v>144</v>
      </c>
      <c r="E168" s="9" t="str">
        <f t="shared" si="16"/>
        <v>01 ENERO</v>
      </c>
      <c r="F168" s="9">
        <f t="shared" si="15"/>
        <v>551507.15</v>
      </c>
      <c r="H168" s="9"/>
    </row>
    <row r="169" spans="2:8">
      <c r="B169" s="9" t="s">
        <v>39</v>
      </c>
      <c r="C169" s="336">
        <v>44562</v>
      </c>
      <c r="D169" s="9" t="s">
        <v>144</v>
      </c>
      <c r="E169" s="9" t="str">
        <f t="shared" si="16"/>
        <v>01 ENERO</v>
      </c>
      <c r="F169" s="9">
        <f t="shared" si="15"/>
        <v>5414226.3799999999</v>
      </c>
      <c r="H169" s="9"/>
    </row>
    <row r="170" spans="2:8">
      <c r="B170" s="9" t="s">
        <v>40</v>
      </c>
      <c r="C170" s="336">
        <v>44562</v>
      </c>
      <c r="D170" s="9" t="s">
        <v>144</v>
      </c>
      <c r="E170" s="9" t="str">
        <f t="shared" si="16"/>
        <v>01 ENERO</v>
      </c>
      <c r="F170" s="9">
        <f t="shared" si="15"/>
        <v>261521.83</v>
      </c>
      <c r="H170" s="9"/>
    </row>
    <row r="171" spans="2:8">
      <c r="B171" s="9" t="s">
        <v>41</v>
      </c>
      <c r="C171" s="336">
        <v>44562</v>
      </c>
      <c r="D171" s="9" t="s">
        <v>144</v>
      </c>
      <c r="E171" s="9" t="str">
        <f t="shared" si="16"/>
        <v>01 ENERO</v>
      </c>
      <c r="F171" s="9">
        <f t="shared" si="15"/>
        <v>777773.71</v>
      </c>
      <c r="H171" s="9"/>
    </row>
    <row r="172" spans="2:8">
      <c r="B172" s="9" t="s">
        <v>42</v>
      </c>
      <c r="C172" s="336">
        <v>44562</v>
      </c>
      <c r="D172" s="9" t="s">
        <v>144</v>
      </c>
      <c r="E172" s="9" t="str">
        <f t="shared" si="16"/>
        <v>01 ENERO</v>
      </c>
      <c r="F172" s="9">
        <f t="shared" si="15"/>
        <v>271333.28000000003</v>
      </c>
      <c r="H172" s="9"/>
    </row>
    <row r="173" spans="2:8">
      <c r="B173" s="9" t="s">
        <v>43</v>
      </c>
      <c r="C173" s="336">
        <v>44562</v>
      </c>
      <c r="D173" s="9" t="s">
        <v>144</v>
      </c>
      <c r="E173" s="9" t="str">
        <f t="shared" si="16"/>
        <v>01 ENERO</v>
      </c>
      <c r="F173" s="9">
        <f t="shared" si="15"/>
        <v>264280.43</v>
      </c>
      <c r="H173" s="9"/>
    </row>
    <row r="174" spans="2:8">
      <c r="B174" s="9" t="s">
        <v>44</v>
      </c>
      <c r="C174" s="336">
        <v>44562</v>
      </c>
      <c r="D174" s="9" t="s">
        <v>144</v>
      </c>
      <c r="E174" s="9" t="str">
        <f t="shared" si="16"/>
        <v>01 ENERO</v>
      </c>
      <c r="F174" s="9">
        <f t="shared" si="15"/>
        <v>402848.25</v>
      </c>
      <c r="H174" s="9"/>
    </row>
    <row r="175" spans="2:8">
      <c r="B175" s="9" t="s">
        <v>45</v>
      </c>
      <c r="C175" s="336">
        <v>44562</v>
      </c>
      <c r="D175" s="9" t="s">
        <v>144</v>
      </c>
      <c r="E175" s="9" t="str">
        <f t="shared" si="16"/>
        <v>01 ENERO</v>
      </c>
      <c r="F175" s="9">
        <f t="shared" si="15"/>
        <v>715628.46</v>
      </c>
      <c r="H175" s="9"/>
    </row>
    <row r="176" spans="2:8">
      <c r="B176" s="9" t="s">
        <v>46</v>
      </c>
      <c r="C176" s="336">
        <v>44562</v>
      </c>
      <c r="D176" s="9" t="s">
        <v>144</v>
      </c>
      <c r="E176" s="9" t="str">
        <f t="shared" si="16"/>
        <v>01 ENERO</v>
      </c>
      <c r="F176" s="9">
        <f t="shared" si="15"/>
        <v>1698641.55</v>
      </c>
      <c r="H176" s="9"/>
    </row>
    <row r="177" spans="2:8">
      <c r="B177" s="9" t="s">
        <v>47</v>
      </c>
      <c r="C177" s="336">
        <v>44562</v>
      </c>
      <c r="D177" s="9" t="s">
        <v>144</v>
      </c>
      <c r="E177" s="9" t="str">
        <f t="shared" si="16"/>
        <v>01 ENERO</v>
      </c>
      <c r="F177" s="9">
        <f t="shared" si="15"/>
        <v>2750166.73</v>
      </c>
      <c r="H177" s="9"/>
    </row>
    <row r="178" spans="2:8">
      <c r="B178" s="9" t="s">
        <v>48</v>
      </c>
      <c r="C178" s="336">
        <v>44562</v>
      </c>
      <c r="D178" s="9" t="s">
        <v>144</v>
      </c>
      <c r="E178" s="9" t="str">
        <f t="shared" si="16"/>
        <v>01 ENERO</v>
      </c>
      <c r="F178" s="9">
        <f t="shared" si="15"/>
        <v>1160119.45</v>
      </c>
      <c r="H178" s="9"/>
    </row>
    <row r="179" spans="2:8">
      <c r="B179" s="9" t="s">
        <v>49</v>
      </c>
      <c r="C179" s="336">
        <v>44562</v>
      </c>
      <c r="D179" s="9" t="s">
        <v>144</v>
      </c>
      <c r="E179" s="9" t="str">
        <f t="shared" si="16"/>
        <v>01 ENERO</v>
      </c>
      <c r="F179" s="9">
        <f t="shared" si="15"/>
        <v>814812.01</v>
      </c>
      <c r="H179" s="9"/>
    </row>
    <row r="180" spans="2:8">
      <c r="B180" s="9" t="s">
        <v>50</v>
      </c>
      <c r="C180" s="336">
        <v>44562</v>
      </c>
      <c r="D180" s="9" t="s">
        <v>144</v>
      </c>
      <c r="E180" s="9" t="str">
        <f t="shared" si="16"/>
        <v>01 ENERO</v>
      </c>
      <c r="F180" s="9">
        <f t="shared" si="15"/>
        <v>306867.46999999997</v>
      </c>
      <c r="H180" s="9"/>
    </row>
    <row r="181" spans="2:8">
      <c r="B181" s="9" t="s">
        <v>51</v>
      </c>
      <c r="C181" s="336">
        <v>44562</v>
      </c>
      <c r="D181" s="9" t="s">
        <v>144</v>
      </c>
      <c r="E181" s="9" t="str">
        <f t="shared" si="16"/>
        <v>01 ENERO</v>
      </c>
      <c r="F181" s="9">
        <f t="shared" si="15"/>
        <v>288356.39</v>
      </c>
      <c r="H181" s="9"/>
    </row>
    <row r="182" spans="2:8">
      <c r="B182" s="9" t="s">
        <v>1</v>
      </c>
      <c r="C182" s="336">
        <v>44562</v>
      </c>
      <c r="D182" s="9" t="s">
        <v>149</v>
      </c>
      <c r="E182" s="9" t="str">
        <f t="shared" si="16"/>
        <v>01 ENERO</v>
      </c>
      <c r="F182" s="9">
        <f>E6</f>
        <v>0</v>
      </c>
      <c r="H182" s="9"/>
    </row>
    <row r="183" spans="2:8">
      <c r="B183" s="9" t="s">
        <v>2</v>
      </c>
      <c r="C183" s="336">
        <v>44562</v>
      </c>
      <c r="D183" s="9" t="s">
        <v>149</v>
      </c>
      <c r="E183" s="9" t="str">
        <f t="shared" si="16"/>
        <v>01 ENERO</v>
      </c>
      <c r="F183" s="9">
        <f t="shared" ref="F183:F232" si="17">E7</f>
        <v>0</v>
      </c>
      <c r="H183" s="9"/>
    </row>
    <row r="184" spans="2:8">
      <c r="B184" s="9" t="s">
        <v>3</v>
      </c>
      <c r="C184" s="336">
        <v>44562</v>
      </c>
      <c r="D184" s="9" t="s">
        <v>149</v>
      </c>
      <c r="E184" s="9" t="str">
        <f t="shared" si="16"/>
        <v>01 ENERO</v>
      </c>
      <c r="F184" s="9">
        <f t="shared" si="17"/>
        <v>0</v>
      </c>
      <c r="H184" s="9"/>
    </row>
    <row r="185" spans="2:8">
      <c r="B185" s="9" t="s">
        <v>4</v>
      </c>
      <c r="C185" s="336">
        <v>44562</v>
      </c>
      <c r="D185" s="9" t="s">
        <v>149</v>
      </c>
      <c r="E185" s="9" t="str">
        <f t="shared" si="16"/>
        <v>01 ENERO</v>
      </c>
      <c r="F185" s="9">
        <f t="shared" si="17"/>
        <v>0</v>
      </c>
      <c r="H185" s="9"/>
    </row>
    <row r="186" spans="2:8">
      <c r="B186" s="9" t="s">
        <v>5</v>
      </c>
      <c r="C186" s="336">
        <v>44562</v>
      </c>
      <c r="D186" s="9" t="s">
        <v>149</v>
      </c>
      <c r="E186" s="9" t="str">
        <f t="shared" si="16"/>
        <v>01 ENERO</v>
      </c>
      <c r="F186" s="9">
        <f t="shared" si="17"/>
        <v>0</v>
      </c>
      <c r="H186" s="9"/>
    </row>
    <row r="187" spans="2:8">
      <c r="B187" s="9" t="s">
        <v>6</v>
      </c>
      <c r="C187" s="336">
        <v>44562</v>
      </c>
      <c r="D187" s="9" t="s">
        <v>149</v>
      </c>
      <c r="E187" s="9" t="str">
        <f t="shared" si="16"/>
        <v>01 ENERO</v>
      </c>
      <c r="F187" s="9">
        <f t="shared" si="17"/>
        <v>2077706.7467410071</v>
      </c>
      <c r="H187" s="9"/>
    </row>
    <row r="188" spans="2:8">
      <c r="B188" s="9" t="s">
        <v>7</v>
      </c>
      <c r="C188" s="336">
        <v>44562</v>
      </c>
      <c r="D188" s="9" t="s">
        <v>149</v>
      </c>
      <c r="E188" s="9" t="str">
        <f t="shared" si="16"/>
        <v>01 ENERO</v>
      </c>
      <c r="F188" s="9">
        <f t="shared" si="17"/>
        <v>0</v>
      </c>
      <c r="H188" s="9"/>
    </row>
    <row r="189" spans="2:8">
      <c r="B189" s="9" t="s">
        <v>8</v>
      </c>
      <c r="C189" s="336">
        <v>44562</v>
      </c>
      <c r="D189" s="9" t="s">
        <v>149</v>
      </c>
      <c r="E189" s="9" t="str">
        <f t="shared" si="16"/>
        <v>01 ENERO</v>
      </c>
      <c r="F189" s="9">
        <f t="shared" si="17"/>
        <v>0</v>
      </c>
      <c r="H189" s="9"/>
    </row>
    <row r="190" spans="2:8">
      <c r="B190" s="9" t="s">
        <v>9</v>
      </c>
      <c r="C190" s="336">
        <v>44562</v>
      </c>
      <c r="D190" s="9" t="s">
        <v>149</v>
      </c>
      <c r="E190" s="9" t="str">
        <f t="shared" si="16"/>
        <v>01 ENERO</v>
      </c>
      <c r="F190" s="9">
        <f t="shared" si="17"/>
        <v>736132.36799461534</v>
      </c>
      <c r="H190" s="9"/>
    </row>
    <row r="191" spans="2:8">
      <c r="B191" s="9" t="s">
        <v>10</v>
      </c>
      <c r="C191" s="336">
        <v>44562</v>
      </c>
      <c r="D191" s="9" t="s">
        <v>149</v>
      </c>
      <c r="E191" s="9" t="str">
        <f t="shared" si="16"/>
        <v>01 ENERO</v>
      </c>
      <c r="F191" s="9">
        <f t="shared" si="17"/>
        <v>674064.27108877513</v>
      </c>
      <c r="H191" s="9"/>
    </row>
    <row r="192" spans="2:8">
      <c r="B192" s="9" t="s">
        <v>189</v>
      </c>
      <c r="C192" s="336">
        <v>44562</v>
      </c>
      <c r="D192" s="9" t="s">
        <v>149</v>
      </c>
      <c r="E192" s="9" t="str">
        <f t="shared" si="16"/>
        <v>01 ENERO</v>
      </c>
      <c r="F192" s="9">
        <f t="shared" si="17"/>
        <v>0</v>
      </c>
      <c r="H192" s="9"/>
    </row>
    <row r="193" spans="2:8">
      <c r="B193" s="9" t="s">
        <v>12</v>
      </c>
      <c r="C193" s="336">
        <v>44562</v>
      </c>
      <c r="D193" s="9" t="s">
        <v>149</v>
      </c>
      <c r="E193" s="9" t="str">
        <f t="shared" si="16"/>
        <v>01 ENERO</v>
      </c>
      <c r="F193" s="9">
        <f t="shared" si="17"/>
        <v>0</v>
      </c>
      <c r="H193" s="9"/>
    </row>
    <row r="194" spans="2:8">
      <c r="B194" s="9" t="s">
        <v>13</v>
      </c>
      <c r="C194" s="336">
        <v>44562</v>
      </c>
      <c r="D194" s="9" t="s">
        <v>149</v>
      </c>
      <c r="E194" s="9" t="str">
        <f t="shared" si="16"/>
        <v>01 ENERO</v>
      </c>
      <c r="F194" s="9">
        <f t="shared" si="17"/>
        <v>607979.18865591078</v>
      </c>
      <c r="H194" s="9"/>
    </row>
    <row r="195" spans="2:8">
      <c r="B195" s="9" t="s">
        <v>14</v>
      </c>
      <c r="C195" s="336">
        <v>44562</v>
      </c>
      <c r="D195" s="9" t="s">
        <v>149</v>
      </c>
      <c r="E195" s="9" t="str">
        <f t="shared" si="16"/>
        <v>01 ENERO</v>
      </c>
      <c r="F195" s="9">
        <f t="shared" si="17"/>
        <v>0</v>
      </c>
      <c r="H195" s="9"/>
    </row>
    <row r="196" spans="2:8">
      <c r="B196" s="9" t="s">
        <v>15</v>
      </c>
      <c r="C196" s="336">
        <v>44562</v>
      </c>
      <c r="D196" s="9" t="s">
        <v>149</v>
      </c>
      <c r="E196" s="9" t="str">
        <f t="shared" si="16"/>
        <v>01 ENERO</v>
      </c>
      <c r="F196" s="9">
        <f t="shared" si="17"/>
        <v>0</v>
      </c>
      <c r="H196" s="9"/>
    </row>
    <row r="197" spans="2:8">
      <c r="B197" s="9" t="s">
        <v>16</v>
      </c>
      <c r="C197" s="336">
        <v>44562</v>
      </c>
      <c r="D197" s="9" t="s">
        <v>149</v>
      </c>
      <c r="E197" s="9" t="str">
        <f t="shared" si="16"/>
        <v>01 ENERO</v>
      </c>
      <c r="F197" s="9">
        <f t="shared" si="17"/>
        <v>0</v>
      </c>
      <c r="H197" s="9"/>
    </row>
    <row r="198" spans="2:8">
      <c r="B198" s="9" t="s">
        <v>17</v>
      </c>
      <c r="C198" s="336">
        <v>44562</v>
      </c>
      <c r="D198" s="9" t="s">
        <v>149</v>
      </c>
      <c r="E198" s="9" t="str">
        <f t="shared" si="16"/>
        <v>01 ENERO</v>
      </c>
      <c r="F198" s="9">
        <f t="shared" si="17"/>
        <v>0</v>
      </c>
      <c r="H198" s="9"/>
    </row>
    <row r="199" spans="2:8">
      <c r="B199" s="9" t="s">
        <v>18</v>
      </c>
      <c r="C199" s="336">
        <v>44562</v>
      </c>
      <c r="D199" s="9" t="s">
        <v>149</v>
      </c>
      <c r="E199" s="9" t="str">
        <f t="shared" si="16"/>
        <v>01 ENERO</v>
      </c>
      <c r="F199" s="9">
        <f t="shared" si="17"/>
        <v>1308890.6139026871</v>
      </c>
      <c r="H199" s="9"/>
    </row>
    <row r="200" spans="2:8">
      <c r="B200" s="9" t="s">
        <v>19</v>
      </c>
      <c r="C200" s="336">
        <v>44562</v>
      </c>
      <c r="D200" s="9" t="s">
        <v>149</v>
      </c>
      <c r="E200" s="9" t="str">
        <f t="shared" si="16"/>
        <v>01 ENERO</v>
      </c>
      <c r="F200" s="9">
        <f t="shared" si="17"/>
        <v>0</v>
      </c>
      <c r="H200" s="9"/>
    </row>
    <row r="201" spans="2:8">
      <c r="B201" s="9" t="s">
        <v>20</v>
      </c>
      <c r="C201" s="336">
        <v>44562</v>
      </c>
      <c r="D201" s="9" t="s">
        <v>149</v>
      </c>
      <c r="E201" s="9" t="str">
        <f t="shared" si="16"/>
        <v>01 ENERO</v>
      </c>
      <c r="F201" s="9">
        <f t="shared" si="17"/>
        <v>1576601.8020941212</v>
      </c>
      <c r="H201" s="9"/>
    </row>
    <row r="202" spans="2:8">
      <c r="B202" s="9" t="s">
        <v>21</v>
      </c>
      <c r="C202" s="336">
        <v>44562</v>
      </c>
      <c r="D202" s="9" t="s">
        <v>149</v>
      </c>
      <c r="E202" s="9" t="str">
        <f t="shared" si="16"/>
        <v>01 ENERO</v>
      </c>
      <c r="F202" s="9">
        <f t="shared" si="17"/>
        <v>0</v>
      </c>
      <c r="H202" s="9"/>
    </row>
    <row r="203" spans="2:8">
      <c r="B203" s="9" t="s">
        <v>22</v>
      </c>
      <c r="C203" s="336">
        <v>44562</v>
      </c>
      <c r="D203" s="9" t="s">
        <v>149</v>
      </c>
      <c r="E203" s="9" t="str">
        <f t="shared" si="16"/>
        <v>01 ENERO</v>
      </c>
      <c r="F203" s="9">
        <f t="shared" si="17"/>
        <v>0</v>
      </c>
      <c r="H203" s="9"/>
    </row>
    <row r="204" spans="2:8">
      <c r="B204" s="9" t="s">
        <v>23</v>
      </c>
      <c r="C204" s="336">
        <v>44562</v>
      </c>
      <c r="D204" s="9" t="s">
        <v>149</v>
      </c>
      <c r="E204" s="9" t="str">
        <f t="shared" si="16"/>
        <v>01 ENERO</v>
      </c>
      <c r="F204" s="9">
        <f t="shared" si="17"/>
        <v>0</v>
      </c>
      <c r="H204" s="9"/>
    </row>
    <row r="205" spans="2:8">
      <c r="B205" s="9" t="s">
        <v>24</v>
      </c>
      <c r="C205" s="336">
        <v>44562</v>
      </c>
      <c r="D205" s="9" t="s">
        <v>149</v>
      </c>
      <c r="E205" s="9" t="str">
        <f t="shared" si="16"/>
        <v>01 ENERO</v>
      </c>
      <c r="F205" s="9">
        <f t="shared" si="17"/>
        <v>668718.16860718466</v>
      </c>
      <c r="H205" s="9"/>
    </row>
    <row r="206" spans="2:8">
      <c r="B206" s="9" t="s">
        <v>25</v>
      </c>
      <c r="C206" s="336">
        <v>44562</v>
      </c>
      <c r="D206" s="9" t="s">
        <v>149</v>
      </c>
      <c r="E206" s="9" t="str">
        <f t="shared" si="16"/>
        <v>01 ENERO</v>
      </c>
      <c r="F206" s="9">
        <f t="shared" si="17"/>
        <v>0</v>
      </c>
      <c r="H206" s="9"/>
    </row>
    <row r="207" spans="2:8">
      <c r="B207" s="9" t="s">
        <v>26</v>
      </c>
      <c r="C207" s="336">
        <v>44562</v>
      </c>
      <c r="D207" s="9" t="s">
        <v>149</v>
      </c>
      <c r="E207" s="9" t="str">
        <f t="shared" si="16"/>
        <v>01 ENERO</v>
      </c>
      <c r="F207" s="9">
        <f t="shared" si="17"/>
        <v>0</v>
      </c>
      <c r="H207" s="9"/>
    </row>
    <row r="208" spans="2:8">
      <c r="B208" s="9" t="s">
        <v>27</v>
      </c>
      <c r="C208" s="336">
        <v>44562</v>
      </c>
      <c r="D208" s="9" t="s">
        <v>149</v>
      </c>
      <c r="E208" s="9" t="str">
        <f t="shared" ref="E208:E271" si="18">"01 ENERO"</f>
        <v>01 ENERO</v>
      </c>
      <c r="F208" s="9">
        <f t="shared" si="17"/>
        <v>0</v>
      </c>
      <c r="H208" s="9"/>
    </row>
    <row r="209" spans="2:8">
      <c r="B209" s="9" t="s">
        <v>28</v>
      </c>
      <c r="C209" s="336">
        <v>44562</v>
      </c>
      <c r="D209" s="9" t="s">
        <v>149</v>
      </c>
      <c r="E209" s="9" t="str">
        <f t="shared" si="18"/>
        <v>01 ENERO</v>
      </c>
      <c r="F209" s="9">
        <f t="shared" si="17"/>
        <v>0</v>
      </c>
      <c r="H209" s="9"/>
    </row>
    <row r="210" spans="2:8">
      <c r="B210" s="9" t="s">
        <v>29</v>
      </c>
      <c r="C210" s="336">
        <v>44562</v>
      </c>
      <c r="D210" s="9" t="s">
        <v>149</v>
      </c>
      <c r="E210" s="9" t="str">
        <f t="shared" si="18"/>
        <v>01 ENERO</v>
      </c>
      <c r="F210" s="9">
        <f t="shared" si="17"/>
        <v>0</v>
      </c>
      <c r="H210" s="9"/>
    </row>
    <row r="211" spans="2:8">
      <c r="B211" s="9" t="s">
        <v>30</v>
      </c>
      <c r="C211" s="336">
        <v>44562</v>
      </c>
      <c r="D211" s="9" t="s">
        <v>149</v>
      </c>
      <c r="E211" s="9" t="str">
        <f t="shared" si="18"/>
        <v>01 ENERO</v>
      </c>
      <c r="F211" s="9">
        <f t="shared" si="17"/>
        <v>0</v>
      </c>
      <c r="H211" s="9"/>
    </row>
    <row r="212" spans="2:8">
      <c r="B212" s="9" t="s">
        <v>31</v>
      </c>
      <c r="C212" s="336">
        <v>44562</v>
      </c>
      <c r="D212" s="9" t="s">
        <v>149</v>
      </c>
      <c r="E212" s="9" t="str">
        <f t="shared" si="18"/>
        <v>01 ENERO</v>
      </c>
      <c r="F212" s="9">
        <f t="shared" si="17"/>
        <v>1485736.4434584058</v>
      </c>
      <c r="H212" s="9"/>
    </row>
    <row r="213" spans="2:8">
      <c r="B213" s="9" t="s">
        <v>32</v>
      </c>
      <c r="C213" s="336">
        <v>44562</v>
      </c>
      <c r="D213" s="9" t="s">
        <v>149</v>
      </c>
      <c r="E213" s="9" t="str">
        <f t="shared" si="18"/>
        <v>01 ENERO</v>
      </c>
      <c r="F213" s="9">
        <f t="shared" si="17"/>
        <v>0</v>
      </c>
      <c r="H213" s="9"/>
    </row>
    <row r="214" spans="2:8">
      <c r="B214" s="9" t="s">
        <v>33</v>
      </c>
      <c r="C214" s="336">
        <v>44562</v>
      </c>
      <c r="D214" s="9" t="s">
        <v>149</v>
      </c>
      <c r="E214" s="9" t="str">
        <f t="shared" si="18"/>
        <v>01 ENERO</v>
      </c>
      <c r="F214" s="9">
        <f t="shared" si="17"/>
        <v>0</v>
      </c>
      <c r="H214" s="9"/>
    </row>
    <row r="215" spans="2:8">
      <c r="B215" s="9" t="s">
        <v>34</v>
      </c>
      <c r="C215" s="336">
        <v>44562</v>
      </c>
      <c r="D215" s="9" t="s">
        <v>149</v>
      </c>
      <c r="E215" s="9" t="str">
        <f t="shared" si="18"/>
        <v>01 ENERO</v>
      </c>
      <c r="F215" s="9">
        <f t="shared" si="17"/>
        <v>0</v>
      </c>
      <c r="H215" s="9"/>
    </row>
    <row r="216" spans="2:8">
      <c r="B216" s="9" t="s">
        <v>35</v>
      </c>
      <c r="C216" s="336">
        <v>44562</v>
      </c>
      <c r="D216" s="9" t="s">
        <v>149</v>
      </c>
      <c r="E216" s="9" t="str">
        <f t="shared" si="18"/>
        <v>01 ENERO</v>
      </c>
      <c r="F216" s="9">
        <f t="shared" si="17"/>
        <v>0</v>
      </c>
      <c r="H216" s="9"/>
    </row>
    <row r="217" spans="2:8">
      <c r="B217" s="9" t="s">
        <v>36</v>
      </c>
      <c r="C217" s="336">
        <v>44562</v>
      </c>
      <c r="D217" s="9" t="s">
        <v>149</v>
      </c>
      <c r="E217" s="9" t="str">
        <f t="shared" si="18"/>
        <v>01 ENERO</v>
      </c>
      <c r="F217" s="9">
        <f t="shared" si="17"/>
        <v>0</v>
      </c>
      <c r="H217" s="9"/>
    </row>
    <row r="218" spans="2:8">
      <c r="B218" s="9" t="s">
        <v>37</v>
      </c>
      <c r="C218" s="336">
        <v>44562</v>
      </c>
      <c r="D218" s="9" t="s">
        <v>149</v>
      </c>
      <c r="E218" s="9" t="str">
        <f t="shared" si="18"/>
        <v>01 ENERO</v>
      </c>
      <c r="F218" s="9">
        <f t="shared" si="17"/>
        <v>0</v>
      </c>
      <c r="H218" s="9"/>
    </row>
    <row r="219" spans="2:8">
      <c r="B219" s="9" t="s">
        <v>38</v>
      </c>
      <c r="C219" s="336">
        <v>44562</v>
      </c>
      <c r="D219" s="9" t="s">
        <v>149</v>
      </c>
      <c r="E219" s="9" t="str">
        <f t="shared" si="18"/>
        <v>01 ENERO</v>
      </c>
      <c r="F219" s="9">
        <f t="shared" si="17"/>
        <v>0</v>
      </c>
      <c r="H219" s="9"/>
    </row>
    <row r="220" spans="2:8">
      <c r="B220" s="9" t="s">
        <v>39</v>
      </c>
      <c r="C220" s="336">
        <v>44562</v>
      </c>
      <c r="D220" s="9" t="s">
        <v>149</v>
      </c>
      <c r="E220" s="9" t="str">
        <f t="shared" si="18"/>
        <v>01 ENERO</v>
      </c>
      <c r="F220" s="9">
        <f t="shared" si="17"/>
        <v>0</v>
      </c>
      <c r="H220" s="9"/>
    </row>
    <row r="221" spans="2:8">
      <c r="B221" s="9" t="s">
        <v>40</v>
      </c>
      <c r="C221" s="336">
        <v>44562</v>
      </c>
      <c r="D221" s="9" t="s">
        <v>149</v>
      </c>
      <c r="E221" s="9" t="str">
        <f t="shared" si="18"/>
        <v>01 ENERO</v>
      </c>
      <c r="F221" s="9">
        <f t="shared" si="17"/>
        <v>0</v>
      </c>
      <c r="H221" s="9"/>
    </row>
    <row r="222" spans="2:8">
      <c r="B222" s="9" t="s">
        <v>41</v>
      </c>
      <c r="C222" s="336">
        <v>44562</v>
      </c>
      <c r="D222" s="9" t="s">
        <v>149</v>
      </c>
      <c r="E222" s="9" t="str">
        <f t="shared" si="18"/>
        <v>01 ENERO</v>
      </c>
      <c r="F222" s="9">
        <f t="shared" si="17"/>
        <v>761890.59524832305</v>
      </c>
      <c r="H222" s="9"/>
    </row>
    <row r="223" spans="2:8">
      <c r="B223" s="9" t="s">
        <v>42</v>
      </c>
      <c r="C223" s="336">
        <v>44562</v>
      </c>
      <c r="D223" s="9" t="s">
        <v>149</v>
      </c>
      <c r="E223" s="9" t="str">
        <f t="shared" si="18"/>
        <v>01 ENERO</v>
      </c>
      <c r="F223" s="9">
        <f t="shared" si="17"/>
        <v>0</v>
      </c>
      <c r="H223" s="9"/>
    </row>
    <row r="224" spans="2:8">
      <c r="B224" s="9" t="s">
        <v>43</v>
      </c>
      <c r="C224" s="336">
        <v>44562</v>
      </c>
      <c r="D224" s="9" t="s">
        <v>149</v>
      </c>
      <c r="E224" s="9" t="str">
        <f t="shared" si="18"/>
        <v>01 ENERO</v>
      </c>
      <c r="F224" s="9">
        <f t="shared" si="17"/>
        <v>0</v>
      </c>
      <c r="H224" s="9"/>
    </row>
    <row r="225" spans="2:8">
      <c r="B225" s="9" t="s">
        <v>44</v>
      </c>
      <c r="C225" s="336">
        <v>44562</v>
      </c>
      <c r="D225" s="9" t="s">
        <v>149</v>
      </c>
      <c r="E225" s="9" t="str">
        <f t="shared" si="18"/>
        <v>01 ENERO</v>
      </c>
      <c r="F225" s="9">
        <f t="shared" si="17"/>
        <v>0</v>
      </c>
      <c r="H225" s="9"/>
    </row>
    <row r="226" spans="2:8">
      <c r="B226" s="9" t="s">
        <v>45</v>
      </c>
      <c r="C226" s="336">
        <v>44562</v>
      </c>
      <c r="D226" s="9" t="s">
        <v>149</v>
      </c>
      <c r="E226" s="9" t="str">
        <f t="shared" si="18"/>
        <v>01 ENERO</v>
      </c>
      <c r="F226" s="9">
        <f t="shared" si="17"/>
        <v>659932.01196578087</v>
      </c>
      <c r="H226" s="9"/>
    </row>
    <row r="227" spans="2:8">
      <c r="B227" s="9" t="s">
        <v>46</v>
      </c>
      <c r="C227" s="336">
        <v>44562</v>
      </c>
      <c r="D227" s="9" t="s">
        <v>149</v>
      </c>
      <c r="E227" s="9" t="str">
        <f t="shared" si="18"/>
        <v>01 ENERO</v>
      </c>
      <c r="F227" s="9">
        <f t="shared" si="17"/>
        <v>0</v>
      </c>
      <c r="H227" s="9"/>
    </row>
    <row r="228" spans="2:8">
      <c r="B228" s="9" t="s">
        <v>47</v>
      </c>
      <c r="C228" s="336">
        <v>44562</v>
      </c>
      <c r="D228" s="9" t="s">
        <v>149</v>
      </c>
      <c r="E228" s="9" t="str">
        <f t="shared" si="18"/>
        <v>01 ENERO</v>
      </c>
      <c r="F228" s="9">
        <f t="shared" si="17"/>
        <v>0</v>
      </c>
      <c r="H228" s="9"/>
    </row>
    <row r="229" spans="2:8">
      <c r="B229" s="9" t="s">
        <v>48</v>
      </c>
      <c r="C229" s="336">
        <v>44562</v>
      </c>
      <c r="D229" s="9" t="s">
        <v>149</v>
      </c>
      <c r="E229" s="9" t="str">
        <f t="shared" si="18"/>
        <v>01 ENERO</v>
      </c>
      <c r="F229" s="9">
        <f t="shared" si="17"/>
        <v>1174567.0456711713</v>
      </c>
      <c r="H229" s="9"/>
    </row>
    <row r="230" spans="2:8">
      <c r="B230" s="9" t="s">
        <v>49</v>
      </c>
      <c r="C230" s="336">
        <v>44562</v>
      </c>
      <c r="D230" s="9" t="s">
        <v>149</v>
      </c>
      <c r="E230" s="9" t="str">
        <f t="shared" si="18"/>
        <v>01 ENERO</v>
      </c>
      <c r="F230" s="9">
        <f t="shared" si="17"/>
        <v>671768.51395682571</v>
      </c>
      <c r="H230" s="9"/>
    </row>
    <row r="231" spans="2:8">
      <c r="B231" s="9" t="s">
        <v>50</v>
      </c>
      <c r="C231" s="336">
        <v>44562</v>
      </c>
      <c r="D231" s="9" t="s">
        <v>149</v>
      </c>
      <c r="E231" s="9" t="str">
        <f t="shared" si="18"/>
        <v>01 ENERO</v>
      </c>
      <c r="F231" s="9">
        <f t="shared" si="17"/>
        <v>0</v>
      </c>
      <c r="H231" s="9"/>
    </row>
    <row r="232" spans="2:8">
      <c r="B232" s="9" t="s">
        <v>51</v>
      </c>
      <c r="C232" s="336">
        <v>44562</v>
      </c>
      <c r="D232" s="9" t="s">
        <v>149</v>
      </c>
      <c r="E232" s="9" t="str">
        <f t="shared" si="18"/>
        <v>01 ENERO</v>
      </c>
      <c r="F232" s="9">
        <f t="shared" si="17"/>
        <v>0</v>
      </c>
      <c r="H232" s="9"/>
    </row>
    <row r="233" spans="2:8">
      <c r="B233" s="9" t="s">
        <v>1</v>
      </c>
      <c r="C233" s="336">
        <v>44562</v>
      </c>
      <c r="D233" s="9" t="s">
        <v>164</v>
      </c>
      <c r="E233" s="9" t="str">
        <f t="shared" si="18"/>
        <v>01 ENERO</v>
      </c>
      <c r="F233" s="9">
        <f>F6</f>
        <v>145369.52354865437</v>
      </c>
      <c r="H233" s="9"/>
    </row>
    <row r="234" spans="2:8">
      <c r="B234" s="9" t="s">
        <v>2</v>
      </c>
      <c r="C234" s="336">
        <v>44562</v>
      </c>
      <c r="D234" s="9" t="s">
        <v>164</v>
      </c>
      <c r="E234" s="9" t="str">
        <f t="shared" si="18"/>
        <v>01 ENERO</v>
      </c>
      <c r="F234" s="9">
        <f t="shared" ref="F234:F283" si="19">F7</f>
        <v>241719.38991096185</v>
      </c>
      <c r="H234" s="9"/>
    </row>
    <row r="235" spans="2:8">
      <c r="B235" s="9" t="s">
        <v>3</v>
      </c>
      <c r="C235" s="336">
        <v>44562</v>
      </c>
      <c r="D235" s="9" t="s">
        <v>164</v>
      </c>
      <c r="E235" s="9" t="str">
        <f t="shared" si="18"/>
        <v>01 ENERO</v>
      </c>
      <c r="F235" s="9">
        <f t="shared" si="19"/>
        <v>184149.08754386404</v>
      </c>
      <c r="H235" s="9"/>
    </row>
    <row r="236" spans="2:8">
      <c r="B236" s="9" t="s">
        <v>4</v>
      </c>
      <c r="C236" s="336">
        <v>44562</v>
      </c>
      <c r="D236" s="9" t="s">
        <v>164</v>
      </c>
      <c r="E236" s="9" t="str">
        <f t="shared" si="18"/>
        <v>01 ENERO</v>
      </c>
      <c r="F236" s="9">
        <f t="shared" si="19"/>
        <v>709853.38313987956</v>
      </c>
      <c r="H236" s="9"/>
    </row>
    <row r="237" spans="2:8">
      <c r="B237" s="9" t="s">
        <v>5</v>
      </c>
      <c r="C237" s="336">
        <v>44562</v>
      </c>
      <c r="D237" s="9" t="s">
        <v>164</v>
      </c>
      <c r="E237" s="9" t="str">
        <f t="shared" si="18"/>
        <v>01 ENERO</v>
      </c>
      <c r="F237" s="9">
        <f t="shared" si="19"/>
        <v>511469.03323250258</v>
      </c>
      <c r="H237" s="9"/>
    </row>
    <row r="238" spans="2:8">
      <c r="B238" s="9" t="s">
        <v>6</v>
      </c>
      <c r="C238" s="336">
        <v>44562</v>
      </c>
      <c r="D238" s="9" t="s">
        <v>164</v>
      </c>
      <c r="E238" s="9" t="str">
        <f t="shared" si="18"/>
        <v>01 ENERO</v>
      </c>
      <c r="F238" s="9">
        <f t="shared" si="19"/>
        <v>2229327.0761782369</v>
      </c>
      <c r="H238" s="9"/>
    </row>
    <row r="239" spans="2:8">
      <c r="B239" s="9" t="s">
        <v>7</v>
      </c>
      <c r="C239" s="336">
        <v>44562</v>
      </c>
      <c r="D239" s="9" t="s">
        <v>164</v>
      </c>
      <c r="E239" s="9" t="str">
        <f t="shared" si="18"/>
        <v>01 ENERO</v>
      </c>
      <c r="F239" s="9">
        <f t="shared" si="19"/>
        <v>685389.59118695778</v>
      </c>
      <c r="H239" s="9"/>
    </row>
    <row r="240" spans="2:8">
      <c r="B240" s="9" t="s">
        <v>8</v>
      </c>
      <c r="C240" s="336">
        <v>44562</v>
      </c>
      <c r="D240" s="9" t="s">
        <v>164</v>
      </c>
      <c r="E240" s="9" t="str">
        <f t="shared" si="18"/>
        <v>01 ENERO</v>
      </c>
      <c r="F240" s="9">
        <f t="shared" si="19"/>
        <v>247851.58996842895</v>
      </c>
      <c r="H240" s="9"/>
    </row>
    <row r="241" spans="2:8">
      <c r="B241" s="9" t="s">
        <v>9</v>
      </c>
      <c r="C241" s="336">
        <v>44562</v>
      </c>
      <c r="D241" s="9" t="s">
        <v>164</v>
      </c>
      <c r="E241" s="9" t="str">
        <f t="shared" si="18"/>
        <v>01 ENERO</v>
      </c>
      <c r="F241" s="9">
        <f t="shared" si="19"/>
        <v>506731.01118072955</v>
      </c>
      <c r="H241" s="9"/>
    </row>
    <row r="242" spans="2:8">
      <c r="B242" s="9" t="s">
        <v>10</v>
      </c>
      <c r="C242" s="336">
        <v>44562</v>
      </c>
      <c r="D242" s="9" t="s">
        <v>164</v>
      </c>
      <c r="E242" s="9" t="str">
        <f t="shared" si="18"/>
        <v>01 ENERO</v>
      </c>
      <c r="F242" s="9">
        <f t="shared" si="19"/>
        <v>901209.03352620406</v>
      </c>
      <c r="H242" s="9"/>
    </row>
    <row r="243" spans="2:8">
      <c r="B243" s="9" t="s">
        <v>189</v>
      </c>
      <c r="C243" s="336">
        <v>44562</v>
      </c>
      <c r="D243" s="9" t="s">
        <v>164</v>
      </c>
      <c r="E243" s="9" t="str">
        <f t="shared" si="18"/>
        <v>01 ENERO</v>
      </c>
      <c r="F243" s="9">
        <f t="shared" si="19"/>
        <v>335262.86541885132</v>
      </c>
      <c r="H243" s="9"/>
    </row>
    <row r="244" spans="2:8">
      <c r="B244" s="9" t="s">
        <v>12</v>
      </c>
      <c r="C244" s="336">
        <v>44562</v>
      </c>
      <c r="D244" s="9" t="s">
        <v>164</v>
      </c>
      <c r="E244" s="9" t="str">
        <f t="shared" si="18"/>
        <v>01 ENERO</v>
      </c>
      <c r="F244" s="9">
        <f t="shared" si="19"/>
        <v>463594.35675485799</v>
      </c>
      <c r="H244" s="9"/>
    </row>
    <row r="245" spans="2:8">
      <c r="B245" s="9" t="s">
        <v>13</v>
      </c>
      <c r="C245" s="336">
        <v>44562</v>
      </c>
      <c r="D245" s="9" t="s">
        <v>164</v>
      </c>
      <c r="E245" s="9" t="str">
        <f t="shared" si="18"/>
        <v>01 ENERO</v>
      </c>
      <c r="F245" s="9">
        <f t="shared" si="19"/>
        <v>670693.50041138555</v>
      </c>
      <c r="H245" s="9"/>
    </row>
    <row r="246" spans="2:8">
      <c r="B246" s="9" t="s">
        <v>14</v>
      </c>
      <c r="C246" s="336">
        <v>44562</v>
      </c>
      <c r="D246" s="9" t="s">
        <v>164</v>
      </c>
      <c r="E246" s="9" t="str">
        <f t="shared" si="18"/>
        <v>01 ENERO</v>
      </c>
      <c r="F246" s="9">
        <f t="shared" si="19"/>
        <v>1585969.7013374334</v>
      </c>
      <c r="H246" s="9"/>
    </row>
    <row r="247" spans="2:8">
      <c r="B247" s="9" t="s">
        <v>15</v>
      </c>
      <c r="C247" s="336">
        <v>44562</v>
      </c>
      <c r="D247" s="9" t="s">
        <v>164</v>
      </c>
      <c r="E247" s="9" t="str">
        <f t="shared" si="18"/>
        <v>01 ENERO</v>
      </c>
      <c r="F247" s="9">
        <f t="shared" si="19"/>
        <v>218983.81735002479</v>
      </c>
      <c r="H247" s="9"/>
    </row>
    <row r="248" spans="2:8">
      <c r="B248" s="9" t="s">
        <v>16</v>
      </c>
      <c r="C248" s="336">
        <v>44562</v>
      </c>
      <c r="D248" s="9" t="s">
        <v>164</v>
      </c>
      <c r="E248" s="9" t="str">
        <f t="shared" si="18"/>
        <v>01 ENERO</v>
      </c>
      <c r="F248" s="9">
        <f t="shared" si="19"/>
        <v>109860.46261583385</v>
      </c>
      <c r="H248" s="9"/>
    </row>
    <row r="249" spans="2:8">
      <c r="B249" s="9" t="s">
        <v>17</v>
      </c>
      <c r="C249" s="336">
        <v>44562</v>
      </c>
      <c r="D249" s="9" t="s">
        <v>164</v>
      </c>
      <c r="E249" s="9" t="str">
        <f t="shared" si="18"/>
        <v>01 ENERO</v>
      </c>
      <c r="F249" s="9">
        <f t="shared" si="19"/>
        <v>1147558.9651947303</v>
      </c>
      <c r="H249" s="9"/>
    </row>
    <row r="250" spans="2:8">
      <c r="B250" s="9" t="s">
        <v>18</v>
      </c>
      <c r="C250" s="336">
        <v>44562</v>
      </c>
      <c r="D250" s="9" t="s">
        <v>164</v>
      </c>
      <c r="E250" s="9" t="str">
        <f t="shared" si="18"/>
        <v>01 ENERO</v>
      </c>
      <c r="F250" s="9">
        <f t="shared" si="19"/>
        <v>1016198.6147387596</v>
      </c>
      <c r="H250" s="9"/>
    </row>
    <row r="251" spans="2:8">
      <c r="B251" s="9" t="s">
        <v>19</v>
      </c>
      <c r="C251" s="336">
        <v>44562</v>
      </c>
      <c r="D251" s="9" t="s">
        <v>164</v>
      </c>
      <c r="E251" s="9" t="str">
        <f t="shared" si="18"/>
        <v>01 ENERO</v>
      </c>
      <c r="F251" s="9">
        <f t="shared" si="19"/>
        <v>313125.9545100762</v>
      </c>
      <c r="H251" s="9"/>
    </row>
    <row r="252" spans="2:8">
      <c r="B252" s="9" t="s">
        <v>20</v>
      </c>
      <c r="C252" s="336">
        <v>44562</v>
      </c>
      <c r="D252" s="9" t="s">
        <v>164</v>
      </c>
      <c r="E252" s="9" t="str">
        <f t="shared" si="18"/>
        <v>01 ENERO</v>
      </c>
      <c r="F252" s="9">
        <f t="shared" si="19"/>
        <v>1457409.4272060406</v>
      </c>
      <c r="H252" s="9"/>
    </row>
    <row r="253" spans="2:8">
      <c r="B253" s="9" t="s">
        <v>21</v>
      </c>
      <c r="C253" s="336">
        <v>44562</v>
      </c>
      <c r="D253" s="9" t="s">
        <v>164</v>
      </c>
      <c r="E253" s="9" t="str">
        <f t="shared" si="18"/>
        <v>01 ENERO</v>
      </c>
      <c r="F253" s="9">
        <f t="shared" si="19"/>
        <v>422243.00989880943</v>
      </c>
      <c r="H253" s="9"/>
    </row>
    <row r="254" spans="2:8">
      <c r="B254" s="9" t="s">
        <v>22</v>
      </c>
      <c r="C254" s="336">
        <v>44562</v>
      </c>
      <c r="D254" s="9" t="s">
        <v>164</v>
      </c>
      <c r="E254" s="9" t="str">
        <f t="shared" si="18"/>
        <v>01 ENERO</v>
      </c>
      <c r="F254" s="9">
        <f t="shared" si="19"/>
        <v>214938.94027262507</v>
      </c>
      <c r="H254" s="9"/>
    </row>
    <row r="255" spans="2:8">
      <c r="B255" s="9" t="s">
        <v>23</v>
      </c>
      <c r="C255" s="336">
        <v>44562</v>
      </c>
      <c r="D255" s="9" t="s">
        <v>164</v>
      </c>
      <c r="E255" s="9" t="str">
        <f t="shared" si="18"/>
        <v>01 ENERO</v>
      </c>
      <c r="F255" s="9">
        <f t="shared" si="19"/>
        <v>340332.44893929962</v>
      </c>
      <c r="H255" s="9"/>
    </row>
    <row r="256" spans="2:8">
      <c r="B256" s="9" t="s">
        <v>24</v>
      </c>
      <c r="C256" s="336">
        <v>44562</v>
      </c>
      <c r="D256" s="9" t="s">
        <v>164</v>
      </c>
      <c r="E256" s="9" t="str">
        <f t="shared" si="18"/>
        <v>01 ENERO</v>
      </c>
      <c r="F256" s="9">
        <f t="shared" si="19"/>
        <v>876499.52562279732</v>
      </c>
      <c r="H256" s="9"/>
    </row>
    <row r="257" spans="2:8">
      <c r="B257" s="9" t="s">
        <v>25</v>
      </c>
      <c r="C257" s="336">
        <v>44562</v>
      </c>
      <c r="D257" s="9" t="s">
        <v>164</v>
      </c>
      <c r="E257" s="9" t="str">
        <f t="shared" si="18"/>
        <v>01 ENERO</v>
      </c>
      <c r="F257" s="9">
        <f t="shared" si="19"/>
        <v>1718602.0735388638</v>
      </c>
      <c r="H257" s="9"/>
    </row>
    <row r="258" spans="2:8">
      <c r="B258" s="9" t="s">
        <v>26</v>
      </c>
      <c r="C258" s="336">
        <v>44562</v>
      </c>
      <c r="D258" s="9" t="s">
        <v>164</v>
      </c>
      <c r="E258" s="9" t="str">
        <f t="shared" si="18"/>
        <v>01 ENERO</v>
      </c>
      <c r="F258" s="9">
        <f t="shared" si="19"/>
        <v>201348.380720783</v>
      </c>
      <c r="H258" s="9"/>
    </row>
    <row r="259" spans="2:8">
      <c r="B259" s="9" t="s">
        <v>27</v>
      </c>
      <c r="C259" s="336">
        <v>44562</v>
      </c>
      <c r="D259" s="9" t="s">
        <v>164</v>
      </c>
      <c r="E259" s="9" t="str">
        <f t="shared" si="18"/>
        <v>01 ENERO</v>
      </c>
      <c r="F259" s="9">
        <f t="shared" si="19"/>
        <v>210306.25401232424</v>
      </c>
      <c r="H259" s="9"/>
    </row>
    <row r="260" spans="2:8">
      <c r="B260" s="9" t="s">
        <v>28</v>
      </c>
      <c r="C260" s="336">
        <v>44562</v>
      </c>
      <c r="D260" s="9" t="s">
        <v>164</v>
      </c>
      <c r="E260" s="9" t="str">
        <f t="shared" si="18"/>
        <v>01 ENERO</v>
      </c>
      <c r="F260" s="9">
        <f t="shared" si="19"/>
        <v>184361.89706776637</v>
      </c>
      <c r="H260" s="9"/>
    </row>
    <row r="261" spans="2:8">
      <c r="B261" s="9" t="s">
        <v>29</v>
      </c>
      <c r="C261" s="336">
        <v>44562</v>
      </c>
      <c r="D261" s="9" t="s">
        <v>164</v>
      </c>
      <c r="E261" s="9" t="str">
        <f t="shared" si="18"/>
        <v>01 ENERO</v>
      </c>
      <c r="F261" s="9">
        <f t="shared" si="19"/>
        <v>153121.62531019372</v>
      </c>
      <c r="H261" s="9"/>
    </row>
    <row r="262" spans="2:8">
      <c r="B262" s="9" t="s">
        <v>30</v>
      </c>
      <c r="C262" s="336">
        <v>44562</v>
      </c>
      <c r="D262" s="9" t="s">
        <v>164</v>
      </c>
      <c r="E262" s="9" t="str">
        <f t="shared" si="18"/>
        <v>01 ENERO</v>
      </c>
      <c r="F262" s="9">
        <f t="shared" si="19"/>
        <v>200994.39261957086</v>
      </c>
      <c r="H262" s="9"/>
    </row>
    <row r="263" spans="2:8">
      <c r="B263" s="9" t="s">
        <v>31</v>
      </c>
      <c r="C263" s="336">
        <v>44562</v>
      </c>
      <c r="D263" s="9" t="s">
        <v>164</v>
      </c>
      <c r="E263" s="9" t="str">
        <f t="shared" si="18"/>
        <v>01 ENERO</v>
      </c>
      <c r="F263" s="9">
        <f t="shared" si="19"/>
        <v>1251253.2801098649</v>
      </c>
      <c r="H263" s="9"/>
    </row>
    <row r="264" spans="2:8">
      <c r="B264" s="9" t="s">
        <v>32</v>
      </c>
      <c r="C264" s="336">
        <v>44562</v>
      </c>
      <c r="D264" s="9" t="s">
        <v>164</v>
      </c>
      <c r="E264" s="9" t="str">
        <f t="shared" si="18"/>
        <v>01 ENERO</v>
      </c>
      <c r="F264" s="9">
        <f t="shared" si="19"/>
        <v>406614.37317754544</v>
      </c>
      <c r="H264" s="9"/>
    </row>
    <row r="265" spans="2:8">
      <c r="B265" s="9" t="s">
        <v>33</v>
      </c>
      <c r="C265" s="336">
        <v>44562</v>
      </c>
      <c r="D265" s="9" t="s">
        <v>164</v>
      </c>
      <c r="E265" s="9" t="str">
        <f t="shared" si="18"/>
        <v>01 ENERO</v>
      </c>
      <c r="F265" s="9">
        <f t="shared" si="19"/>
        <v>1180575.9289833552</v>
      </c>
      <c r="H265" s="9"/>
    </row>
    <row r="266" spans="2:8">
      <c r="B266" s="9" t="s">
        <v>34</v>
      </c>
      <c r="C266" s="336">
        <v>44562</v>
      </c>
      <c r="D266" s="9" t="s">
        <v>164</v>
      </c>
      <c r="E266" s="9" t="str">
        <f t="shared" si="18"/>
        <v>01 ENERO</v>
      </c>
      <c r="F266" s="9">
        <f t="shared" si="19"/>
        <v>264613.6535775896</v>
      </c>
      <c r="H266" s="9"/>
    </row>
    <row r="267" spans="2:8">
      <c r="B267" s="9" t="s">
        <v>35</v>
      </c>
      <c r="C267" s="336">
        <v>44562</v>
      </c>
      <c r="D267" s="9" t="s">
        <v>164</v>
      </c>
      <c r="E267" s="9" t="str">
        <f t="shared" si="18"/>
        <v>01 ENERO</v>
      </c>
      <c r="F267" s="9">
        <f t="shared" si="19"/>
        <v>258289.40993765972</v>
      </c>
      <c r="H267" s="9"/>
    </row>
    <row r="268" spans="2:8">
      <c r="B268" s="9" t="s">
        <v>36</v>
      </c>
      <c r="C268" s="336">
        <v>44562</v>
      </c>
      <c r="D268" s="9" t="s">
        <v>164</v>
      </c>
      <c r="E268" s="9" t="str">
        <f t="shared" si="18"/>
        <v>01 ENERO</v>
      </c>
      <c r="F268" s="9">
        <f t="shared" si="19"/>
        <v>334120.64596245222</v>
      </c>
      <c r="H268" s="9"/>
    </row>
    <row r="269" spans="2:8">
      <c r="B269" s="9" t="s">
        <v>37</v>
      </c>
      <c r="C269" s="336">
        <v>44562</v>
      </c>
      <c r="D269" s="9" t="s">
        <v>164</v>
      </c>
      <c r="E269" s="9" t="str">
        <f t="shared" si="18"/>
        <v>01 ENERO</v>
      </c>
      <c r="F269" s="9">
        <f t="shared" si="19"/>
        <v>340439.40219221031</v>
      </c>
      <c r="H269" s="9"/>
    </row>
    <row r="270" spans="2:8">
      <c r="B270" s="9" t="s">
        <v>38</v>
      </c>
      <c r="C270" s="336">
        <v>44562</v>
      </c>
      <c r="D270" s="9" t="s">
        <v>164</v>
      </c>
      <c r="E270" s="9" t="str">
        <f t="shared" si="18"/>
        <v>01 ENERO</v>
      </c>
      <c r="F270" s="9">
        <f t="shared" si="19"/>
        <v>1492133.0807035097</v>
      </c>
      <c r="H270" s="9"/>
    </row>
    <row r="271" spans="2:8">
      <c r="B271" s="9" t="s">
        <v>39</v>
      </c>
      <c r="C271" s="336">
        <v>44562</v>
      </c>
      <c r="D271" s="9" t="s">
        <v>164</v>
      </c>
      <c r="E271" s="9" t="str">
        <f t="shared" si="18"/>
        <v>01 ENERO</v>
      </c>
      <c r="F271" s="9">
        <f t="shared" si="19"/>
        <v>7393285.1175556742</v>
      </c>
      <c r="H271" s="9"/>
    </row>
    <row r="272" spans="2:8">
      <c r="B272" s="9" t="s">
        <v>40</v>
      </c>
      <c r="C272" s="336">
        <v>44562</v>
      </c>
      <c r="D272" s="9" t="s">
        <v>164</v>
      </c>
      <c r="E272" s="9" t="str">
        <f t="shared" ref="E272:E283" si="20">"01 ENERO"</f>
        <v>01 ENERO</v>
      </c>
      <c r="F272" s="9">
        <f t="shared" si="19"/>
        <v>296299.24811091315</v>
      </c>
      <c r="H272" s="9"/>
    </row>
    <row r="273" spans="2:8">
      <c r="B273" s="9" t="s">
        <v>41</v>
      </c>
      <c r="C273" s="336">
        <v>44562</v>
      </c>
      <c r="D273" s="9" t="s">
        <v>164</v>
      </c>
      <c r="E273" s="9" t="str">
        <f t="shared" si="20"/>
        <v>01 ENERO</v>
      </c>
      <c r="F273" s="9">
        <f t="shared" si="19"/>
        <v>1254409.8136899709</v>
      </c>
      <c r="H273" s="9"/>
    </row>
    <row r="274" spans="2:8">
      <c r="B274" s="9" t="s">
        <v>42</v>
      </c>
      <c r="C274" s="336">
        <v>44562</v>
      </c>
      <c r="D274" s="9" t="s">
        <v>164</v>
      </c>
      <c r="E274" s="9" t="str">
        <f t="shared" si="20"/>
        <v>01 ENERO</v>
      </c>
      <c r="F274" s="9">
        <f t="shared" si="19"/>
        <v>191765.83800812345</v>
      </c>
      <c r="H274" s="9"/>
    </row>
    <row r="275" spans="2:8">
      <c r="B275" s="9" t="s">
        <v>43</v>
      </c>
      <c r="C275" s="336">
        <v>44562</v>
      </c>
      <c r="D275" s="9" t="s">
        <v>164</v>
      </c>
      <c r="E275" s="9" t="str">
        <f t="shared" si="20"/>
        <v>01 ENERO</v>
      </c>
      <c r="F275" s="9">
        <f t="shared" si="19"/>
        <v>215238.04648679294</v>
      </c>
      <c r="H275" s="9"/>
    </row>
    <row r="276" spans="2:8">
      <c r="B276" s="9" t="s">
        <v>44</v>
      </c>
      <c r="C276" s="336">
        <v>44562</v>
      </c>
      <c r="D276" s="9" t="s">
        <v>164</v>
      </c>
      <c r="E276" s="9" t="str">
        <f t="shared" si="20"/>
        <v>01 ENERO</v>
      </c>
      <c r="F276" s="9">
        <f t="shared" si="19"/>
        <v>467718.50883177295</v>
      </c>
      <c r="H276" s="9"/>
    </row>
    <row r="277" spans="2:8">
      <c r="B277" s="9" t="s">
        <v>45</v>
      </c>
      <c r="C277" s="336">
        <v>44562</v>
      </c>
      <c r="D277" s="9" t="s">
        <v>164</v>
      </c>
      <c r="E277" s="9" t="str">
        <f t="shared" si="20"/>
        <v>01 ENERO</v>
      </c>
      <c r="F277" s="9">
        <f t="shared" si="19"/>
        <v>266656.27441285294</v>
      </c>
      <c r="H277" s="9"/>
    </row>
    <row r="278" spans="2:8">
      <c r="B278" s="9" t="s">
        <v>46</v>
      </c>
      <c r="C278" s="336">
        <v>44562</v>
      </c>
      <c r="D278" s="9" t="s">
        <v>164</v>
      </c>
      <c r="E278" s="9" t="str">
        <f t="shared" si="20"/>
        <v>01 ENERO</v>
      </c>
      <c r="F278" s="9">
        <f t="shared" si="19"/>
        <v>1757647.7485109828</v>
      </c>
      <c r="H278" s="9"/>
    </row>
    <row r="279" spans="2:8">
      <c r="B279" s="9" t="s">
        <v>47</v>
      </c>
      <c r="C279" s="336">
        <v>44562</v>
      </c>
      <c r="D279" s="9" t="s">
        <v>164</v>
      </c>
      <c r="E279" s="9" t="str">
        <f t="shared" si="20"/>
        <v>01 ENERO</v>
      </c>
      <c r="F279" s="9">
        <f t="shared" si="19"/>
        <v>3352555.3861374836</v>
      </c>
      <c r="H279" s="9"/>
    </row>
    <row r="280" spans="2:8">
      <c r="B280" s="9" t="s">
        <v>48</v>
      </c>
      <c r="C280" s="336">
        <v>44562</v>
      </c>
      <c r="D280" s="9" t="s">
        <v>164</v>
      </c>
      <c r="E280" s="9" t="str">
        <f t="shared" si="20"/>
        <v>01 ENERO</v>
      </c>
      <c r="F280" s="9">
        <f t="shared" si="19"/>
        <v>940840.86049838585</v>
      </c>
      <c r="H280" s="9"/>
    </row>
    <row r="281" spans="2:8">
      <c r="B281" s="9" t="s">
        <v>49</v>
      </c>
      <c r="C281" s="336">
        <v>44562</v>
      </c>
      <c r="D281" s="9" t="s">
        <v>164</v>
      </c>
      <c r="E281" s="9" t="str">
        <f t="shared" si="20"/>
        <v>01 ENERO</v>
      </c>
      <c r="F281" s="9">
        <f t="shared" si="19"/>
        <v>417093.56118220865</v>
      </c>
      <c r="H281" s="9"/>
    </row>
    <row r="282" spans="2:8">
      <c r="B282" s="9" t="s">
        <v>50</v>
      </c>
      <c r="C282" s="336">
        <v>44562</v>
      </c>
      <c r="D282" s="9" t="s">
        <v>164</v>
      </c>
      <c r="E282" s="9" t="str">
        <f t="shared" si="20"/>
        <v>01 ENERO</v>
      </c>
      <c r="F282" s="9">
        <f t="shared" si="19"/>
        <v>266325.82913489686</v>
      </c>
      <c r="H282" s="9"/>
    </row>
    <row r="283" spans="2:8">
      <c r="B283" s="9" t="s">
        <v>51</v>
      </c>
      <c r="C283" s="336">
        <v>44562</v>
      </c>
      <c r="D283" s="9" t="s">
        <v>164</v>
      </c>
      <c r="E283" s="9" t="str">
        <f t="shared" si="20"/>
        <v>01 ENERO</v>
      </c>
      <c r="F283" s="9">
        <f t="shared" si="19"/>
        <v>295638.69155837776</v>
      </c>
      <c r="H283" s="9"/>
    </row>
  </sheetData>
  <mergeCells count="8">
    <mergeCell ref="B4:G4"/>
    <mergeCell ref="J4:O4"/>
    <mergeCell ref="B1:G1"/>
    <mergeCell ref="J1:O1"/>
    <mergeCell ref="B2:G2"/>
    <mergeCell ref="J2:O2"/>
    <mergeCell ref="B3:G3"/>
    <mergeCell ref="J3:O3"/>
  </mergeCells>
  <printOptions horizontalCentered="1" verticalCentered="1"/>
  <pageMargins left="0.23" right="0.26" top="0.38" bottom="0.32" header="0.24" footer="0.19"/>
  <pageSetup scale="79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64"/>
  <sheetViews>
    <sheetView topLeftCell="A34" zoomScale="85" zoomScaleNormal="85" workbookViewId="0">
      <selection activeCell="B60" sqref="B60:B61"/>
    </sheetView>
  </sheetViews>
  <sheetFormatPr baseColWidth="10" defaultColWidth="11.44140625" defaultRowHeight="13.2"/>
  <cols>
    <col min="1" max="1" width="29" style="13" customWidth="1"/>
    <col min="2" max="2" width="15.6640625" style="13" customWidth="1"/>
    <col min="3" max="3" width="16.33203125" style="13" customWidth="1"/>
    <col min="4" max="4" width="17.88671875" style="13" customWidth="1"/>
    <col min="5" max="5" width="14.88671875" style="13" bestFit="1" customWidth="1"/>
    <col min="6" max="6" width="4.77734375" style="13" customWidth="1"/>
    <col min="7" max="7" width="7.6640625" style="13" bestFit="1" customWidth="1"/>
    <col min="8" max="8" width="0.109375" style="13" customWidth="1"/>
    <col min="9" max="9" width="47.88671875" style="13" customWidth="1"/>
    <col min="10" max="10" width="18" style="13" customWidth="1"/>
    <col min="11" max="11" width="15.77734375" style="13" customWidth="1"/>
    <col min="12" max="12" width="15" style="13" bestFit="1" customWidth="1"/>
    <col min="13" max="13" width="11.44140625" style="13"/>
    <col min="14" max="14" width="13.21875" style="13" bestFit="1" customWidth="1"/>
    <col min="15" max="16384" width="11.44140625" style="13"/>
  </cols>
  <sheetData>
    <row r="1" spans="1:14">
      <c r="A1" s="363" t="s">
        <v>84</v>
      </c>
      <c r="B1" s="363"/>
      <c r="C1" s="363"/>
      <c r="D1" s="363"/>
      <c r="E1" s="363"/>
      <c r="F1" s="281"/>
      <c r="G1" s="281"/>
      <c r="I1" s="363" t="s">
        <v>84</v>
      </c>
      <c r="J1" s="363"/>
      <c r="K1" s="363"/>
      <c r="L1" s="363"/>
    </row>
    <row r="2" spans="1:14">
      <c r="A2" s="363" t="s">
        <v>85</v>
      </c>
      <c r="B2" s="363"/>
      <c r="C2" s="363"/>
      <c r="D2" s="363"/>
      <c r="E2" s="363"/>
      <c r="F2" s="281"/>
      <c r="G2" s="281"/>
      <c r="I2" s="363" t="s">
        <v>85</v>
      </c>
      <c r="J2" s="363"/>
      <c r="K2" s="363"/>
      <c r="L2" s="363"/>
    </row>
    <row r="3" spans="1:14">
      <c r="A3" s="364" t="s">
        <v>184</v>
      </c>
      <c r="B3" s="364"/>
      <c r="C3" s="364"/>
      <c r="D3" s="364"/>
      <c r="E3" s="364"/>
      <c r="F3" s="282"/>
      <c r="G3" s="282"/>
      <c r="I3" s="364" t="s">
        <v>184</v>
      </c>
      <c r="J3" s="364"/>
      <c r="K3" s="364"/>
      <c r="L3" s="364"/>
    </row>
    <row r="4" spans="1:14" ht="13.8" thickBot="1"/>
    <row r="5" spans="1:14" ht="37.5" customHeight="1">
      <c r="A5" s="195" t="s">
        <v>0</v>
      </c>
      <c r="B5" s="229" t="s">
        <v>221</v>
      </c>
      <c r="C5" s="226" t="s">
        <v>157</v>
      </c>
      <c r="D5" s="226" t="s">
        <v>158</v>
      </c>
      <c r="E5" s="233"/>
      <c r="F5" s="42"/>
      <c r="G5" s="42"/>
      <c r="I5" s="195" t="s">
        <v>0</v>
      </c>
      <c r="J5" s="278" t="s">
        <v>188</v>
      </c>
      <c r="K5" s="279" t="s">
        <v>155</v>
      </c>
      <c r="L5" s="275" t="s">
        <v>187</v>
      </c>
    </row>
    <row r="6" spans="1:14">
      <c r="A6" s="227" t="s">
        <v>1</v>
      </c>
      <c r="B6" s="230">
        <f>'Datos Mun'!X5/12</f>
        <v>145369.52354865437</v>
      </c>
      <c r="C6" s="225">
        <f>IF('Datos Mun'!B5="AMM",Descentralizados!$B$62*'Datos Mun'!AK5,Descentralizados!$B$63*'Datos Mun'!AK5)</f>
        <v>67442.810925506055</v>
      </c>
      <c r="D6" s="225" t="str">
        <f>IF('Datos Mun'!C5="No AMM",IF(Descentralizados!C6-Descentralizados!B6&lt;0,"SI","NO"),0)</f>
        <v>SI</v>
      </c>
      <c r="E6" s="234">
        <f>IF(D6="SI",B6,C6)</f>
        <v>145369.52354865437</v>
      </c>
      <c r="F6" s="283" t="str">
        <f>IF(C6=E6,"SI","NO")</f>
        <v>NO</v>
      </c>
      <c r="G6" s="283" t="str">
        <f>IF(B6=E6,"IGUAL","DIF")</f>
        <v>IGUAL</v>
      </c>
      <c r="I6" s="272" t="s">
        <v>1</v>
      </c>
      <c r="J6" s="280">
        <f>IF(E6-C6=0,E6,C6)</f>
        <v>67442.810925506055</v>
      </c>
      <c r="K6" s="284">
        <f>IF(E6-C6=0,0,E6-C6)</f>
        <v>77926.712623148313</v>
      </c>
      <c r="L6" s="276">
        <f>SUM(J6:K6)</f>
        <v>145369.52354865437</v>
      </c>
      <c r="M6" s="324"/>
      <c r="N6" s="324"/>
    </row>
    <row r="7" spans="1:14">
      <c r="A7" s="227" t="s">
        <v>2</v>
      </c>
      <c r="B7" s="230">
        <f>'Datos Mun'!X6/12</f>
        <v>241719.38991096185</v>
      </c>
      <c r="C7" s="225">
        <f>IF('Datos Mun'!B6="AMM",Descentralizados!$B$62*'Datos Mun'!AK6,Descentralizados!$B$63*'Datos Mun'!AK6)</f>
        <v>122560.92626901557</v>
      </c>
      <c r="D7" s="225" t="str">
        <f>IF('Datos Mun'!C6="No AMM",IF(Descentralizados!C7-Descentralizados!B7&lt;0,"SI","NO"),0)</f>
        <v>SI</v>
      </c>
      <c r="E7" s="234">
        <f t="shared" ref="E7:E56" si="0">IF(D7="SI",B7,C7)</f>
        <v>241719.38991096185</v>
      </c>
      <c r="F7" s="283" t="str">
        <f t="shared" ref="F7:F56" si="1">IF(C7=E7,"SI","NO")</f>
        <v>NO</v>
      </c>
      <c r="G7" s="283" t="str">
        <f t="shared" ref="G7:G56" si="2">IF(B7=E7,"IGUAL","DIF")</f>
        <v>IGUAL</v>
      </c>
      <c r="I7" s="272" t="s">
        <v>2</v>
      </c>
      <c r="J7" s="280">
        <f t="shared" ref="J7:J56" si="3">IF(E7-C7=0,E7,C7)</f>
        <v>122560.92626901557</v>
      </c>
      <c r="K7" s="284">
        <f t="shared" ref="K7:K56" si="4">IF(E7-C7=0,0,E7-C7)</f>
        <v>119158.46364194628</v>
      </c>
      <c r="L7" s="276">
        <f t="shared" ref="L7:L55" si="5">SUM(J7:K7)</f>
        <v>241719.38991096185</v>
      </c>
      <c r="M7" s="324"/>
      <c r="N7" s="324"/>
    </row>
    <row r="8" spans="1:14">
      <c r="A8" s="227" t="s">
        <v>3</v>
      </c>
      <c r="B8" s="230">
        <f>'Datos Mun'!X7/12</f>
        <v>184149.08754386404</v>
      </c>
      <c r="C8" s="225">
        <f>IF('Datos Mun'!B7="AMM",Descentralizados!$B$62*'Datos Mun'!AK7,Descentralizados!$B$63*'Datos Mun'!AK7)</f>
        <v>151204.45848997936</v>
      </c>
      <c r="D8" s="225" t="str">
        <f>IF('Datos Mun'!C7="No AMM",IF(Descentralizados!C8-Descentralizados!B8&lt;0,"SI","NO"),0)</f>
        <v>SI</v>
      </c>
      <c r="E8" s="234">
        <f t="shared" si="0"/>
        <v>184149.08754386404</v>
      </c>
      <c r="F8" s="283" t="str">
        <f t="shared" si="1"/>
        <v>NO</v>
      </c>
      <c r="G8" s="283" t="str">
        <f t="shared" si="2"/>
        <v>IGUAL</v>
      </c>
      <c r="I8" s="272" t="s">
        <v>3</v>
      </c>
      <c r="J8" s="280">
        <f t="shared" si="3"/>
        <v>151204.45848997936</v>
      </c>
      <c r="K8" s="284">
        <f t="shared" si="4"/>
        <v>32944.629053884681</v>
      </c>
      <c r="L8" s="276">
        <f t="shared" si="5"/>
        <v>184149.08754386404</v>
      </c>
      <c r="M8" s="324"/>
      <c r="N8" s="324"/>
    </row>
    <row r="9" spans="1:14">
      <c r="A9" s="227" t="s">
        <v>4</v>
      </c>
      <c r="B9" s="230">
        <f>'Datos Mun'!X8/12</f>
        <v>709853.38313987956</v>
      </c>
      <c r="C9" s="225">
        <f>IF('Datos Mun'!B8="AMM",Descentralizados!$B$62*'Datos Mun'!AK8,Descentralizados!$B$63*'Datos Mun'!AK8)</f>
        <v>587067.24784337671</v>
      </c>
      <c r="D9" s="225" t="str">
        <f>IF('Datos Mun'!C8="No AMM",IF(Descentralizados!C9-Descentralizados!B9&lt;0,"SI","NO"),0)</f>
        <v>SI</v>
      </c>
      <c r="E9" s="234">
        <f t="shared" si="0"/>
        <v>709853.38313987956</v>
      </c>
      <c r="F9" s="283" t="str">
        <f t="shared" si="1"/>
        <v>NO</v>
      </c>
      <c r="G9" s="283" t="str">
        <f t="shared" si="2"/>
        <v>IGUAL</v>
      </c>
      <c r="I9" s="272" t="s">
        <v>4</v>
      </c>
      <c r="J9" s="280">
        <f t="shared" si="3"/>
        <v>587067.24784337671</v>
      </c>
      <c r="K9" s="284">
        <f t="shared" si="4"/>
        <v>122786.13529650285</v>
      </c>
      <c r="L9" s="276">
        <f t="shared" si="5"/>
        <v>709853.38313987956</v>
      </c>
      <c r="M9" s="324"/>
      <c r="N9" s="324"/>
    </row>
    <row r="10" spans="1:14">
      <c r="A10" s="227" t="s">
        <v>5</v>
      </c>
      <c r="B10" s="230">
        <f>'Datos Mun'!X9/12</f>
        <v>511469.03323250258</v>
      </c>
      <c r="C10" s="225">
        <f>IF('Datos Mun'!B9="AMM",Descentralizados!$B$62*'Datos Mun'!AK9,Descentralizados!$B$63*'Datos Mun'!AK9)</f>
        <v>481061.04782559589</v>
      </c>
      <c r="D10" s="225" t="str">
        <f>IF('Datos Mun'!C9="No AMM",IF(Descentralizados!C10-Descentralizados!B10&lt;0,"SI","NO"),0)</f>
        <v>SI</v>
      </c>
      <c r="E10" s="234">
        <f t="shared" si="0"/>
        <v>511469.03323250258</v>
      </c>
      <c r="F10" s="283" t="str">
        <f t="shared" si="1"/>
        <v>NO</v>
      </c>
      <c r="G10" s="283" t="str">
        <f t="shared" si="2"/>
        <v>IGUAL</v>
      </c>
      <c r="I10" s="272" t="s">
        <v>5</v>
      </c>
      <c r="J10" s="280">
        <f t="shared" si="3"/>
        <v>481061.04782559589</v>
      </c>
      <c r="K10" s="284">
        <f t="shared" si="4"/>
        <v>30407.985406906693</v>
      </c>
      <c r="L10" s="276">
        <f t="shared" si="5"/>
        <v>511469.03323250258</v>
      </c>
      <c r="M10" s="324"/>
      <c r="N10" s="324"/>
    </row>
    <row r="11" spans="1:14">
      <c r="A11" s="227" t="s">
        <v>6</v>
      </c>
      <c r="B11" s="230">
        <f>'Datos Mun'!X10/12</f>
        <v>1729440.8109277114</v>
      </c>
      <c r="C11" s="225">
        <f>IF('Datos Mun'!B10="AMM",Descentralizados!$B$62*'Datos Mun'!AK10,Descentralizados!$B$63*'Datos Mun'!AK10)</f>
        <v>2229327.0761782369</v>
      </c>
      <c r="D11" s="225">
        <f>IF('Datos Mun'!C10="No AMM",IF(Descentralizados!C11-Descentralizados!B11&lt;0,"SI","NO"),0)</f>
        <v>0</v>
      </c>
      <c r="E11" s="234">
        <f t="shared" si="0"/>
        <v>2229327.0761782369</v>
      </c>
      <c r="F11" s="283" t="str">
        <f t="shared" si="1"/>
        <v>SI</v>
      </c>
      <c r="G11" s="283" t="str">
        <f t="shared" si="2"/>
        <v>DIF</v>
      </c>
      <c r="I11" s="272" t="s">
        <v>6</v>
      </c>
      <c r="J11" s="280">
        <f t="shared" si="3"/>
        <v>2229327.0761782369</v>
      </c>
      <c r="K11" s="284">
        <f t="shared" si="4"/>
        <v>0</v>
      </c>
      <c r="L11" s="276">
        <f t="shared" si="5"/>
        <v>2229327.0761782369</v>
      </c>
      <c r="M11" s="324"/>
      <c r="N11" s="324"/>
    </row>
    <row r="12" spans="1:14">
      <c r="A12" s="227" t="s">
        <v>7</v>
      </c>
      <c r="B12" s="230">
        <f>'Datos Mun'!X11/12</f>
        <v>685389.59118695778</v>
      </c>
      <c r="C12" s="225">
        <f>IF('Datos Mun'!B11="AMM",Descentralizados!$B$62*'Datos Mun'!AK11,Descentralizados!$B$63*'Datos Mun'!AK11)</f>
        <v>441305.0754289733</v>
      </c>
      <c r="D12" s="225" t="str">
        <f>IF('Datos Mun'!C11="No AMM",IF(Descentralizados!C12-Descentralizados!B12&lt;0,"SI","NO"),0)</f>
        <v>SI</v>
      </c>
      <c r="E12" s="234">
        <f t="shared" si="0"/>
        <v>685389.59118695778</v>
      </c>
      <c r="F12" s="283" t="str">
        <f t="shared" si="1"/>
        <v>NO</v>
      </c>
      <c r="G12" s="283" t="str">
        <f t="shared" si="2"/>
        <v>IGUAL</v>
      </c>
      <c r="I12" s="272" t="s">
        <v>7</v>
      </c>
      <c r="J12" s="280">
        <f t="shared" si="3"/>
        <v>441305.0754289733</v>
      </c>
      <c r="K12" s="284">
        <f t="shared" si="4"/>
        <v>244084.51575798448</v>
      </c>
      <c r="L12" s="276">
        <f t="shared" si="5"/>
        <v>685389.59118695778</v>
      </c>
      <c r="M12" s="324"/>
      <c r="N12" s="324"/>
    </row>
    <row r="13" spans="1:14">
      <c r="A13" s="227" t="s">
        <v>8</v>
      </c>
      <c r="B13" s="230">
        <f>'Datos Mun'!X12/12</f>
        <v>247851.58996842895</v>
      </c>
      <c r="C13" s="225">
        <f>IF('Datos Mun'!B12="AMM",Descentralizados!$B$62*'Datos Mun'!AK12,Descentralizados!$B$63*'Datos Mun'!AK12)</f>
        <v>127953.10043417721</v>
      </c>
      <c r="D13" s="225" t="str">
        <f>IF('Datos Mun'!C12="No AMM",IF(Descentralizados!C13-Descentralizados!B13&lt;0,"SI","NO"),0)</f>
        <v>SI</v>
      </c>
      <c r="E13" s="234">
        <f t="shared" si="0"/>
        <v>247851.58996842895</v>
      </c>
      <c r="F13" s="283" t="str">
        <f t="shared" si="1"/>
        <v>NO</v>
      </c>
      <c r="G13" s="283" t="str">
        <f t="shared" si="2"/>
        <v>IGUAL</v>
      </c>
      <c r="I13" s="272" t="s">
        <v>8</v>
      </c>
      <c r="J13" s="280">
        <f t="shared" si="3"/>
        <v>127953.10043417721</v>
      </c>
      <c r="K13" s="284">
        <f t="shared" si="4"/>
        <v>119898.48953425174</v>
      </c>
      <c r="L13" s="276">
        <f t="shared" si="5"/>
        <v>247851.58996842895</v>
      </c>
      <c r="M13" s="324"/>
      <c r="N13" s="324"/>
    </row>
    <row r="14" spans="1:14">
      <c r="A14" s="227" t="s">
        <v>9</v>
      </c>
      <c r="B14" s="230">
        <f>'Datos Mun'!X13/12</f>
        <v>506731.01118072955</v>
      </c>
      <c r="C14" s="225">
        <f>IF('Datos Mun'!B13="AMM",Descentralizados!$B$62*'Datos Mun'!AK13,Descentralizados!$B$63*'Datos Mun'!AK13)</f>
        <v>357305.62993064849</v>
      </c>
      <c r="D14" s="225" t="str">
        <f>IF('Datos Mun'!C13="No AMM",IF(Descentralizados!C14-Descentralizados!B14&lt;0,"SI","NO"),0)</f>
        <v>SI</v>
      </c>
      <c r="E14" s="234">
        <f t="shared" si="0"/>
        <v>506731.01118072955</v>
      </c>
      <c r="F14" s="283" t="str">
        <f t="shared" si="1"/>
        <v>NO</v>
      </c>
      <c r="G14" s="283" t="str">
        <f t="shared" si="2"/>
        <v>IGUAL</v>
      </c>
      <c r="I14" s="272" t="s">
        <v>9</v>
      </c>
      <c r="J14" s="280">
        <f t="shared" si="3"/>
        <v>357305.62993064849</v>
      </c>
      <c r="K14" s="284">
        <f t="shared" si="4"/>
        <v>149425.38125008106</v>
      </c>
      <c r="L14" s="276">
        <f t="shared" si="5"/>
        <v>506731.01118072955</v>
      </c>
      <c r="M14" s="324"/>
      <c r="N14" s="324"/>
    </row>
    <row r="15" spans="1:14">
      <c r="A15" s="227" t="s">
        <v>10</v>
      </c>
      <c r="B15" s="230">
        <f>'Datos Mun'!X14/12</f>
        <v>352866.77962589264</v>
      </c>
      <c r="C15" s="225">
        <f>IF('Datos Mun'!B14="AMM",Descentralizados!$B$62*'Datos Mun'!AK14,Descentralizados!$B$63*'Datos Mun'!AK14)</f>
        <v>901209.03352620406</v>
      </c>
      <c r="D15" s="225" t="str">
        <f>IF('Datos Mun'!C14="No AMM",IF(Descentralizados!C15-Descentralizados!B15&lt;0,"SI","NO"),0)</f>
        <v>NO</v>
      </c>
      <c r="E15" s="234">
        <f t="shared" si="0"/>
        <v>901209.03352620406</v>
      </c>
      <c r="F15" s="283" t="str">
        <f t="shared" si="1"/>
        <v>SI</v>
      </c>
      <c r="G15" s="283" t="str">
        <f t="shared" si="2"/>
        <v>DIF</v>
      </c>
      <c r="I15" s="272" t="s">
        <v>10</v>
      </c>
      <c r="J15" s="280">
        <f t="shared" si="3"/>
        <v>901209.03352620406</v>
      </c>
      <c r="K15" s="284">
        <f t="shared" si="4"/>
        <v>0</v>
      </c>
      <c r="L15" s="276">
        <f t="shared" si="5"/>
        <v>901209.03352620406</v>
      </c>
      <c r="M15" s="324"/>
      <c r="N15" s="324"/>
    </row>
    <row r="16" spans="1:14">
      <c r="A16" s="227" t="s">
        <v>189</v>
      </c>
      <c r="B16" s="230">
        <f>'Datos Mun'!X15/12</f>
        <v>307760.28049896931</v>
      </c>
      <c r="C16" s="225">
        <f>IF('Datos Mun'!B15="AMM",Descentralizados!$B$62*'Datos Mun'!AK15,Descentralizados!$B$63*'Datos Mun'!AK15)</f>
        <v>335262.86541885132</v>
      </c>
      <c r="D16" s="225" t="str">
        <f>IF('Datos Mun'!C15="No AMM",IF(Descentralizados!C16-Descentralizados!B16&lt;0,"SI","NO"),0)</f>
        <v>NO</v>
      </c>
      <c r="E16" s="234">
        <f t="shared" si="0"/>
        <v>335262.86541885132</v>
      </c>
      <c r="F16" s="283" t="str">
        <f t="shared" si="1"/>
        <v>SI</v>
      </c>
      <c r="G16" s="283" t="str">
        <f t="shared" si="2"/>
        <v>DIF</v>
      </c>
      <c r="I16" s="272" t="s">
        <v>189</v>
      </c>
      <c r="J16" s="280">
        <f t="shared" si="3"/>
        <v>335262.86541885132</v>
      </c>
      <c r="K16" s="284">
        <f t="shared" si="4"/>
        <v>0</v>
      </c>
      <c r="L16" s="276">
        <f t="shared" si="5"/>
        <v>335262.86541885132</v>
      </c>
      <c r="M16" s="324"/>
      <c r="N16" s="324"/>
    </row>
    <row r="17" spans="1:14">
      <c r="A17" s="227" t="s">
        <v>12</v>
      </c>
      <c r="B17" s="230">
        <f>'Datos Mun'!X16/12</f>
        <v>463594.35675485799</v>
      </c>
      <c r="C17" s="225">
        <f>IF('Datos Mun'!B16="AMM",Descentralizados!$B$62*'Datos Mun'!AK16,Descentralizados!$B$63*'Datos Mun'!AK16)</f>
        <v>436939.82818198932</v>
      </c>
      <c r="D17" s="225" t="str">
        <f>IF('Datos Mun'!C16="No AMM",IF(Descentralizados!C17-Descentralizados!B17&lt;0,"SI","NO"),0)</f>
        <v>SI</v>
      </c>
      <c r="E17" s="234">
        <f t="shared" si="0"/>
        <v>463594.35675485799</v>
      </c>
      <c r="F17" s="283" t="str">
        <f t="shared" si="1"/>
        <v>NO</v>
      </c>
      <c r="G17" s="283" t="str">
        <f t="shared" si="2"/>
        <v>IGUAL</v>
      </c>
      <c r="I17" s="272" t="s">
        <v>12</v>
      </c>
      <c r="J17" s="280">
        <f t="shared" si="3"/>
        <v>436939.82818198932</v>
      </c>
      <c r="K17" s="284">
        <f t="shared" si="4"/>
        <v>26654.528572868672</v>
      </c>
      <c r="L17" s="276">
        <f t="shared" si="5"/>
        <v>463594.35675485799</v>
      </c>
      <c r="M17" s="324"/>
      <c r="N17" s="324"/>
    </row>
    <row r="18" spans="1:14">
      <c r="A18" s="227" t="s">
        <v>13</v>
      </c>
      <c r="B18" s="230">
        <f>'Datos Mun'!X17/12</f>
        <v>292908.57272918482</v>
      </c>
      <c r="C18" s="225">
        <f>IF('Datos Mun'!B17="AMM",Descentralizados!$B$62*'Datos Mun'!AK17,Descentralizados!$B$63*'Datos Mun'!AK17)</f>
        <v>670693.50041138555</v>
      </c>
      <c r="D18" s="225" t="str">
        <f>IF('Datos Mun'!C17="No AMM",IF(Descentralizados!C18-Descentralizados!B18&lt;0,"SI","NO"),0)</f>
        <v>NO</v>
      </c>
      <c r="E18" s="234">
        <f t="shared" si="0"/>
        <v>670693.50041138555</v>
      </c>
      <c r="F18" s="283" t="str">
        <f t="shared" si="1"/>
        <v>SI</v>
      </c>
      <c r="G18" s="283" t="str">
        <f t="shared" si="2"/>
        <v>DIF</v>
      </c>
      <c r="I18" s="272" t="s">
        <v>13</v>
      </c>
      <c r="J18" s="280">
        <f t="shared" si="3"/>
        <v>670693.50041138555</v>
      </c>
      <c r="K18" s="284">
        <f t="shared" si="4"/>
        <v>0</v>
      </c>
      <c r="L18" s="276">
        <f t="shared" si="5"/>
        <v>670693.50041138555</v>
      </c>
      <c r="M18" s="324"/>
      <c r="N18" s="324"/>
    </row>
    <row r="19" spans="1:14">
      <c r="A19" s="227" t="s">
        <v>14</v>
      </c>
      <c r="B19" s="230">
        <f>'Datos Mun'!X18/12</f>
        <v>1585969.7013374334</v>
      </c>
      <c r="C19" s="225">
        <f>IF('Datos Mun'!B18="AMM",Descentralizados!$B$62*'Datos Mun'!AK18,Descentralizados!$B$63*'Datos Mun'!AK18)</f>
        <v>977028.85733211646</v>
      </c>
      <c r="D19" s="225" t="str">
        <f>IF('Datos Mun'!C18="No AMM",IF(Descentralizados!C19-Descentralizados!B19&lt;0,"SI","NO"),0)</f>
        <v>SI</v>
      </c>
      <c r="E19" s="234">
        <f t="shared" si="0"/>
        <v>1585969.7013374334</v>
      </c>
      <c r="F19" s="283" t="str">
        <f t="shared" si="1"/>
        <v>NO</v>
      </c>
      <c r="G19" s="283" t="str">
        <f t="shared" si="2"/>
        <v>IGUAL</v>
      </c>
      <c r="I19" s="272" t="s">
        <v>14</v>
      </c>
      <c r="J19" s="280">
        <f t="shared" si="3"/>
        <v>977028.85733211646</v>
      </c>
      <c r="K19" s="284">
        <f t="shared" si="4"/>
        <v>608940.84400531696</v>
      </c>
      <c r="L19" s="276">
        <f t="shared" si="5"/>
        <v>1585969.7013374334</v>
      </c>
      <c r="M19" s="324"/>
      <c r="N19" s="324"/>
    </row>
    <row r="20" spans="1:14">
      <c r="A20" s="227" t="s">
        <v>15</v>
      </c>
      <c r="B20" s="230">
        <f>'Datos Mun'!X19/12</f>
        <v>218983.81735002479</v>
      </c>
      <c r="C20" s="225">
        <f>IF('Datos Mun'!B19="AMM",Descentralizados!$B$62*'Datos Mun'!AK19,Descentralizados!$B$63*'Datos Mun'!AK19)</f>
        <v>141499.14523133525</v>
      </c>
      <c r="D20" s="225" t="str">
        <f>IF('Datos Mun'!C19="No AMM",IF(Descentralizados!C20-Descentralizados!B20&lt;0,"SI","NO"),0)</f>
        <v>SI</v>
      </c>
      <c r="E20" s="234">
        <f t="shared" si="0"/>
        <v>218983.81735002479</v>
      </c>
      <c r="F20" s="283" t="str">
        <f t="shared" si="1"/>
        <v>NO</v>
      </c>
      <c r="G20" s="283" t="str">
        <f t="shared" si="2"/>
        <v>IGUAL</v>
      </c>
      <c r="I20" s="272" t="s">
        <v>15</v>
      </c>
      <c r="J20" s="280">
        <f t="shared" si="3"/>
        <v>141499.14523133525</v>
      </c>
      <c r="K20" s="284">
        <f t="shared" si="4"/>
        <v>77484.672118689545</v>
      </c>
      <c r="L20" s="276">
        <f t="shared" si="5"/>
        <v>218983.81735002479</v>
      </c>
      <c r="M20" s="324"/>
      <c r="N20" s="324"/>
    </row>
    <row r="21" spans="1:14">
      <c r="A21" s="227" t="s">
        <v>16</v>
      </c>
      <c r="B21" s="230">
        <f>'Datos Mun'!X20/12</f>
        <v>109860.46261583385</v>
      </c>
      <c r="C21" s="225">
        <f>IF('Datos Mun'!B20="AMM",Descentralizados!$B$62*'Datos Mun'!AK20,Descentralizados!$B$63*'Datos Mun'!AK20)</f>
        <v>102156.98674210513</v>
      </c>
      <c r="D21" s="225" t="str">
        <f>IF('Datos Mun'!C20="No AMM",IF(Descentralizados!C21-Descentralizados!B21&lt;0,"SI","NO"),0)</f>
        <v>SI</v>
      </c>
      <c r="E21" s="234">
        <f t="shared" si="0"/>
        <v>109860.46261583385</v>
      </c>
      <c r="F21" s="283" t="str">
        <f t="shared" si="1"/>
        <v>NO</v>
      </c>
      <c r="G21" s="283" t="str">
        <f t="shared" si="2"/>
        <v>IGUAL</v>
      </c>
      <c r="I21" s="272" t="s">
        <v>16</v>
      </c>
      <c r="J21" s="280">
        <f t="shared" si="3"/>
        <v>102156.98674210513</v>
      </c>
      <c r="K21" s="284">
        <f t="shared" si="4"/>
        <v>7703.4758737287193</v>
      </c>
      <c r="L21" s="276">
        <f t="shared" si="5"/>
        <v>109860.46261583385</v>
      </c>
      <c r="M21" s="324"/>
      <c r="N21" s="324"/>
    </row>
    <row r="22" spans="1:14">
      <c r="A22" s="227" t="s">
        <v>17</v>
      </c>
      <c r="B22" s="230">
        <f>'Datos Mun'!X21/12</f>
        <v>1147558.9651947303</v>
      </c>
      <c r="C22" s="225">
        <f>IF('Datos Mun'!B21="AMM",Descentralizados!$B$62*'Datos Mun'!AK21,Descentralizados!$B$63*'Datos Mun'!AK21)</f>
        <v>912092.12250875833</v>
      </c>
      <c r="D22" s="225" t="str">
        <f>IF('Datos Mun'!C21="No AMM",IF(Descentralizados!C22-Descentralizados!B22&lt;0,"SI","NO"),0)</f>
        <v>SI</v>
      </c>
      <c r="E22" s="234">
        <f t="shared" si="0"/>
        <v>1147558.9651947303</v>
      </c>
      <c r="F22" s="283" t="str">
        <f t="shared" si="1"/>
        <v>NO</v>
      </c>
      <c r="G22" s="283" t="str">
        <f t="shared" si="2"/>
        <v>IGUAL</v>
      </c>
      <c r="I22" s="272" t="s">
        <v>17</v>
      </c>
      <c r="J22" s="280">
        <f t="shared" si="3"/>
        <v>912092.12250875833</v>
      </c>
      <c r="K22" s="284">
        <f t="shared" si="4"/>
        <v>235466.84268597199</v>
      </c>
      <c r="L22" s="276">
        <f t="shared" si="5"/>
        <v>1147558.9651947303</v>
      </c>
      <c r="M22" s="324"/>
      <c r="N22" s="324"/>
    </row>
    <row r="23" spans="1:14">
      <c r="A23" s="227" t="s">
        <v>18</v>
      </c>
      <c r="B23" s="230">
        <f>'Datos Mun'!X22/12</f>
        <v>671009.0467954257</v>
      </c>
      <c r="C23" s="225">
        <f>IF('Datos Mun'!B22="AMM",Descentralizados!$B$62*'Datos Mun'!AK22,Descentralizados!$B$63*'Datos Mun'!AK22)</f>
        <v>1016198.6147387596</v>
      </c>
      <c r="D23" s="225">
        <f>IF('Datos Mun'!C22="No AMM",IF(Descentralizados!C23-Descentralizados!B23&lt;0,"SI","NO"),0)</f>
        <v>0</v>
      </c>
      <c r="E23" s="234">
        <f t="shared" si="0"/>
        <v>1016198.6147387596</v>
      </c>
      <c r="F23" s="283" t="str">
        <f t="shared" si="1"/>
        <v>SI</v>
      </c>
      <c r="G23" s="283" t="str">
        <f t="shared" si="2"/>
        <v>DIF</v>
      </c>
      <c r="I23" s="272" t="s">
        <v>18</v>
      </c>
      <c r="J23" s="280">
        <f t="shared" si="3"/>
        <v>1016198.6147387596</v>
      </c>
      <c r="K23" s="284">
        <f t="shared" si="4"/>
        <v>0</v>
      </c>
      <c r="L23" s="276">
        <f t="shared" si="5"/>
        <v>1016198.6147387596</v>
      </c>
      <c r="M23" s="324"/>
      <c r="N23" s="324"/>
    </row>
    <row r="24" spans="1:14">
      <c r="A24" s="227" t="s">
        <v>19</v>
      </c>
      <c r="B24" s="230">
        <f>'Datos Mun'!X23/12</f>
        <v>193323.8061193816</v>
      </c>
      <c r="C24" s="225">
        <f>IF('Datos Mun'!B23="AMM",Descentralizados!$B$62*'Datos Mun'!AK23,Descentralizados!$B$63*'Datos Mun'!AK23)</f>
        <v>313125.9545100762</v>
      </c>
      <c r="D24" s="225" t="str">
        <f>IF('Datos Mun'!C23="No AMM",IF(Descentralizados!C24-Descentralizados!B24&lt;0,"SI","NO"),0)</f>
        <v>NO</v>
      </c>
      <c r="E24" s="234">
        <f t="shared" si="0"/>
        <v>313125.9545100762</v>
      </c>
      <c r="F24" s="283" t="str">
        <f t="shared" si="1"/>
        <v>SI</v>
      </c>
      <c r="G24" s="283" t="str">
        <f t="shared" si="2"/>
        <v>DIF</v>
      </c>
      <c r="I24" s="272" t="s">
        <v>19</v>
      </c>
      <c r="J24" s="280">
        <f t="shared" si="3"/>
        <v>313125.9545100762</v>
      </c>
      <c r="K24" s="284">
        <f t="shared" si="4"/>
        <v>0</v>
      </c>
      <c r="L24" s="276">
        <f t="shared" si="5"/>
        <v>313125.9545100762</v>
      </c>
      <c r="M24" s="324"/>
      <c r="N24" s="324"/>
    </row>
    <row r="25" spans="1:14">
      <c r="A25" s="227" t="s">
        <v>20</v>
      </c>
      <c r="B25" s="230">
        <f>'Datos Mun'!X24/12</f>
        <v>1021870.2160713114</v>
      </c>
      <c r="C25" s="225">
        <f>IF('Datos Mun'!B24="AMM",Descentralizados!$B$62*'Datos Mun'!AK24,Descentralizados!$B$63*'Datos Mun'!AK24)</f>
        <v>1457409.4272060406</v>
      </c>
      <c r="D25" s="225">
        <f>IF('Datos Mun'!C24="No AMM",IF(Descentralizados!C25-Descentralizados!B25&lt;0,"SI","NO"),0)</f>
        <v>0</v>
      </c>
      <c r="E25" s="234">
        <f t="shared" si="0"/>
        <v>1457409.4272060406</v>
      </c>
      <c r="F25" s="283" t="str">
        <f t="shared" si="1"/>
        <v>SI</v>
      </c>
      <c r="G25" s="283" t="str">
        <f t="shared" si="2"/>
        <v>DIF</v>
      </c>
      <c r="I25" s="272" t="s">
        <v>20</v>
      </c>
      <c r="J25" s="280">
        <f t="shared" si="3"/>
        <v>1457409.4272060406</v>
      </c>
      <c r="K25" s="284">
        <f t="shared" si="4"/>
        <v>0</v>
      </c>
      <c r="L25" s="276">
        <f t="shared" si="5"/>
        <v>1457409.4272060406</v>
      </c>
      <c r="M25" s="324"/>
      <c r="N25" s="324"/>
    </row>
    <row r="26" spans="1:14">
      <c r="A26" s="227" t="s">
        <v>21</v>
      </c>
      <c r="B26" s="230">
        <f>'Datos Mun'!X25/12</f>
        <v>419650.41339484946</v>
      </c>
      <c r="C26" s="225">
        <f>IF('Datos Mun'!B25="AMM",Descentralizados!$B$62*'Datos Mun'!AK25,Descentralizados!$B$63*'Datos Mun'!AK25)</f>
        <v>422243.00989880943</v>
      </c>
      <c r="D26" s="225" t="str">
        <f>IF('Datos Mun'!C25="No AMM",IF(Descentralizados!C26-Descentralizados!B26&lt;0,"SI","NO"),0)</f>
        <v>NO</v>
      </c>
      <c r="E26" s="234">
        <f t="shared" si="0"/>
        <v>422243.00989880943</v>
      </c>
      <c r="F26" s="283" t="str">
        <f t="shared" si="1"/>
        <v>SI</v>
      </c>
      <c r="G26" s="283" t="str">
        <f t="shared" si="2"/>
        <v>DIF</v>
      </c>
      <c r="I26" s="272" t="s">
        <v>21</v>
      </c>
      <c r="J26" s="280">
        <f t="shared" si="3"/>
        <v>422243.00989880943</v>
      </c>
      <c r="K26" s="284">
        <f t="shared" si="4"/>
        <v>0</v>
      </c>
      <c r="L26" s="276">
        <f t="shared" si="5"/>
        <v>422243.00989880943</v>
      </c>
      <c r="M26" s="324"/>
      <c r="N26" s="324"/>
    </row>
    <row r="27" spans="1:14">
      <c r="A27" s="227" t="s">
        <v>22</v>
      </c>
      <c r="B27" s="230">
        <f>'Datos Mun'!X26/12</f>
        <v>214938.9402726251</v>
      </c>
      <c r="C27" s="225">
        <f>IF('Datos Mun'!B26="AMM",Descentralizados!$B$62*'Datos Mun'!AK26,Descentralizados!$B$63*'Datos Mun'!AK26)</f>
        <v>82767.209476789998</v>
      </c>
      <c r="D27" s="225" t="str">
        <f>IF('Datos Mun'!C26="No AMM",IF(Descentralizados!C27-Descentralizados!B27&lt;0,"SI","NO"),0)</f>
        <v>SI</v>
      </c>
      <c r="E27" s="234">
        <f t="shared" si="0"/>
        <v>214938.9402726251</v>
      </c>
      <c r="F27" s="283" t="str">
        <f t="shared" si="1"/>
        <v>NO</v>
      </c>
      <c r="G27" s="283" t="str">
        <f t="shared" si="2"/>
        <v>IGUAL</v>
      </c>
      <c r="I27" s="272" t="s">
        <v>22</v>
      </c>
      <c r="J27" s="280">
        <f t="shared" si="3"/>
        <v>82767.209476789998</v>
      </c>
      <c r="K27" s="284">
        <f t="shared" si="4"/>
        <v>132171.73079583509</v>
      </c>
      <c r="L27" s="276">
        <f t="shared" si="5"/>
        <v>214938.94027262507</v>
      </c>
      <c r="M27" s="324"/>
      <c r="N27" s="324"/>
    </row>
    <row r="28" spans="1:14">
      <c r="A28" s="227" t="s">
        <v>23</v>
      </c>
      <c r="B28" s="230">
        <f>'Datos Mun'!X27/12</f>
        <v>340332.44893929962</v>
      </c>
      <c r="C28" s="225">
        <f>IF('Datos Mun'!B27="AMM",Descentralizados!$B$62*'Datos Mun'!AK27,Descentralizados!$B$63*'Datos Mun'!AK27)</f>
        <v>236751.48885638532</v>
      </c>
      <c r="D28" s="225" t="str">
        <f>IF('Datos Mun'!C27="No AMM",IF(Descentralizados!C28-Descentralizados!B28&lt;0,"SI","NO"),0)</f>
        <v>SI</v>
      </c>
      <c r="E28" s="234">
        <f t="shared" si="0"/>
        <v>340332.44893929962</v>
      </c>
      <c r="F28" s="283" t="str">
        <f t="shared" si="1"/>
        <v>NO</v>
      </c>
      <c r="G28" s="283" t="str">
        <f t="shared" si="2"/>
        <v>IGUAL</v>
      </c>
      <c r="I28" s="272" t="s">
        <v>23</v>
      </c>
      <c r="J28" s="280">
        <f t="shared" si="3"/>
        <v>236751.48885638532</v>
      </c>
      <c r="K28" s="284">
        <f t="shared" si="4"/>
        <v>103580.9600829143</v>
      </c>
      <c r="L28" s="276">
        <f t="shared" si="5"/>
        <v>340332.44893929962</v>
      </c>
      <c r="M28" s="324"/>
      <c r="N28" s="324"/>
    </row>
    <row r="29" spans="1:14">
      <c r="A29" s="227" t="s">
        <v>24</v>
      </c>
      <c r="B29" s="230">
        <f>'Datos Mun'!X28/12</f>
        <v>436653.11894131009</v>
      </c>
      <c r="C29" s="225">
        <f>IF('Datos Mun'!B28="AMM",Descentralizados!$B$62*'Datos Mun'!AK28,Descentralizados!$B$63*'Datos Mun'!AK28)</f>
        <v>876499.52562279732</v>
      </c>
      <c r="D29" s="225" t="str">
        <f>IF('Datos Mun'!C28="No AMM",IF(Descentralizados!C29-Descentralizados!B29&lt;0,"SI","NO"),0)</f>
        <v>NO</v>
      </c>
      <c r="E29" s="234">
        <f t="shared" si="0"/>
        <v>876499.52562279732</v>
      </c>
      <c r="F29" s="283" t="str">
        <f t="shared" si="1"/>
        <v>SI</v>
      </c>
      <c r="G29" s="283" t="str">
        <f t="shared" si="2"/>
        <v>DIF</v>
      </c>
      <c r="I29" s="272" t="s">
        <v>24</v>
      </c>
      <c r="J29" s="280">
        <f t="shared" si="3"/>
        <v>876499.52562279732</v>
      </c>
      <c r="K29" s="284">
        <f t="shared" si="4"/>
        <v>0</v>
      </c>
      <c r="L29" s="276">
        <f t="shared" si="5"/>
        <v>876499.52562279732</v>
      </c>
      <c r="M29" s="324"/>
      <c r="N29" s="324"/>
    </row>
    <row r="30" spans="1:14">
      <c r="A30" s="227" t="s">
        <v>25</v>
      </c>
      <c r="B30" s="230">
        <f>'Datos Mun'!X29/12</f>
        <v>1601412.8103599017</v>
      </c>
      <c r="C30" s="225">
        <f>IF('Datos Mun'!B29="AMM",Descentralizados!$B$62*'Datos Mun'!AK29,Descentralizados!$B$63*'Datos Mun'!AK29)</f>
        <v>1718602.0735388638</v>
      </c>
      <c r="D30" s="225">
        <f>IF('Datos Mun'!C29="No AMM",IF(Descentralizados!C30-Descentralizados!B30&lt;0,"SI","NO"),0)</f>
        <v>0</v>
      </c>
      <c r="E30" s="234">
        <f t="shared" si="0"/>
        <v>1718602.0735388638</v>
      </c>
      <c r="F30" s="283" t="str">
        <f t="shared" si="1"/>
        <v>SI</v>
      </c>
      <c r="G30" s="283" t="str">
        <f t="shared" si="2"/>
        <v>DIF</v>
      </c>
      <c r="I30" s="272" t="s">
        <v>25</v>
      </c>
      <c r="J30" s="280">
        <f t="shared" si="3"/>
        <v>1718602.0735388638</v>
      </c>
      <c r="K30" s="284">
        <f t="shared" si="4"/>
        <v>0</v>
      </c>
      <c r="L30" s="276">
        <f t="shared" si="5"/>
        <v>1718602.0735388638</v>
      </c>
      <c r="M30" s="324"/>
      <c r="N30" s="324"/>
    </row>
    <row r="31" spans="1:14">
      <c r="A31" s="227" t="s">
        <v>26</v>
      </c>
      <c r="B31" s="230">
        <f>'Datos Mun'!X30/12</f>
        <v>201348.380720783</v>
      </c>
      <c r="C31" s="225">
        <f>IF('Datos Mun'!B30="AMM",Descentralizados!$B$62*'Datos Mun'!AK30,Descentralizados!$B$63*'Datos Mun'!AK30)</f>
        <v>86267.184581959576</v>
      </c>
      <c r="D31" s="225" t="str">
        <f>IF('Datos Mun'!C30="No AMM",IF(Descentralizados!C31-Descentralizados!B31&lt;0,"SI","NO"),0)</f>
        <v>SI</v>
      </c>
      <c r="E31" s="234">
        <f t="shared" si="0"/>
        <v>201348.380720783</v>
      </c>
      <c r="F31" s="283" t="str">
        <f t="shared" si="1"/>
        <v>NO</v>
      </c>
      <c r="G31" s="283" t="str">
        <f t="shared" si="2"/>
        <v>IGUAL</v>
      </c>
      <c r="I31" s="272" t="s">
        <v>26</v>
      </c>
      <c r="J31" s="280">
        <f t="shared" si="3"/>
        <v>86267.184581959576</v>
      </c>
      <c r="K31" s="284">
        <f t="shared" si="4"/>
        <v>115081.19613882342</v>
      </c>
      <c r="L31" s="276">
        <f t="shared" si="5"/>
        <v>201348.380720783</v>
      </c>
      <c r="M31" s="324"/>
      <c r="N31" s="324"/>
    </row>
    <row r="32" spans="1:14">
      <c r="A32" s="227" t="s">
        <v>27</v>
      </c>
      <c r="B32" s="230">
        <f>'Datos Mun'!X31/12</f>
        <v>210306.25401232424</v>
      </c>
      <c r="C32" s="225">
        <f>IF('Datos Mun'!B31="AMM",Descentralizados!$B$62*'Datos Mun'!AK31,Descentralizados!$B$63*'Datos Mun'!AK31)</f>
        <v>163806.0562714558</v>
      </c>
      <c r="D32" s="225" t="str">
        <f>IF('Datos Mun'!C31="No AMM",IF(Descentralizados!C32-Descentralizados!B32&lt;0,"SI","NO"),0)</f>
        <v>SI</v>
      </c>
      <c r="E32" s="234">
        <f t="shared" si="0"/>
        <v>210306.25401232424</v>
      </c>
      <c r="F32" s="283" t="str">
        <f t="shared" si="1"/>
        <v>NO</v>
      </c>
      <c r="G32" s="283" t="str">
        <f t="shared" si="2"/>
        <v>IGUAL</v>
      </c>
      <c r="I32" s="272" t="s">
        <v>27</v>
      </c>
      <c r="J32" s="280">
        <f t="shared" si="3"/>
        <v>163806.0562714558</v>
      </c>
      <c r="K32" s="284">
        <f t="shared" si="4"/>
        <v>46500.197740868432</v>
      </c>
      <c r="L32" s="276">
        <f t="shared" si="5"/>
        <v>210306.25401232424</v>
      </c>
      <c r="M32" s="324"/>
      <c r="N32" s="324"/>
    </row>
    <row r="33" spans="1:14">
      <c r="A33" s="227" t="s">
        <v>28</v>
      </c>
      <c r="B33" s="230">
        <f>'Datos Mun'!X32/12</f>
        <v>184361.89706776637</v>
      </c>
      <c r="C33" s="225">
        <f>IF('Datos Mun'!B32="AMM",Descentralizados!$B$62*'Datos Mun'!AK32,Descentralizados!$B$63*'Datos Mun'!AK32)</f>
        <v>123737.89195215442</v>
      </c>
      <c r="D33" s="225" t="str">
        <f>IF('Datos Mun'!C32="No AMM",IF(Descentralizados!C33-Descentralizados!B33&lt;0,"SI","NO"),0)</f>
        <v>SI</v>
      </c>
      <c r="E33" s="234">
        <f t="shared" si="0"/>
        <v>184361.89706776637</v>
      </c>
      <c r="F33" s="283" t="str">
        <f t="shared" si="1"/>
        <v>NO</v>
      </c>
      <c r="G33" s="283" t="str">
        <f t="shared" si="2"/>
        <v>IGUAL</v>
      </c>
      <c r="I33" s="272" t="s">
        <v>28</v>
      </c>
      <c r="J33" s="280">
        <f t="shared" si="3"/>
        <v>123737.89195215442</v>
      </c>
      <c r="K33" s="284">
        <f t="shared" si="4"/>
        <v>60624.005115611959</v>
      </c>
      <c r="L33" s="276">
        <f t="shared" si="5"/>
        <v>184361.89706776637</v>
      </c>
      <c r="M33" s="324"/>
      <c r="N33" s="324"/>
    </row>
    <row r="34" spans="1:14">
      <c r="A34" s="227" t="s">
        <v>29</v>
      </c>
      <c r="B34" s="230">
        <f>'Datos Mun'!X33/12</f>
        <v>153121.62531019372</v>
      </c>
      <c r="C34" s="225">
        <f>IF('Datos Mun'!B33="AMM",Descentralizados!$B$62*'Datos Mun'!AK33,Descentralizados!$B$63*'Datos Mun'!AK33)</f>
        <v>144629.73505492767</v>
      </c>
      <c r="D34" s="225" t="str">
        <f>IF('Datos Mun'!C33="No AMM",IF(Descentralizados!C34-Descentralizados!B34&lt;0,"SI","NO"),0)</f>
        <v>SI</v>
      </c>
      <c r="E34" s="234">
        <f t="shared" si="0"/>
        <v>153121.62531019372</v>
      </c>
      <c r="F34" s="283" t="str">
        <f t="shared" si="1"/>
        <v>NO</v>
      </c>
      <c r="G34" s="283" t="str">
        <f t="shared" si="2"/>
        <v>IGUAL</v>
      </c>
      <c r="I34" s="272" t="s">
        <v>29</v>
      </c>
      <c r="J34" s="280">
        <f t="shared" si="3"/>
        <v>144629.73505492767</v>
      </c>
      <c r="K34" s="284">
        <f t="shared" si="4"/>
        <v>8491.8902552660438</v>
      </c>
      <c r="L34" s="276">
        <f t="shared" si="5"/>
        <v>153121.62531019372</v>
      </c>
      <c r="M34" s="324"/>
      <c r="N34" s="324"/>
    </row>
    <row r="35" spans="1:14">
      <c r="A35" s="227" t="s">
        <v>30</v>
      </c>
      <c r="B35" s="230">
        <f>'Datos Mun'!X34/12</f>
        <v>200994.39261957086</v>
      </c>
      <c r="C35" s="225">
        <f>IF('Datos Mun'!B34="AMM",Descentralizados!$B$62*'Datos Mun'!AK34,Descentralizados!$B$63*'Datos Mun'!AK34)</f>
        <v>150888.03703253507</v>
      </c>
      <c r="D35" s="225" t="str">
        <f>IF('Datos Mun'!C34="No AMM",IF(Descentralizados!C35-Descentralizados!B35&lt;0,"SI","NO"),0)</f>
        <v>SI</v>
      </c>
      <c r="E35" s="234">
        <f t="shared" si="0"/>
        <v>200994.39261957086</v>
      </c>
      <c r="F35" s="283" t="str">
        <f t="shared" si="1"/>
        <v>NO</v>
      </c>
      <c r="G35" s="283" t="str">
        <f t="shared" si="2"/>
        <v>IGUAL</v>
      </c>
      <c r="I35" s="272" t="s">
        <v>30</v>
      </c>
      <c r="J35" s="280">
        <f t="shared" si="3"/>
        <v>150888.03703253507</v>
      </c>
      <c r="K35" s="284">
        <f t="shared" si="4"/>
        <v>50106.355587035796</v>
      </c>
      <c r="L35" s="276">
        <f t="shared" si="5"/>
        <v>200994.39261957086</v>
      </c>
      <c r="M35" s="324"/>
      <c r="N35" s="324"/>
    </row>
    <row r="36" spans="1:14">
      <c r="A36" s="227" t="s">
        <v>31</v>
      </c>
      <c r="B36" s="230">
        <f>'Datos Mun'!X35/12</f>
        <v>783294.19963127049</v>
      </c>
      <c r="C36" s="225">
        <f>IF('Datos Mun'!B35="AMM",Descentralizados!$B$62*'Datos Mun'!AK35,Descentralizados!$B$63*'Datos Mun'!AK35)</f>
        <v>1251253.2801098649</v>
      </c>
      <c r="D36" s="225">
        <f>IF('Datos Mun'!C35="No AMM",IF(Descentralizados!C36-Descentralizados!B36&lt;0,"SI","NO"),0)</f>
        <v>0</v>
      </c>
      <c r="E36" s="234">
        <f t="shared" si="0"/>
        <v>1251253.2801098649</v>
      </c>
      <c r="F36" s="283" t="str">
        <f t="shared" si="1"/>
        <v>SI</v>
      </c>
      <c r="G36" s="283" t="str">
        <f t="shared" si="2"/>
        <v>DIF</v>
      </c>
      <c r="I36" s="272" t="s">
        <v>31</v>
      </c>
      <c r="J36" s="280">
        <f t="shared" si="3"/>
        <v>1251253.2801098649</v>
      </c>
      <c r="K36" s="284">
        <f t="shared" si="4"/>
        <v>0</v>
      </c>
      <c r="L36" s="276">
        <f t="shared" si="5"/>
        <v>1251253.2801098649</v>
      </c>
      <c r="M36" s="324"/>
      <c r="N36" s="324"/>
    </row>
    <row r="37" spans="1:14">
      <c r="A37" s="227" t="s">
        <v>32</v>
      </c>
      <c r="B37" s="230">
        <f>'Datos Mun'!X36/12</f>
        <v>406614.37317754544</v>
      </c>
      <c r="C37" s="225">
        <f>IF('Datos Mun'!B36="AMM",Descentralizados!$B$62*'Datos Mun'!AK36,Descentralizados!$B$63*'Datos Mun'!AK36)</f>
        <v>358805.31783795386</v>
      </c>
      <c r="D37" s="225" t="str">
        <f>IF('Datos Mun'!C36="No AMM",IF(Descentralizados!C37-Descentralizados!B37&lt;0,"SI","NO"),0)</f>
        <v>SI</v>
      </c>
      <c r="E37" s="234">
        <f t="shared" si="0"/>
        <v>406614.37317754544</v>
      </c>
      <c r="F37" s="283" t="str">
        <f t="shared" si="1"/>
        <v>NO</v>
      </c>
      <c r="G37" s="283" t="str">
        <f t="shared" si="2"/>
        <v>IGUAL</v>
      </c>
      <c r="I37" s="272" t="s">
        <v>32</v>
      </c>
      <c r="J37" s="280">
        <f t="shared" si="3"/>
        <v>358805.31783795386</v>
      </c>
      <c r="K37" s="284">
        <f t="shared" si="4"/>
        <v>47809.055339591578</v>
      </c>
      <c r="L37" s="276">
        <f t="shared" si="5"/>
        <v>406614.37317754544</v>
      </c>
      <c r="M37" s="324"/>
      <c r="N37" s="324"/>
    </row>
    <row r="38" spans="1:14">
      <c r="A38" s="227" t="s">
        <v>33</v>
      </c>
      <c r="B38" s="230">
        <f>'Datos Mun'!X37/12</f>
        <v>1180575.9289833552</v>
      </c>
      <c r="C38" s="225">
        <f>IF('Datos Mun'!B37="AMM",Descentralizados!$B$62*'Datos Mun'!AK37,Descentralizados!$B$63*'Datos Mun'!AK37)</f>
        <v>1004267.7996033281</v>
      </c>
      <c r="D38" s="225" t="str">
        <f>IF('Datos Mun'!C37="No AMM",IF(Descentralizados!C38-Descentralizados!B38&lt;0,"SI","NO"),0)</f>
        <v>SI</v>
      </c>
      <c r="E38" s="234">
        <f t="shared" si="0"/>
        <v>1180575.9289833552</v>
      </c>
      <c r="F38" s="283" t="str">
        <f t="shared" si="1"/>
        <v>NO</v>
      </c>
      <c r="G38" s="283" t="str">
        <f t="shared" si="2"/>
        <v>IGUAL</v>
      </c>
      <c r="I38" s="272" t="s">
        <v>33</v>
      </c>
      <c r="J38" s="280">
        <f t="shared" si="3"/>
        <v>1004267.7996033281</v>
      </c>
      <c r="K38" s="284">
        <f t="shared" si="4"/>
        <v>176308.12938002707</v>
      </c>
      <c r="L38" s="276">
        <f t="shared" si="5"/>
        <v>1180575.9289833552</v>
      </c>
      <c r="M38" s="324"/>
      <c r="N38" s="324"/>
    </row>
    <row r="39" spans="1:14">
      <c r="A39" s="227" t="s">
        <v>34</v>
      </c>
      <c r="B39" s="230">
        <f>'Datos Mun'!X38/12</f>
        <v>264613.6535775896</v>
      </c>
      <c r="C39" s="225">
        <f>IF('Datos Mun'!B38="AMM",Descentralizados!$B$62*'Datos Mun'!AK38,Descentralizados!$B$63*'Datos Mun'!AK38)</f>
        <v>182712.72569054551</v>
      </c>
      <c r="D39" s="225" t="str">
        <f>IF('Datos Mun'!C38="No AMM",IF(Descentralizados!C39-Descentralizados!B39&lt;0,"SI","NO"),0)</f>
        <v>SI</v>
      </c>
      <c r="E39" s="234">
        <f t="shared" si="0"/>
        <v>264613.6535775896</v>
      </c>
      <c r="F39" s="283" t="str">
        <f t="shared" si="1"/>
        <v>NO</v>
      </c>
      <c r="G39" s="283" t="str">
        <f t="shared" si="2"/>
        <v>IGUAL</v>
      </c>
      <c r="I39" s="272" t="s">
        <v>34</v>
      </c>
      <c r="J39" s="280">
        <f t="shared" si="3"/>
        <v>182712.72569054551</v>
      </c>
      <c r="K39" s="284">
        <f t="shared" si="4"/>
        <v>81900.92788704409</v>
      </c>
      <c r="L39" s="276">
        <f t="shared" si="5"/>
        <v>264613.6535775896</v>
      </c>
      <c r="M39" s="324"/>
      <c r="N39" s="324"/>
    </row>
    <row r="40" spans="1:14">
      <c r="A40" s="227" t="s">
        <v>35</v>
      </c>
      <c r="B40" s="230">
        <f>'Datos Mun'!X39/12</f>
        <v>258289.40993765972</v>
      </c>
      <c r="C40" s="225">
        <f>IF('Datos Mun'!B39="AMM",Descentralizados!$B$62*'Datos Mun'!AK39,Descentralizados!$B$63*'Datos Mun'!AK39)</f>
        <v>33478.551799374582</v>
      </c>
      <c r="D40" s="225" t="str">
        <f>IF('Datos Mun'!C39="No AMM",IF(Descentralizados!C40-Descentralizados!B40&lt;0,"SI","NO"),0)</f>
        <v>SI</v>
      </c>
      <c r="E40" s="234">
        <f t="shared" si="0"/>
        <v>258289.40993765972</v>
      </c>
      <c r="F40" s="283" t="str">
        <f t="shared" si="1"/>
        <v>NO</v>
      </c>
      <c r="G40" s="283" t="str">
        <f t="shared" si="2"/>
        <v>IGUAL</v>
      </c>
      <c r="I40" s="272" t="s">
        <v>35</v>
      </c>
      <c r="J40" s="280">
        <f t="shared" si="3"/>
        <v>33478.551799374582</v>
      </c>
      <c r="K40" s="284">
        <f t="shared" si="4"/>
        <v>224810.85813828514</v>
      </c>
      <c r="L40" s="276">
        <f t="shared" si="5"/>
        <v>258289.40993765972</v>
      </c>
      <c r="M40" s="324"/>
      <c r="N40" s="324"/>
    </row>
    <row r="41" spans="1:14">
      <c r="A41" s="227" t="s">
        <v>36</v>
      </c>
      <c r="B41" s="230">
        <f>'Datos Mun'!X40/12</f>
        <v>334120.64596245222</v>
      </c>
      <c r="C41" s="225">
        <f>IF('Datos Mun'!B40="AMM",Descentralizados!$B$62*'Datos Mun'!AK40,Descentralizados!$B$63*'Datos Mun'!AK40)</f>
        <v>260725.47421668383</v>
      </c>
      <c r="D41" s="225" t="str">
        <f>IF('Datos Mun'!C40="No AMM",IF(Descentralizados!C41-Descentralizados!B41&lt;0,"SI","NO"),0)</f>
        <v>SI</v>
      </c>
      <c r="E41" s="234">
        <f t="shared" si="0"/>
        <v>334120.64596245222</v>
      </c>
      <c r="F41" s="283" t="str">
        <f t="shared" si="1"/>
        <v>NO</v>
      </c>
      <c r="G41" s="283" t="str">
        <f t="shared" si="2"/>
        <v>IGUAL</v>
      </c>
      <c r="I41" s="272" t="s">
        <v>36</v>
      </c>
      <c r="J41" s="280">
        <f t="shared" si="3"/>
        <v>260725.47421668383</v>
      </c>
      <c r="K41" s="284">
        <f t="shared" si="4"/>
        <v>73395.171745768399</v>
      </c>
      <c r="L41" s="276">
        <f t="shared" si="5"/>
        <v>334120.64596245222</v>
      </c>
      <c r="M41" s="324"/>
      <c r="N41" s="324"/>
    </row>
    <row r="42" spans="1:14">
      <c r="A42" s="227" t="s">
        <v>37</v>
      </c>
      <c r="B42" s="230">
        <f>'Datos Mun'!X41/12</f>
        <v>318581.7091861848</v>
      </c>
      <c r="C42" s="225">
        <f>IF('Datos Mun'!B41="AMM",Descentralizados!$B$62*'Datos Mun'!AK41,Descentralizados!$B$63*'Datos Mun'!AK41)</f>
        <v>340439.40219221031</v>
      </c>
      <c r="D42" s="225" t="str">
        <f>IF('Datos Mun'!C41="No AMM",IF(Descentralizados!C42-Descentralizados!B42&lt;0,"SI","NO"),0)</f>
        <v>NO</v>
      </c>
      <c r="E42" s="234">
        <f t="shared" si="0"/>
        <v>340439.40219221031</v>
      </c>
      <c r="F42" s="283" t="str">
        <f t="shared" si="1"/>
        <v>SI</v>
      </c>
      <c r="G42" s="283" t="str">
        <f t="shared" si="2"/>
        <v>DIF</v>
      </c>
      <c r="I42" s="272" t="s">
        <v>37</v>
      </c>
      <c r="J42" s="280">
        <f t="shared" si="3"/>
        <v>340439.40219221031</v>
      </c>
      <c r="K42" s="284">
        <f t="shared" si="4"/>
        <v>0</v>
      </c>
      <c r="L42" s="276">
        <f t="shared" si="5"/>
        <v>340439.40219221031</v>
      </c>
      <c r="M42" s="324"/>
      <c r="N42" s="324"/>
    </row>
    <row r="43" spans="1:14">
      <c r="A43" s="227" t="s">
        <v>38</v>
      </c>
      <c r="B43" s="230">
        <f>'Datos Mun'!X42/12</f>
        <v>1492133.0807035097</v>
      </c>
      <c r="C43" s="225">
        <f>IF('Datos Mun'!B42="AMM",Descentralizados!$B$62*'Datos Mun'!AK42,Descentralizados!$B$63*'Datos Mun'!AK42)</f>
        <v>779643.62121352425</v>
      </c>
      <c r="D43" s="225" t="str">
        <f>IF('Datos Mun'!C42="No AMM",IF(Descentralizados!C43-Descentralizados!B43&lt;0,"SI","NO"),0)</f>
        <v>SI</v>
      </c>
      <c r="E43" s="234">
        <f t="shared" si="0"/>
        <v>1492133.0807035097</v>
      </c>
      <c r="F43" s="283" t="str">
        <f t="shared" si="1"/>
        <v>NO</v>
      </c>
      <c r="G43" s="283" t="str">
        <f t="shared" si="2"/>
        <v>IGUAL</v>
      </c>
      <c r="I43" s="272" t="s">
        <v>38</v>
      </c>
      <c r="J43" s="280">
        <f t="shared" si="3"/>
        <v>779643.62121352425</v>
      </c>
      <c r="K43" s="284">
        <f t="shared" si="4"/>
        <v>712489.45948998549</v>
      </c>
      <c r="L43" s="276">
        <f t="shared" si="5"/>
        <v>1492133.0807035097</v>
      </c>
      <c r="M43" s="324"/>
      <c r="N43" s="324"/>
    </row>
    <row r="44" spans="1:14">
      <c r="A44" s="227" t="s">
        <v>39</v>
      </c>
      <c r="B44" s="230">
        <f>'Datos Mun'!X43/12</f>
        <v>6078693.0760665266</v>
      </c>
      <c r="C44" s="225">
        <f>IF('Datos Mun'!B43="AMM",Descentralizados!$B$62*'Datos Mun'!AK43,Descentralizados!$B$63*'Datos Mun'!AK43)</f>
        <v>7393285.1175556742</v>
      </c>
      <c r="D44" s="225">
        <f>IF('Datos Mun'!C43="No AMM",IF(Descentralizados!C44-Descentralizados!B44&lt;0,"SI","NO"),0)</f>
        <v>0</v>
      </c>
      <c r="E44" s="234">
        <f t="shared" si="0"/>
        <v>7393285.1175556742</v>
      </c>
      <c r="F44" s="283" t="str">
        <f t="shared" si="1"/>
        <v>SI</v>
      </c>
      <c r="G44" s="283" t="str">
        <f t="shared" si="2"/>
        <v>DIF</v>
      </c>
      <c r="I44" s="272" t="s">
        <v>39</v>
      </c>
      <c r="J44" s="280">
        <f t="shared" si="3"/>
        <v>7393285.1175556742</v>
      </c>
      <c r="K44" s="284">
        <f t="shared" si="4"/>
        <v>0</v>
      </c>
      <c r="L44" s="276">
        <f t="shared" si="5"/>
        <v>7393285.1175556742</v>
      </c>
      <c r="M44" s="324"/>
      <c r="N44" s="324"/>
    </row>
    <row r="45" spans="1:14">
      <c r="A45" s="228" t="s">
        <v>40</v>
      </c>
      <c r="B45" s="230">
        <f>'Datos Mun'!X44/12</f>
        <v>296299.24811091315</v>
      </c>
      <c r="C45" s="225">
        <f>IF('Datos Mun'!B44="AMM",Descentralizados!$B$62*'Datos Mun'!AK44,Descentralizados!$B$63*'Datos Mun'!AK44)</f>
        <v>171178.84726758237</v>
      </c>
      <c r="D45" s="225" t="str">
        <f>IF('Datos Mun'!C44="No AMM",IF(Descentralizados!C45-Descentralizados!B45&lt;0,"SI","NO"),0)</f>
        <v>SI</v>
      </c>
      <c r="E45" s="234">
        <f t="shared" si="0"/>
        <v>296299.24811091315</v>
      </c>
      <c r="F45" s="283" t="str">
        <f t="shared" si="1"/>
        <v>NO</v>
      </c>
      <c r="G45" s="283" t="str">
        <f t="shared" si="2"/>
        <v>IGUAL</v>
      </c>
      <c r="I45" s="273" t="s">
        <v>40</v>
      </c>
      <c r="J45" s="280">
        <f t="shared" si="3"/>
        <v>171178.84726758237</v>
      </c>
      <c r="K45" s="284">
        <f t="shared" si="4"/>
        <v>125120.40084333078</v>
      </c>
      <c r="L45" s="276">
        <f t="shared" si="5"/>
        <v>296299.24811091315</v>
      </c>
      <c r="M45" s="324"/>
      <c r="N45" s="324"/>
    </row>
    <row r="46" spans="1:14">
      <c r="A46" s="228" t="s">
        <v>41</v>
      </c>
      <c r="B46" s="230">
        <f>'Datos Mun'!X45/12</f>
        <v>531589.09543761553</v>
      </c>
      <c r="C46" s="225">
        <f>IF('Datos Mun'!B45="AMM",Descentralizados!$B$62*'Datos Mun'!AK45,Descentralizados!$B$63*'Datos Mun'!AK45)</f>
        <v>1254409.8136899709</v>
      </c>
      <c r="D46" s="225" t="str">
        <f>IF('Datos Mun'!C45="No AMM",IF(Descentralizados!C46-Descentralizados!B46&lt;0,"SI","NO"),0)</f>
        <v>NO</v>
      </c>
      <c r="E46" s="234">
        <f t="shared" si="0"/>
        <v>1254409.8136899709</v>
      </c>
      <c r="F46" s="283" t="str">
        <f t="shared" si="1"/>
        <v>SI</v>
      </c>
      <c r="G46" s="283" t="str">
        <f t="shared" si="2"/>
        <v>DIF</v>
      </c>
      <c r="I46" s="273" t="s">
        <v>41</v>
      </c>
      <c r="J46" s="280">
        <f t="shared" si="3"/>
        <v>1254409.8136899709</v>
      </c>
      <c r="K46" s="284">
        <f t="shared" si="4"/>
        <v>0</v>
      </c>
      <c r="L46" s="276">
        <f t="shared" si="5"/>
        <v>1254409.8136899709</v>
      </c>
      <c r="M46" s="324"/>
      <c r="N46" s="324"/>
    </row>
    <row r="47" spans="1:14">
      <c r="A47" s="228" t="s">
        <v>42</v>
      </c>
      <c r="B47" s="230">
        <f>'Datos Mun'!X46/12</f>
        <v>170664.01323467653</v>
      </c>
      <c r="C47" s="225">
        <f>IF('Datos Mun'!B46="AMM",Descentralizados!$B$62*'Datos Mun'!AK46,Descentralizados!$B$63*'Datos Mun'!AK46)</f>
        <v>191765.83800812345</v>
      </c>
      <c r="D47" s="225" t="str">
        <f>IF('Datos Mun'!C46="No AMM",IF(Descentralizados!C47-Descentralizados!B47&lt;0,"SI","NO"),0)</f>
        <v>NO</v>
      </c>
      <c r="E47" s="234">
        <f t="shared" si="0"/>
        <v>191765.83800812345</v>
      </c>
      <c r="F47" s="283" t="str">
        <f t="shared" si="1"/>
        <v>SI</v>
      </c>
      <c r="G47" s="283" t="str">
        <f t="shared" si="2"/>
        <v>DIF</v>
      </c>
      <c r="I47" s="273" t="s">
        <v>42</v>
      </c>
      <c r="J47" s="280">
        <f t="shared" si="3"/>
        <v>191765.83800812345</v>
      </c>
      <c r="K47" s="284">
        <f t="shared" si="4"/>
        <v>0</v>
      </c>
      <c r="L47" s="276">
        <f t="shared" si="5"/>
        <v>191765.83800812345</v>
      </c>
      <c r="M47" s="324"/>
      <c r="N47" s="324"/>
    </row>
    <row r="48" spans="1:14">
      <c r="A48" s="228" t="s">
        <v>43</v>
      </c>
      <c r="B48" s="230">
        <f>'Datos Mun'!X47/12</f>
        <v>215238.04648679294</v>
      </c>
      <c r="C48" s="225">
        <f>IF('Datos Mun'!B47="AMM",Descentralizados!$B$62*'Datos Mun'!AK47,Descentralizados!$B$63*'Datos Mun'!AK47)</f>
        <v>176967.11191027041</v>
      </c>
      <c r="D48" s="225" t="str">
        <f>IF('Datos Mun'!C47="No AMM",IF(Descentralizados!C48-Descentralizados!B48&lt;0,"SI","NO"),0)</f>
        <v>SI</v>
      </c>
      <c r="E48" s="234">
        <f t="shared" si="0"/>
        <v>215238.04648679294</v>
      </c>
      <c r="F48" s="283" t="str">
        <f t="shared" si="1"/>
        <v>NO</v>
      </c>
      <c r="G48" s="283" t="str">
        <f t="shared" si="2"/>
        <v>IGUAL</v>
      </c>
      <c r="I48" s="273" t="s">
        <v>43</v>
      </c>
      <c r="J48" s="280">
        <f t="shared" si="3"/>
        <v>176967.11191027041</v>
      </c>
      <c r="K48" s="284">
        <f t="shared" si="4"/>
        <v>38270.93457652253</v>
      </c>
      <c r="L48" s="276">
        <f t="shared" si="5"/>
        <v>215238.04648679294</v>
      </c>
      <c r="M48" s="324"/>
      <c r="N48" s="324"/>
    </row>
    <row r="49" spans="1:14">
      <c r="A49" s="228" t="s">
        <v>44</v>
      </c>
      <c r="B49" s="230">
        <f>'Datos Mun'!X48/12</f>
        <v>387676.73059520504</v>
      </c>
      <c r="C49" s="225">
        <f>IF('Datos Mun'!B48="AMM",Descentralizados!$B$62*'Datos Mun'!AK48,Descentralizados!$B$63*'Datos Mun'!AK48)</f>
        <v>467718.50883177295</v>
      </c>
      <c r="D49" s="225" t="str">
        <f>IF('Datos Mun'!C48="No AMM",IF(Descentralizados!C49-Descentralizados!B49&lt;0,"SI","NO"),0)</f>
        <v>NO</v>
      </c>
      <c r="E49" s="234">
        <f t="shared" si="0"/>
        <v>467718.50883177295</v>
      </c>
      <c r="F49" s="283" t="str">
        <f t="shared" si="1"/>
        <v>SI</v>
      </c>
      <c r="G49" s="283" t="str">
        <f t="shared" si="2"/>
        <v>DIF</v>
      </c>
      <c r="I49" s="273" t="s">
        <v>44</v>
      </c>
      <c r="J49" s="280">
        <f t="shared" si="3"/>
        <v>467718.50883177295</v>
      </c>
      <c r="K49" s="284">
        <f t="shared" si="4"/>
        <v>0</v>
      </c>
      <c r="L49" s="276">
        <f t="shared" si="5"/>
        <v>467718.50883177295</v>
      </c>
      <c r="M49" s="324"/>
      <c r="N49" s="324"/>
    </row>
    <row r="50" spans="1:14">
      <c r="A50" s="228" t="s">
        <v>45</v>
      </c>
      <c r="B50" s="230">
        <f>'Datos Mun'!X49/12</f>
        <v>220049.97502568341</v>
      </c>
      <c r="C50" s="225">
        <f>IF('Datos Mun'!B49="AMM",Descentralizados!$B$62*'Datos Mun'!AK49,Descentralizados!$B$63*'Datos Mun'!AK49)</f>
        <v>266656.27441285294</v>
      </c>
      <c r="D50" s="225" t="str">
        <f>IF('Datos Mun'!C49="No AMM",IF(Descentralizados!C50-Descentralizados!B50&lt;0,"SI","NO"),0)</f>
        <v>NO</v>
      </c>
      <c r="E50" s="234">
        <f t="shared" si="0"/>
        <v>266656.27441285294</v>
      </c>
      <c r="F50" s="283" t="str">
        <f t="shared" si="1"/>
        <v>SI</v>
      </c>
      <c r="G50" s="283" t="str">
        <f t="shared" si="2"/>
        <v>DIF</v>
      </c>
      <c r="I50" s="273" t="s">
        <v>45</v>
      </c>
      <c r="J50" s="280">
        <f t="shared" si="3"/>
        <v>266656.27441285294</v>
      </c>
      <c r="K50" s="284">
        <f t="shared" si="4"/>
        <v>0</v>
      </c>
      <c r="L50" s="276">
        <f t="shared" si="5"/>
        <v>266656.27441285294</v>
      </c>
      <c r="M50" s="324"/>
      <c r="N50" s="324"/>
    </row>
    <row r="51" spans="1:14">
      <c r="A51" s="228" t="s">
        <v>46</v>
      </c>
      <c r="B51" s="230">
        <f>'Datos Mun'!X50/12</f>
        <v>1566883.6568982902</v>
      </c>
      <c r="C51" s="225">
        <f>IF('Datos Mun'!B50="AMM",Descentralizados!$B$62*'Datos Mun'!AK50,Descentralizados!$B$63*'Datos Mun'!AK50)</f>
        <v>1757647.7485109828</v>
      </c>
      <c r="D51" s="225">
        <f>IF('Datos Mun'!C50="No AMM",IF(Descentralizados!C51-Descentralizados!B51&lt;0,"SI","NO"),0)</f>
        <v>0</v>
      </c>
      <c r="E51" s="234">
        <f t="shared" si="0"/>
        <v>1757647.7485109828</v>
      </c>
      <c r="F51" s="283" t="str">
        <f t="shared" si="1"/>
        <v>SI</v>
      </c>
      <c r="G51" s="283" t="str">
        <f t="shared" si="2"/>
        <v>DIF</v>
      </c>
      <c r="I51" s="273" t="s">
        <v>46</v>
      </c>
      <c r="J51" s="280">
        <f t="shared" si="3"/>
        <v>1757647.7485109828</v>
      </c>
      <c r="K51" s="284">
        <f t="shared" si="4"/>
        <v>0</v>
      </c>
      <c r="L51" s="276">
        <f t="shared" si="5"/>
        <v>1757647.7485109828</v>
      </c>
      <c r="M51" s="324"/>
      <c r="N51" s="324"/>
    </row>
    <row r="52" spans="1:14">
      <c r="A52" s="228" t="s">
        <v>47</v>
      </c>
      <c r="B52" s="230">
        <f>'Datos Mun'!X51/12</f>
        <v>3163150.8705194271</v>
      </c>
      <c r="C52" s="225">
        <f>IF('Datos Mun'!B51="AMM",Descentralizados!$B$62*'Datos Mun'!AK51,Descentralizados!$B$63*'Datos Mun'!AK51)</f>
        <v>3352555.3861374836</v>
      </c>
      <c r="D52" s="225">
        <f>IF('Datos Mun'!C51="No AMM",IF(Descentralizados!C52-Descentralizados!B52&lt;0,"SI","NO"),0)</f>
        <v>0</v>
      </c>
      <c r="E52" s="234">
        <f t="shared" si="0"/>
        <v>3352555.3861374836</v>
      </c>
      <c r="F52" s="283" t="str">
        <f t="shared" si="1"/>
        <v>SI</v>
      </c>
      <c r="G52" s="283" t="str">
        <f t="shared" si="2"/>
        <v>DIF</v>
      </c>
      <c r="I52" s="273" t="s">
        <v>47</v>
      </c>
      <c r="J52" s="280">
        <f t="shared" si="3"/>
        <v>3352555.3861374836</v>
      </c>
      <c r="K52" s="284">
        <f t="shared" si="4"/>
        <v>0</v>
      </c>
      <c r="L52" s="276">
        <f t="shared" si="5"/>
        <v>3352555.3861374836</v>
      </c>
      <c r="M52" s="324"/>
      <c r="N52" s="324"/>
    </row>
    <row r="53" spans="1:14">
      <c r="A53" s="228" t="s">
        <v>48</v>
      </c>
      <c r="B53" s="230">
        <f>'Datos Mun'!X52/12</f>
        <v>817572.65302867116</v>
      </c>
      <c r="C53" s="225">
        <f>IF('Datos Mun'!B52="AMM",Descentralizados!$B$62*'Datos Mun'!AK52,Descentralizados!$B$63*'Datos Mun'!AK52)</f>
        <v>940840.86049838585</v>
      </c>
      <c r="D53" s="225">
        <f>IF('Datos Mun'!C52="No AMM",IF(Descentralizados!C53-Descentralizados!B53&lt;0,"SI","NO"),0)</f>
        <v>0</v>
      </c>
      <c r="E53" s="234">
        <f t="shared" si="0"/>
        <v>940840.86049838585</v>
      </c>
      <c r="F53" s="283" t="str">
        <f t="shared" si="1"/>
        <v>SI</v>
      </c>
      <c r="G53" s="283" t="str">
        <f t="shared" si="2"/>
        <v>DIF</v>
      </c>
      <c r="I53" s="273" t="s">
        <v>48</v>
      </c>
      <c r="J53" s="280">
        <f t="shared" si="3"/>
        <v>940840.86049838585</v>
      </c>
      <c r="K53" s="284">
        <f t="shared" si="4"/>
        <v>0</v>
      </c>
      <c r="L53" s="276">
        <f t="shared" si="5"/>
        <v>940840.86049838585</v>
      </c>
      <c r="M53" s="324"/>
      <c r="N53" s="324"/>
    </row>
    <row r="54" spans="1:14">
      <c r="A54" s="228" t="s">
        <v>49</v>
      </c>
      <c r="B54" s="230">
        <f>'Datos Mun'!X53/12</f>
        <v>405827.67325722537</v>
      </c>
      <c r="C54" s="225">
        <f>IF('Datos Mun'!B53="AMM",Descentralizados!$B$62*'Datos Mun'!AK53,Descentralizados!$B$63*'Datos Mun'!AK53)</f>
        <v>417093.56118220865</v>
      </c>
      <c r="D54" s="225" t="str">
        <f>IF('Datos Mun'!C53="No AMM",IF(Descentralizados!C54-Descentralizados!B54&lt;0,"SI","NO"),0)</f>
        <v>NO</v>
      </c>
      <c r="E54" s="234">
        <f t="shared" si="0"/>
        <v>417093.56118220865</v>
      </c>
      <c r="F54" s="283" t="str">
        <f t="shared" si="1"/>
        <v>SI</v>
      </c>
      <c r="G54" s="283" t="str">
        <f t="shared" si="2"/>
        <v>DIF</v>
      </c>
      <c r="I54" s="273" t="s">
        <v>49</v>
      </c>
      <c r="J54" s="280">
        <f t="shared" si="3"/>
        <v>417093.56118220865</v>
      </c>
      <c r="K54" s="284">
        <f t="shared" si="4"/>
        <v>0</v>
      </c>
      <c r="L54" s="276">
        <f t="shared" si="5"/>
        <v>417093.56118220865</v>
      </c>
      <c r="M54" s="324"/>
      <c r="N54" s="324"/>
    </row>
    <row r="55" spans="1:14">
      <c r="A55" s="228" t="s">
        <v>50</v>
      </c>
      <c r="B55" s="230">
        <f>'Datos Mun'!X54/12</f>
        <v>175970.52432231497</v>
      </c>
      <c r="C55" s="225">
        <f>IF('Datos Mun'!B54="AMM",Descentralizados!$B$62*'Datos Mun'!AK54,Descentralizados!$B$63*'Datos Mun'!AK54)</f>
        <v>266325.82913489686</v>
      </c>
      <c r="D55" s="225" t="str">
        <f>IF('Datos Mun'!C54="No AMM",IF(Descentralizados!C55-Descentralizados!B55&lt;0,"SI","NO"),0)</f>
        <v>NO</v>
      </c>
      <c r="E55" s="234">
        <f t="shared" si="0"/>
        <v>266325.82913489686</v>
      </c>
      <c r="F55" s="283" t="str">
        <f t="shared" si="1"/>
        <v>SI</v>
      </c>
      <c r="G55" s="283" t="str">
        <f t="shared" si="2"/>
        <v>DIF</v>
      </c>
      <c r="I55" s="273" t="s">
        <v>50</v>
      </c>
      <c r="J55" s="280">
        <f t="shared" si="3"/>
        <v>266325.82913489686</v>
      </c>
      <c r="K55" s="284">
        <f t="shared" si="4"/>
        <v>0</v>
      </c>
      <c r="L55" s="276">
        <f t="shared" si="5"/>
        <v>266325.82913489686</v>
      </c>
      <c r="M55" s="324"/>
      <c r="N55" s="324"/>
    </row>
    <row r="56" spans="1:14">
      <c r="A56" s="228" t="s">
        <v>51</v>
      </c>
      <c r="B56" s="230">
        <f>'Datos Mun'!X55/12</f>
        <v>295638.69155837776</v>
      </c>
      <c r="C56" s="225">
        <f>IF('Datos Mun'!B55="AMM",Descentralizados!$B$62*'Datos Mun'!AK55,Descentralizados!$B$63*'Datos Mun'!AK55)</f>
        <v>227484.75877649922</v>
      </c>
      <c r="D56" s="225" t="str">
        <f>IF('Datos Mun'!C55="No AMM",IF(Descentralizados!C56-Descentralizados!B56&lt;0,"SI","NO"),0)</f>
        <v>SI</v>
      </c>
      <c r="E56" s="234">
        <f t="shared" si="0"/>
        <v>295638.69155837776</v>
      </c>
      <c r="F56" s="283" t="str">
        <f t="shared" si="1"/>
        <v>NO</v>
      </c>
      <c r="G56" s="283" t="str">
        <f t="shared" si="2"/>
        <v>IGUAL</v>
      </c>
      <c r="I56" s="273" t="s">
        <v>51</v>
      </c>
      <c r="J56" s="280">
        <f t="shared" si="3"/>
        <v>227484.75877649922</v>
      </c>
      <c r="K56" s="284">
        <f t="shared" si="4"/>
        <v>68153.932781878539</v>
      </c>
      <c r="L56" s="276">
        <f t="shared" ref="L56" si="6">SUM(J56:K56)</f>
        <v>295638.69155837776</v>
      </c>
      <c r="M56" s="324"/>
      <c r="N56" s="324"/>
    </row>
    <row r="57" spans="1:14" ht="13.8" thickBot="1">
      <c r="A57" s="197" t="s">
        <v>52</v>
      </c>
      <c r="B57" s="231">
        <f>SUM(B6:B56)</f>
        <v>34654276.963072643</v>
      </c>
      <c r="C57" s="235">
        <f>SUM(C6:C56)</f>
        <v>36930291.75</v>
      </c>
      <c r="D57" s="236"/>
      <c r="E57" s="237">
        <f>SUM(E6:E56)</f>
        <v>40847989.631720074</v>
      </c>
      <c r="F57" s="241">
        <f>SUM(F6:F56)</f>
        <v>0</v>
      </c>
      <c r="G57" s="241"/>
      <c r="H57" s="263"/>
      <c r="I57" s="274" t="s">
        <v>52</v>
      </c>
      <c r="J57" s="235">
        <f>SUM(J6:J56)</f>
        <v>36930291.75</v>
      </c>
      <c r="K57" s="236">
        <f>SUM(K6:K56)</f>
        <v>3917697.8817200703</v>
      </c>
      <c r="L57" s="277">
        <f>SUM(L6:L56)</f>
        <v>40847989.631720074</v>
      </c>
      <c r="M57" s="324"/>
      <c r="N57" s="324"/>
    </row>
    <row r="58" spans="1:14" ht="13.8" thickBot="1"/>
    <row r="59" spans="1:14" ht="13.8" thickBot="1">
      <c r="A59" s="198"/>
      <c r="B59" s="202" t="s">
        <v>86</v>
      </c>
      <c r="J59" s="324">
        <f t="shared" ref="J59:K59" si="7">J57/12</f>
        <v>3077524.3125</v>
      </c>
      <c r="K59" s="324">
        <f t="shared" si="7"/>
        <v>326474.82347667252</v>
      </c>
      <c r="L59" s="324">
        <f>L57/12</f>
        <v>3403999.1359766726</v>
      </c>
    </row>
    <row r="60" spans="1:14" ht="13.2" customHeight="1">
      <c r="A60" s="365" t="s">
        <v>230</v>
      </c>
      <c r="B60" s="367">
        <f>'Part. 2022 Mes'!B46:C46</f>
        <v>36930291.75</v>
      </c>
      <c r="C60" s="369">
        <f>B60/12</f>
        <v>3077524.3125</v>
      </c>
    </row>
    <row r="61" spans="1:14">
      <c r="A61" s="366"/>
      <c r="B61" s="368"/>
      <c r="C61" s="368"/>
    </row>
    <row r="62" spans="1:14">
      <c r="A62" s="200" t="s">
        <v>153</v>
      </c>
      <c r="B62" s="208">
        <f>B60*0.6</f>
        <v>22158175.050000001</v>
      </c>
      <c r="C62" s="208">
        <f>C60*0.6</f>
        <v>1846514.5874999999</v>
      </c>
    </row>
    <row r="63" spans="1:14">
      <c r="A63" s="200" t="s">
        <v>154</v>
      </c>
      <c r="B63" s="208">
        <f>B60*0.4</f>
        <v>14772116.700000001</v>
      </c>
      <c r="C63" s="208">
        <f>C60*0.4</f>
        <v>1231009.7250000001</v>
      </c>
    </row>
    <row r="64" spans="1:14" ht="13.8" thickBot="1">
      <c r="A64" s="201" t="s">
        <v>155</v>
      </c>
      <c r="B64" s="209">
        <f>E57-B60</f>
        <v>3917697.8817200735</v>
      </c>
      <c r="C64" s="209">
        <f>L59-C60</f>
        <v>326474.82347667264</v>
      </c>
    </row>
  </sheetData>
  <mergeCells count="9">
    <mergeCell ref="I1:L1"/>
    <mergeCell ref="I2:L2"/>
    <mergeCell ref="I3:L3"/>
    <mergeCell ref="A60:A61"/>
    <mergeCell ref="B60:B61"/>
    <mergeCell ref="A1:E1"/>
    <mergeCell ref="A2:E2"/>
    <mergeCell ref="A3:E3"/>
    <mergeCell ref="C60:C6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25"/>
  <sheetViews>
    <sheetView workbookViewId="0">
      <selection activeCell="D6" sqref="D6"/>
    </sheetView>
  </sheetViews>
  <sheetFormatPr baseColWidth="10" defaultColWidth="11.44140625" defaultRowHeight="13.2"/>
  <cols>
    <col min="1" max="1" width="24.88671875" style="13" customWidth="1"/>
    <col min="2" max="2" width="15.6640625" style="13" customWidth="1"/>
    <col min="3" max="3" width="19.5546875" style="13" bestFit="1" customWidth="1"/>
    <col min="4" max="4" width="25.109375" style="13" customWidth="1"/>
    <col min="5" max="5" width="19.5546875" style="13" bestFit="1" customWidth="1"/>
    <col min="6" max="16384" width="11.44140625" style="13"/>
  </cols>
  <sheetData>
    <row r="1" spans="1:8">
      <c r="A1" s="363" t="s">
        <v>84</v>
      </c>
      <c r="B1" s="363"/>
      <c r="C1" s="363"/>
      <c r="D1" s="363"/>
      <c r="E1" s="363"/>
    </row>
    <row r="2" spans="1:8">
      <c r="A2" s="363" t="s">
        <v>85</v>
      </c>
      <c r="B2" s="363"/>
      <c r="C2" s="363"/>
      <c r="D2" s="363"/>
      <c r="E2" s="363"/>
    </row>
    <row r="3" spans="1:8">
      <c r="A3" s="364" t="s">
        <v>172</v>
      </c>
      <c r="B3" s="364"/>
      <c r="C3" s="364"/>
      <c r="D3" s="364"/>
      <c r="E3" s="364"/>
    </row>
    <row r="4" spans="1:8" ht="13.8" thickBot="1"/>
    <row r="5" spans="1:8" ht="26.4">
      <c r="A5" s="195" t="s">
        <v>0</v>
      </c>
      <c r="B5" s="205" t="s">
        <v>160</v>
      </c>
      <c r="C5" s="203" t="s">
        <v>161</v>
      </c>
      <c r="D5" s="206" t="s">
        <v>146</v>
      </c>
      <c r="E5" s="204"/>
    </row>
    <row r="6" spans="1:8">
      <c r="A6" s="196" t="s">
        <v>6</v>
      </c>
      <c r="B6" s="238">
        <f>$B$23</f>
        <v>456466.74991336098</v>
      </c>
      <c r="C6" s="239">
        <f>$B$24*VLOOKUP(A6,'Datos Mun'!$A$5:$AL$55,36,FALSE)</f>
        <v>759945.40148587676</v>
      </c>
      <c r="D6" s="325">
        <f>$B$25*VLOOKUP(A6,'Datos Mun'!$A$5:$AL$55,38,FALSE)</f>
        <v>861294.5953417694</v>
      </c>
      <c r="E6" s="210">
        <f>SUM(B6:D6)</f>
        <v>2077706.7467410071</v>
      </c>
    </row>
    <row r="7" spans="1:8">
      <c r="A7" s="196" t="s">
        <v>9</v>
      </c>
      <c r="B7" s="240">
        <f t="shared" ref="B7:B17" si="0">$B$23</f>
        <v>456466.74991336098</v>
      </c>
      <c r="C7" s="241">
        <f>$B$24*VLOOKUP(A7,'Datos Mun'!$A$5:$AL$55,36,FALSE)</f>
        <v>141621.53687266583</v>
      </c>
      <c r="D7" s="242">
        <f>$B$25*VLOOKUP(A7,'Datos Mun'!$A$5:$AL$55,38,FALSE)</f>
        <v>138044.08120858858</v>
      </c>
      <c r="E7" s="211">
        <f t="shared" ref="E7:E17" si="1">SUM(B7:D7)</f>
        <v>736132.36799461534</v>
      </c>
    </row>
    <row r="8" spans="1:8">
      <c r="A8" s="196" t="s">
        <v>10</v>
      </c>
      <c r="B8" s="240">
        <f t="shared" si="0"/>
        <v>456466.74991336098</v>
      </c>
      <c r="C8" s="241">
        <f>$B$24*VLOOKUP(A8,'Datos Mun'!$A$5:$AL$55,36,FALSE)</f>
        <v>120947.34160051645</v>
      </c>
      <c r="D8" s="242">
        <f>$B$25*VLOOKUP(A8,'Datos Mun'!$A$5:$AL$55,38,FALSE)</f>
        <v>96650.17957489776</v>
      </c>
      <c r="E8" s="211">
        <f t="shared" si="1"/>
        <v>674064.27108877513</v>
      </c>
    </row>
    <row r="9" spans="1:8">
      <c r="A9" s="196" t="s">
        <v>13</v>
      </c>
      <c r="B9" s="240">
        <f t="shared" si="0"/>
        <v>456466.74991336098</v>
      </c>
      <c r="C9" s="241">
        <f>$B$24*VLOOKUP(A9,'Datos Mun'!$A$5:$AL$55,36,FALSE)</f>
        <v>79583.901807181464</v>
      </c>
      <c r="D9" s="242">
        <f>$B$25*VLOOKUP(A9,'Datos Mun'!$A$5:$AL$55,38,FALSE)</f>
        <v>71928.536935368349</v>
      </c>
      <c r="E9" s="211">
        <f t="shared" si="1"/>
        <v>607979.18865591078</v>
      </c>
    </row>
    <row r="10" spans="1:8">
      <c r="A10" s="196" t="s">
        <v>18</v>
      </c>
      <c r="B10" s="240">
        <f t="shared" si="0"/>
        <v>456466.74991336098</v>
      </c>
      <c r="C10" s="241">
        <f>$B$24*VLOOKUP(A10,'Datos Mun'!$A$5:$AL$55,36,FALSE)</f>
        <v>459818.22795644193</v>
      </c>
      <c r="D10" s="242">
        <f>$B$25*VLOOKUP(A10,'Datos Mun'!$A$5:$AL$55,38,FALSE)</f>
        <v>392605.63603288413</v>
      </c>
      <c r="E10" s="211">
        <f t="shared" si="1"/>
        <v>1308890.6139026871</v>
      </c>
    </row>
    <row r="11" spans="1:8">
      <c r="A11" s="196" t="s">
        <v>20</v>
      </c>
      <c r="B11" s="240">
        <f t="shared" si="0"/>
        <v>456466.74991336098</v>
      </c>
      <c r="C11" s="241">
        <f>$B$24*VLOOKUP(A11,'Datos Mun'!$A$5:$AL$55,36,FALSE)</f>
        <v>557068.79049761035</v>
      </c>
      <c r="D11" s="242">
        <f>$B$25*VLOOKUP(A11,'Datos Mun'!$A$5:$AL$55,38,FALSE)</f>
        <v>563066.26168314996</v>
      </c>
      <c r="E11" s="211">
        <f t="shared" si="1"/>
        <v>1576601.8020941212</v>
      </c>
      <c r="G11" s="198"/>
      <c r="H11" s="198"/>
    </row>
    <row r="12" spans="1:8">
      <c r="A12" s="196" t="s">
        <v>24</v>
      </c>
      <c r="B12" s="240">
        <f t="shared" si="0"/>
        <v>456466.74991336098</v>
      </c>
      <c r="C12" s="241">
        <f>$B$24*VLOOKUP(A12,'Datos Mun'!$A$5:$AL$55,36,FALSE)</f>
        <v>118251.21075394969</v>
      </c>
      <c r="D12" s="242">
        <f>$B$25*VLOOKUP(A12,'Datos Mun'!$A$5:$AL$55,38,FALSE)</f>
        <v>94000.207939874002</v>
      </c>
      <c r="E12" s="211">
        <f t="shared" si="1"/>
        <v>668718.16860718466</v>
      </c>
    </row>
    <row r="13" spans="1:8">
      <c r="A13" s="196" t="s">
        <v>31</v>
      </c>
      <c r="B13" s="240">
        <f t="shared" si="0"/>
        <v>456466.74991336098</v>
      </c>
      <c r="C13" s="241">
        <f>$B$24*VLOOKUP(A13,'Datos Mun'!$A$5:$AL$55,36,FALSE)</f>
        <v>545851.31179291639</v>
      </c>
      <c r="D13" s="242">
        <f>$B$25*VLOOKUP(A13,'Datos Mun'!$A$5:$AL$55,38,FALSE)</f>
        <v>483418.3817521286</v>
      </c>
      <c r="E13" s="211">
        <f t="shared" si="1"/>
        <v>1485736.4434584058</v>
      </c>
    </row>
    <row r="14" spans="1:8">
      <c r="A14" s="196" t="s">
        <v>41</v>
      </c>
      <c r="B14" s="240">
        <f t="shared" si="0"/>
        <v>456466.74991336098</v>
      </c>
      <c r="C14" s="241">
        <f>$B$24*VLOOKUP(A14,'Datos Mun'!$A$5:$AL$55,36,FALSE)</f>
        <v>170894.64151720592</v>
      </c>
      <c r="D14" s="242">
        <f>$B$25*VLOOKUP(A14,'Datos Mun'!$A$5:$AL$55,38,FALSE)</f>
        <v>134529.20381775615</v>
      </c>
      <c r="E14" s="211">
        <f t="shared" si="1"/>
        <v>761890.59524832305</v>
      </c>
    </row>
    <row r="15" spans="1:8">
      <c r="A15" s="196" t="s">
        <v>45</v>
      </c>
      <c r="B15" s="240">
        <f t="shared" si="0"/>
        <v>456466.74991336098</v>
      </c>
      <c r="C15" s="241">
        <f>$B$24*VLOOKUP(A15,'Datos Mun'!$A$5:$AL$55,36,FALSE)</f>
        <v>100443.31860593054</v>
      </c>
      <c r="D15" s="242">
        <f>$B$25*VLOOKUP(A15,'Datos Mun'!$A$5:$AL$55,38,FALSE)</f>
        <v>103021.94344648943</v>
      </c>
      <c r="E15" s="211">
        <f t="shared" si="1"/>
        <v>659932.01196578087</v>
      </c>
    </row>
    <row r="16" spans="1:8">
      <c r="A16" s="196" t="s">
        <v>48</v>
      </c>
      <c r="B16" s="240">
        <f t="shared" si="0"/>
        <v>456466.74991336098</v>
      </c>
      <c r="C16" s="241">
        <f>$B$24*VLOOKUP(A16,'Datos Mun'!$A$5:$AL$55,36,FALSE)</f>
        <v>354608.92794419307</v>
      </c>
      <c r="D16" s="242">
        <f>$B$25*VLOOKUP(A16,'Datos Mun'!$A$5:$AL$55,38,FALSE)</f>
        <v>363491.36781361717</v>
      </c>
      <c r="E16" s="211">
        <f t="shared" si="1"/>
        <v>1174567.0456711713</v>
      </c>
    </row>
    <row r="17" spans="1:5">
      <c r="A17" s="196" t="s">
        <v>49</v>
      </c>
      <c r="B17" s="243">
        <f t="shared" si="0"/>
        <v>456466.74991336098</v>
      </c>
      <c r="C17" s="244">
        <f>$B$24*VLOOKUP(A17,'Datos Mun'!$A$5:$AL$55,36,FALSE)</f>
        <v>54158.774377749971</v>
      </c>
      <c r="D17" s="245">
        <f>$B$25*VLOOKUP(A17,'Datos Mun'!$A$5:$AL$55,38,FALSE)</f>
        <v>161142.98966571485</v>
      </c>
      <c r="E17" s="212">
        <f t="shared" si="1"/>
        <v>671768.51395682571</v>
      </c>
    </row>
    <row r="18" spans="1:5" ht="13.8" thickBot="1">
      <c r="A18" s="197" t="s">
        <v>52</v>
      </c>
      <c r="B18" s="246">
        <f>SUM(B6:B17)</f>
        <v>5477600.998960332</v>
      </c>
      <c r="C18" s="247">
        <f>SUM(C6:C17)</f>
        <v>3463193.3852122389</v>
      </c>
      <c r="D18" s="248">
        <f>SUM(D6:D17)</f>
        <v>3463193.3852122384</v>
      </c>
      <c r="E18" s="213">
        <f>SUM(E6:E17)</f>
        <v>12403987.769384809</v>
      </c>
    </row>
    <row r="19" spans="1:5" ht="13.8" thickBot="1"/>
    <row r="20" spans="1:5" ht="13.8" thickBot="1">
      <c r="A20" s="198"/>
      <c r="B20" s="202" t="s">
        <v>86</v>
      </c>
    </row>
    <row r="21" spans="1:5">
      <c r="A21" s="365" t="s">
        <v>147</v>
      </c>
      <c r="B21" s="367">
        <f>'Part. 2022 Mes'!B36</f>
        <v>12403987.769384809</v>
      </c>
    </row>
    <row r="22" spans="1:5">
      <c r="A22" s="366"/>
      <c r="B22" s="368"/>
    </row>
    <row r="23" spans="1:5">
      <c r="A23" s="199" t="s">
        <v>159</v>
      </c>
      <c r="B23" s="207">
        <f>B21*3.68%</f>
        <v>456466.74991336098</v>
      </c>
    </row>
    <row r="24" spans="1:5">
      <c r="A24" s="200" t="s">
        <v>145</v>
      </c>
      <c r="B24" s="208">
        <f>($B$21-$B$18)*0.5</f>
        <v>3463193.3852122384</v>
      </c>
    </row>
    <row r="25" spans="1:5" ht="13.8" thickBot="1">
      <c r="A25" s="201" t="s">
        <v>146</v>
      </c>
      <c r="B25" s="209">
        <f>($B$21-$B$18)*0.5</f>
        <v>3463193.3852122384</v>
      </c>
    </row>
  </sheetData>
  <mergeCells count="5">
    <mergeCell ref="A21:A22"/>
    <mergeCell ref="B21:B22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100"/>
  <sheetViews>
    <sheetView workbookViewId="0">
      <selection activeCell="C13" sqref="C13"/>
    </sheetView>
  </sheetViews>
  <sheetFormatPr baseColWidth="10" defaultColWidth="9.6640625" defaultRowHeight="13.2"/>
  <cols>
    <col min="1" max="1" width="31" style="22" customWidth="1"/>
    <col min="2" max="2" width="15" style="22" customWidth="1"/>
    <col min="3" max="3" width="16.109375" style="22" customWidth="1"/>
    <col min="4" max="4" width="17.6640625" style="163" bestFit="1" customWidth="1"/>
    <col min="5" max="6" width="9.6640625" style="22"/>
    <col min="7" max="7" width="28.88671875" style="22" customWidth="1"/>
    <col min="8" max="8" width="12.44140625" style="22" customWidth="1"/>
    <col min="9" max="9" width="14.44140625" style="22" customWidth="1"/>
    <col min="10" max="16384" width="9.6640625" style="22"/>
  </cols>
  <sheetData>
    <row r="1" spans="1:7">
      <c r="A1" s="363" t="s">
        <v>84</v>
      </c>
      <c r="B1" s="363"/>
      <c r="C1" s="363"/>
      <c r="D1" s="363"/>
      <c r="E1" s="158"/>
      <c r="F1" s="158"/>
      <c r="G1" s="158"/>
    </row>
    <row r="2" spans="1:7">
      <c r="A2" s="363" t="s">
        <v>85</v>
      </c>
      <c r="B2" s="363"/>
      <c r="C2" s="363"/>
      <c r="D2" s="363"/>
      <c r="E2" s="158"/>
      <c r="F2" s="158"/>
      <c r="G2" s="158"/>
    </row>
    <row r="3" spans="1:7" ht="28.5" customHeight="1">
      <c r="A3" s="364" t="s">
        <v>173</v>
      </c>
      <c r="B3" s="364"/>
      <c r="C3" s="364"/>
      <c r="D3" s="364"/>
      <c r="E3" s="158"/>
      <c r="F3" s="158"/>
      <c r="G3" s="158"/>
    </row>
    <row r="4" spans="1:7">
      <c r="A4" s="371"/>
      <c r="B4" s="371"/>
      <c r="C4" s="371"/>
      <c r="D4" s="371"/>
    </row>
    <row r="5" spans="1:7" ht="24.6">
      <c r="A5" s="69" t="s">
        <v>137</v>
      </c>
      <c r="B5" s="372">
        <f>'Part. 2022 Mes'!B31</f>
        <v>35144632.013256952</v>
      </c>
      <c r="C5" s="372"/>
      <c r="D5" s="159"/>
    </row>
    <row r="6" spans="1:7" ht="18" thickBot="1">
      <c r="B6" s="370"/>
      <c r="C6" s="370"/>
      <c r="D6" s="160"/>
    </row>
    <row r="7" spans="1:7" ht="27" thickBot="1">
      <c r="A7" s="161" t="s">
        <v>0</v>
      </c>
      <c r="B7" s="161" t="s">
        <v>138</v>
      </c>
      <c r="C7" s="161" t="s">
        <v>139</v>
      </c>
      <c r="D7" s="162" t="s">
        <v>140</v>
      </c>
    </row>
    <row r="9" spans="1:7">
      <c r="A9" s="69" t="s">
        <v>128</v>
      </c>
      <c r="B9" s="69">
        <f>$B$5*0.6</f>
        <v>21086779.207954172</v>
      </c>
    </row>
    <row r="10" spans="1:7">
      <c r="A10" s="69" t="s">
        <v>141</v>
      </c>
      <c r="B10" s="69">
        <f>B9*2.56%</f>
        <v>539821.54772362683</v>
      </c>
    </row>
    <row r="11" spans="1:7">
      <c r="A11" s="69" t="s">
        <v>142</v>
      </c>
      <c r="B11" s="69">
        <f>B9-B25</f>
        <v>14608920.635270651</v>
      </c>
    </row>
    <row r="12" spans="1:7" ht="13.8" thickBot="1"/>
    <row r="13" spans="1:7" ht="13.8" thickTop="1">
      <c r="A13" s="164" t="s">
        <v>6</v>
      </c>
      <c r="B13" s="165">
        <f t="shared" ref="B13:B23" si="0">$B$10</f>
        <v>539821.54772362683</v>
      </c>
      <c r="C13" s="166">
        <f>$B$11*VLOOKUP(A13,'Datos Mun'!$A$5:$AL$55,37,FALSE)</f>
        <v>1469798.9456468271</v>
      </c>
      <c r="D13" s="167">
        <f>ROUND(B13+C13,2)</f>
        <v>2009620.49</v>
      </c>
    </row>
    <row r="14" spans="1:7">
      <c r="A14" s="168" t="s">
        <v>9</v>
      </c>
      <c r="B14" s="169">
        <f t="shared" si="0"/>
        <v>539821.54772362683</v>
      </c>
      <c r="C14" s="170">
        <f>$B$11*VLOOKUP(A14,'Datos Mun'!$A$5:$AL$55,37,FALSE)</f>
        <v>235572.17949644412</v>
      </c>
      <c r="D14" s="171">
        <f t="shared" ref="D14:D24" si="1">ROUND(B14+C14,2)</f>
        <v>775393.73</v>
      </c>
    </row>
    <row r="15" spans="1:7">
      <c r="A15" s="168" t="s">
        <v>18</v>
      </c>
      <c r="B15" s="169">
        <f t="shared" si="0"/>
        <v>539821.54772362683</v>
      </c>
      <c r="C15" s="170">
        <f>$B$11*VLOOKUP(A15,'Datos Mun'!$A$5:$AL$55,37,FALSE)</f>
        <v>669981.38966279698</v>
      </c>
      <c r="D15" s="171">
        <f t="shared" si="1"/>
        <v>1209802.94</v>
      </c>
    </row>
    <row r="16" spans="1:7">
      <c r="A16" s="168" t="s">
        <v>20</v>
      </c>
      <c r="B16" s="169">
        <f t="shared" si="0"/>
        <v>539821.54772362683</v>
      </c>
      <c r="C16" s="170">
        <f>$B$11*VLOOKUP(A16,'Datos Mun'!$A$5:$AL$55,37,FALSE)</f>
        <v>960872.39166152838</v>
      </c>
      <c r="D16" s="171">
        <f t="shared" si="1"/>
        <v>1500693.94</v>
      </c>
    </row>
    <row r="17" spans="1:4">
      <c r="A17" s="168" t="s">
        <v>25</v>
      </c>
      <c r="B17" s="169">
        <f t="shared" si="0"/>
        <v>539821.54772362683</v>
      </c>
      <c r="C17" s="170">
        <f>$B$11*VLOOKUP(A17,'Datos Mun'!$A$5:$AL$55,37,FALSE)</f>
        <v>1133077.1256787609</v>
      </c>
      <c r="D17" s="171">
        <f t="shared" si="1"/>
        <v>1672898.67</v>
      </c>
    </row>
    <row r="18" spans="1:4">
      <c r="A18" s="168" t="s">
        <v>31</v>
      </c>
      <c r="B18" s="169">
        <f t="shared" si="0"/>
        <v>539821.54772362683</v>
      </c>
      <c r="C18" s="170">
        <f>$B$11*VLOOKUP(A18,'Datos Mun'!$A$5:$AL$55,37,FALSE)</f>
        <v>824953.31057270861</v>
      </c>
      <c r="D18" s="171">
        <f t="shared" si="1"/>
        <v>1364774.86</v>
      </c>
    </row>
    <row r="19" spans="1:4">
      <c r="A19" s="168" t="s">
        <v>39</v>
      </c>
      <c r="B19" s="169">
        <f t="shared" si="0"/>
        <v>539821.54772362683</v>
      </c>
      <c r="C19" s="170">
        <f>$B$11*VLOOKUP(A19,'Datos Mun'!$A$5:$AL$55,37,FALSE)</f>
        <v>4874404.8312904043</v>
      </c>
      <c r="D19" s="171">
        <f t="shared" si="1"/>
        <v>5414226.3799999999</v>
      </c>
    </row>
    <row r="20" spans="1:4">
      <c r="A20" s="168" t="s">
        <v>45</v>
      </c>
      <c r="B20" s="169">
        <f t="shared" si="0"/>
        <v>539821.54772362683</v>
      </c>
      <c r="C20" s="170">
        <f>$B$11*VLOOKUP(A20,'Datos Mun'!$A$5:$AL$55,37,FALSE)</f>
        <v>175806.91284385897</v>
      </c>
      <c r="D20" s="171">
        <f t="shared" si="1"/>
        <v>715628.46</v>
      </c>
    </row>
    <row r="21" spans="1:4">
      <c r="A21" s="168" t="s">
        <v>46</v>
      </c>
      <c r="B21" s="169">
        <f t="shared" si="0"/>
        <v>539821.54772362683</v>
      </c>
      <c r="C21" s="170">
        <f>$B$11*VLOOKUP(A21,'Datos Mun'!$A$5:$AL$55,37,FALSE)</f>
        <v>1158820.0023159892</v>
      </c>
      <c r="D21" s="171">
        <f t="shared" si="1"/>
        <v>1698641.55</v>
      </c>
    </row>
    <row r="22" spans="1:4">
      <c r="A22" s="168" t="s">
        <v>47</v>
      </c>
      <c r="B22" s="169">
        <f t="shared" si="0"/>
        <v>539821.54772362683</v>
      </c>
      <c r="C22" s="170">
        <f>$B$11*VLOOKUP(A22,'Datos Mun'!$A$5:$AL$55,37,FALSE)</f>
        <v>2210345.186411534</v>
      </c>
      <c r="D22" s="171">
        <f t="shared" si="1"/>
        <v>2750166.73</v>
      </c>
    </row>
    <row r="23" spans="1:4">
      <c r="A23" s="168" t="s">
        <v>48</v>
      </c>
      <c r="B23" s="169">
        <f t="shared" si="0"/>
        <v>539821.54772362683</v>
      </c>
      <c r="C23" s="170">
        <f>$B$11*VLOOKUP(A23,'Datos Mun'!$A$5:$AL$55,37,FALSE)</f>
        <v>620297.90045551001</v>
      </c>
      <c r="D23" s="171">
        <f t="shared" si="1"/>
        <v>1160119.45</v>
      </c>
    </row>
    <row r="24" spans="1:4">
      <c r="A24" s="168" t="s">
        <v>49</v>
      </c>
      <c r="B24" s="169">
        <f>$B$10</f>
        <v>539821.54772362683</v>
      </c>
      <c r="C24" s="170">
        <f>$B$11*VLOOKUP(A24,'Datos Mun'!$A$5:$AL$55,37,FALSE)</f>
        <v>274990.45923429012</v>
      </c>
      <c r="D24" s="171">
        <f t="shared" si="1"/>
        <v>814812.01</v>
      </c>
    </row>
    <row r="25" spans="1:4" ht="13.8" thickBot="1">
      <c r="A25" s="172" t="s">
        <v>129</v>
      </c>
      <c r="B25" s="173">
        <f>SUM(B13:B24)</f>
        <v>6477858.5726835215</v>
      </c>
      <c r="C25" s="174">
        <f>SUM(C13:C24)</f>
        <v>14608920.635270651</v>
      </c>
      <c r="D25" s="175">
        <f>SUM(D13:D24)</f>
        <v>21086779.210000001</v>
      </c>
    </row>
    <row r="26" spans="1:4" ht="13.8" thickTop="1">
      <c r="A26" s="176"/>
      <c r="B26" s="177"/>
      <c r="C26" s="178"/>
      <c r="D26" s="179"/>
    </row>
    <row r="27" spans="1:4">
      <c r="A27" s="180" t="s">
        <v>130</v>
      </c>
      <c r="B27" s="181">
        <f>$B$5*0.4</f>
        <v>14057852.805302782</v>
      </c>
      <c r="C27" s="182"/>
      <c r="D27" s="183"/>
    </row>
    <row r="28" spans="1:4">
      <c r="A28" s="180" t="s">
        <v>143</v>
      </c>
      <c r="B28" s="181">
        <f>B27*1.28%</f>
        <v>179940.51590787561</v>
      </c>
      <c r="C28" s="182"/>
      <c r="D28" s="183"/>
    </row>
    <row r="29" spans="1:4">
      <c r="A29" s="180" t="s">
        <v>142</v>
      </c>
      <c r="B29" s="180">
        <f>B27-B70</f>
        <v>7040172.6848956365</v>
      </c>
      <c r="C29" s="182"/>
      <c r="D29" s="183"/>
    </row>
    <row r="30" spans="1:4" ht="13.5" customHeight="1" thickBot="1">
      <c r="A30" s="184"/>
      <c r="B30" s="185"/>
      <c r="C30" s="186"/>
      <c r="D30" s="187"/>
    </row>
    <row r="31" spans="1:4" ht="13.8" thickTop="1">
      <c r="A31" s="164" t="s">
        <v>1</v>
      </c>
      <c r="B31" s="165">
        <f>$B$28</f>
        <v>179940.51590787561</v>
      </c>
      <c r="C31" s="166">
        <f>$B$29*VLOOKUP(A31,'Datos Mun'!$A$5:$AL$55,37,FALSE)</f>
        <v>32142.247784322521</v>
      </c>
      <c r="D31" s="167">
        <f>ROUND(B31+C31,2)</f>
        <v>212082.76</v>
      </c>
    </row>
    <row r="32" spans="1:4">
      <c r="A32" s="168" t="s">
        <v>2</v>
      </c>
      <c r="B32" s="169">
        <f t="shared" ref="B32:B69" si="2">$B$28</f>
        <v>179940.51590787561</v>
      </c>
      <c r="C32" s="170">
        <f>$B$29*VLOOKUP(A32,'Datos Mun'!$A$5:$AL$55,37,FALSE)</f>
        <v>58410.727648437234</v>
      </c>
      <c r="D32" s="171">
        <f t="shared" ref="D32:D69" si="3">ROUND(B32+C32,2)</f>
        <v>238351.24</v>
      </c>
    </row>
    <row r="33" spans="1:4">
      <c r="A33" s="168" t="s">
        <v>3</v>
      </c>
      <c r="B33" s="169">
        <f t="shared" si="2"/>
        <v>179940.51590787561</v>
      </c>
      <c r="C33" s="170">
        <f>$B$29*VLOOKUP(A33,'Datos Mun'!$A$5:$AL$55,37,FALSE)</f>
        <v>72061.812136617402</v>
      </c>
      <c r="D33" s="171">
        <f t="shared" si="3"/>
        <v>252002.33</v>
      </c>
    </row>
    <row r="34" spans="1:4">
      <c r="A34" s="168" t="s">
        <v>4</v>
      </c>
      <c r="B34" s="169">
        <f t="shared" si="2"/>
        <v>179940.51590787561</v>
      </c>
      <c r="C34" s="170">
        <f>$B$29*VLOOKUP(A34,'Datos Mun'!$A$5:$AL$55,37,FALSE)</f>
        <v>279787.58131959499</v>
      </c>
      <c r="D34" s="171">
        <f t="shared" si="3"/>
        <v>459728.1</v>
      </c>
    </row>
    <row r="35" spans="1:4">
      <c r="A35" s="168" t="s">
        <v>5</v>
      </c>
      <c r="B35" s="169">
        <f t="shared" si="2"/>
        <v>179940.51590787561</v>
      </c>
      <c r="C35" s="170">
        <f>$B$29*VLOOKUP(A35,'Datos Mun'!$A$5:$AL$55,37,FALSE)</f>
        <v>229266.59174504309</v>
      </c>
      <c r="D35" s="171">
        <f t="shared" si="3"/>
        <v>409207.11</v>
      </c>
    </row>
    <row r="36" spans="1:4">
      <c r="A36" s="168" t="s">
        <v>7</v>
      </c>
      <c r="B36" s="169">
        <f t="shared" si="2"/>
        <v>179940.51590787561</v>
      </c>
      <c r="C36" s="170">
        <f>$B$29*VLOOKUP(A36,'Datos Mun'!$A$5:$AL$55,37,FALSE)</f>
        <v>210319.48236239335</v>
      </c>
      <c r="D36" s="171">
        <f t="shared" si="3"/>
        <v>390260</v>
      </c>
    </row>
    <row r="37" spans="1:4">
      <c r="A37" s="168" t="s">
        <v>8</v>
      </c>
      <c r="B37" s="169">
        <f t="shared" si="2"/>
        <v>179940.51590787561</v>
      </c>
      <c r="C37" s="170">
        <f>$B$29*VLOOKUP(A37,'Datos Mun'!$A$5:$AL$55,37,FALSE)</f>
        <v>60980.55823133338</v>
      </c>
      <c r="D37" s="171">
        <f t="shared" si="3"/>
        <v>240921.07</v>
      </c>
    </row>
    <row r="38" spans="1:4">
      <c r="A38" s="168" t="s">
        <v>10</v>
      </c>
      <c r="B38" s="169">
        <f t="shared" si="2"/>
        <v>179940.51590787561</v>
      </c>
      <c r="C38" s="170">
        <f>$B$29*VLOOKUP(A38,'Datos Mun'!$A$5:$AL$55,37,FALSE)</f>
        <v>429502.91756173148</v>
      </c>
      <c r="D38" s="171">
        <f t="shared" si="3"/>
        <v>609443.43000000005</v>
      </c>
    </row>
    <row r="39" spans="1:4">
      <c r="A39" s="168" t="s">
        <v>189</v>
      </c>
      <c r="B39" s="169">
        <f t="shared" si="2"/>
        <v>179940.51590787561</v>
      </c>
      <c r="C39" s="170">
        <f>$B$29*VLOOKUP(A39,'Datos Mun'!$A$5:$AL$55,37,FALSE)</f>
        <v>159781.33095723775</v>
      </c>
      <c r="D39" s="171">
        <f t="shared" si="3"/>
        <v>339721.85</v>
      </c>
    </row>
    <row r="40" spans="1:4">
      <c r="A40" s="168" t="s">
        <v>12</v>
      </c>
      <c r="B40" s="169">
        <f t="shared" si="2"/>
        <v>179940.51590787561</v>
      </c>
      <c r="C40" s="170">
        <f>$B$29*VLOOKUP(A40,'Datos Mun'!$A$5:$AL$55,37,FALSE)</f>
        <v>208239.06998445481</v>
      </c>
      <c r="D40" s="171">
        <f t="shared" si="3"/>
        <v>388179.59</v>
      </c>
    </row>
    <row r="41" spans="1:4">
      <c r="A41" s="168" t="s">
        <v>13</v>
      </c>
      <c r="B41" s="169">
        <f t="shared" si="2"/>
        <v>179940.51590787561</v>
      </c>
      <c r="C41" s="170">
        <f>$B$29*VLOOKUP(A41,'Datos Mun'!$A$5:$AL$55,37,FALSE)</f>
        <v>319642.61841590219</v>
      </c>
      <c r="D41" s="171">
        <f t="shared" si="3"/>
        <v>499583.13</v>
      </c>
    </row>
    <row r="42" spans="1:4">
      <c r="A42" s="168" t="s">
        <v>14</v>
      </c>
      <c r="B42" s="169">
        <f t="shared" si="2"/>
        <v>179940.51590787561</v>
      </c>
      <c r="C42" s="170">
        <f>$B$29*VLOOKUP(A42,'Datos Mun'!$A$5:$AL$55,37,FALSE)</f>
        <v>465637.52598463843</v>
      </c>
      <c r="D42" s="171">
        <f t="shared" si="3"/>
        <v>645578.04</v>
      </c>
    </row>
    <row r="43" spans="1:4">
      <c r="A43" s="168" t="s">
        <v>15</v>
      </c>
      <c r="B43" s="169">
        <f t="shared" si="2"/>
        <v>179940.51590787561</v>
      </c>
      <c r="C43" s="170">
        <f>$B$29*VLOOKUP(A43,'Datos Mun'!$A$5:$AL$55,37,FALSE)</f>
        <v>67436.403152279934</v>
      </c>
      <c r="D43" s="171">
        <f t="shared" si="3"/>
        <v>247376.92</v>
      </c>
    </row>
    <row r="44" spans="1:4">
      <c r="A44" s="168" t="s">
        <v>16</v>
      </c>
      <c r="B44" s="169">
        <f t="shared" si="2"/>
        <v>179940.51590787561</v>
      </c>
      <c r="C44" s="170">
        <f>$B$29*VLOOKUP(A44,'Datos Mun'!$A$5:$AL$55,37,FALSE)</f>
        <v>48686.511367258165</v>
      </c>
      <c r="D44" s="171">
        <f t="shared" si="3"/>
        <v>228627.03</v>
      </c>
    </row>
    <row r="45" spans="1:4">
      <c r="A45" s="168" t="s">
        <v>17</v>
      </c>
      <c r="B45" s="169">
        <f t="shared" si="2"/>
        <v>179940.51590787561</v>
      </c>
      <c r="C45" s="170">
        <f>$B$29*VLOOKUP(A45,'Datos Mun'!$A$5:$AL$55,37,FALSE)</f>
        <v>434689.63706431078</v>
      </c>
      <c r="D45" s="171">
        <f t="shared" si="3"/>
        <v>614630.15</v>
      </c>
    </row>
    <row r="46" spans="1:4">
      <c r="A46" s="168" t="s">
        <v>19</v>
      </c>
      <c r="B46" s="169">
        <f t="shared" si="2"/>
        <v>179940.51590787561</v>
      </c>
      <c r="C46" s="170">
        <f>$B$29*VLOOKUP(A46,'Datos Mun'!$A$5:$AL$55,37,FALSE)</f>
        <v>149231.20610560244</v>
      </c>
      <c r="D46" s="171">
        <f t="shared" si="3"/>
        <v>329171.71999999997</v>
      </c>
    </row>
    <row r="47" spans="1:4">
      <c r="A47" s="168" t="s">
        <v>21</v>
      </c>
      <c r="B47" s="169">
        <f t="shared" si="2"/>
        <v>179940.51590787561</v>
      </c>
      <c r="C47" s="170">
        <f>$B$29*VLOOKUP(A47,'Datos Mun'!$A$5:$AL$55,37,FALSE)</f>
        <v>201234.78341311208</v>
      </c>
      <c r="D47" s="171">
        <f t="shared" si="3"/>
        <v>381175.3</v>
      </c>
    </row>
    <row r="48" spans="1:4">
      <c r="A48" s="168" t="s">
        <v>22</v>
      </c>
      <c r="B48" s="169">
        <f t="shared" si="2"/>
        <v>179940.51590787561</v>
      </c>
      <c r="C48" s="170">
        <f>$B$29*VLOOKUP(A48,'Datos Mun'!$A$5:$AL$55,37,FALSE)</f>
        <v>39445.62984420047</v>
      </c>
      <c r="D48" s="171">
        <f t="shared" si="3"/>
        <v>219386.15</v>
      </c>
    </row>
    <row r="49" spans="1:4">
      <c r="A49" s="168" t="s">
        <v>23</v>
      </c>
      <c r="B49" s="169">
        <f t="shared" si="2"/>
        <v>179940.51590787561</v>
      </c>
      <c r="C49" s="170">
        <f>$B$29*VLOOKUP(A49,'Datos Mun'!$A$5:$AL$55,37,FALSE)</f>
        <v>112832.26356823307</v>
      </c>
      <c r="D49" s="171">
        <f t="shared" si="3"/>
        <v>292772.78000000003</v>
      </c>
    </row>
    <row r="50" spans="1:4">
      <c r="A50" s="168" t="s">
        <v>24</v>
      </c>
      <c r="B50" s="169">
        <f t="shared" si="2"/>
        <v>179940.51590787561</v>
      </c>
      <c r="C50" s="170">
        <f>$B$29*VLOOKUP(A50,'Datos Mun'!$A$5:$AL$55,37,FALSE)</f>
        <v>417726.73097103275</v>
      </c>
      <c r="D50" s="171">
        <f t="shared" si="3"/>
        <v>597667.25</v>
      </c>
    </row>
    <row r="51" spans="1:4">
      <c r="A51" s="168" t="s">
        <v>26</v>
      </c>
      <c r="B51" s="169">
        <f t="shared" si="2"/>
        <v>179940.51590787561</v>
      </c>
      <c r="C51" s="170">
        <f>$B$29*VLOOKUP(A51,'Datos Mun'!$A$5:$AL$55,37,FALSE)</f>
        <v>41113.666296500473</v>
      </c>
      <c r="D51" s="171">
        <f t="shared" si="3"/>
        <v>221054.18</v>
      </c>
    </row>
    <row r="52" spans="1:4">
      <c r="A52" s="168" t="s">
        <v>27</v>
      </c>
      <c r="B52" s="169">
        <f t="shared" si="2"/>
        <v>179940.51590787561</v>
      </c>
      <c r="C52" s="170">
        <f>$B$29*VLOOKUP(A52,'Datos Mun'!$A$5:$AL$55,37,FALSE)</f>
        <v>78067.54755618608</v>
      </c>
      <c r="D52" s="171">
        <f t="shared" si="3"/>
        <v>258008.06</v>
      </c>
    </row>
    <row r="53" spans="1:4">
      <c r="A53" s="168" t="s">
        <v>28</v>
      </c>
      <c r="B53" s="169">
        <f t="shared" si="2"/>
        <v>179940.51590787561</v>
      </c>
      <c r="C53" s="170">
        <f>$B$29*VLOOKUP(A53,'Datos Mun'!$A$5:$AL$55,37,FALSE)</f>
        <v>58971.652113209013</v>
      </c>
      <c r="D53" s="171">
        <f t="shared" si="3"/>
        <v>238912.17</v>
      </c>
    </row>
    <row r="54" spans="1:4">
      <c r="A54" s="168" t="s">
        <v>29</v>
      </c>
      <c r="B54" s="169">
        <f t="shared" si="2"/>
        <v>179940.51590787561</v>
      </c>
      <c r="C54" s="170">
        <f>$B$29*VLOOKUP(A54,'Datos Mun'!$A$5:$AL$55,37,FALSE)</f>
        <v>68928.396033954603</v>
      </c>
      <c r="D54" s="171">
        <f t="shared" si="3"/>
        <v>248868.91</v>
      </c>
    </row>
    <row r="55" spans="1:4">
      <c r="A55" s="168" t="s">
        <v>30</v>
      </c>
      <c r="B55" s="169">
        <f t="shared" si="2"/>
        <v>179940.51590787561</v>
      </c>
      <c r="C55" s="170">
        <f>$B$29*VLOOKUP(A55,'Datos Mun'!$A$5:$AL$55,37,FALSE)</f>
        <v>71911.010342476831</v>
      </c>
      <c r="D55" s="171">
        <f t="shared" si="3"/>
        <v>251851.53</v>
      </c>
    </row>
    <row r="56" spans="1:4">
      <c r="A56" s="168" t="s">
        <v>32</v>
      </c>
      <c r="B56" s="169">
        <f t="shared" si="2"/>
        <v>179940.51590787561</v>
      </c>
      <c r="C56" s="170">
        <f>$B$29*VLOOKUP(A56,'Datos Mun'!$A$5:$AL$55,37,FALSE)</f>
        <v>171001.31613758914</v>
      </c>
      <c r="D56" s="171">
        <f t="shared" si="3"/>
        <v>350941.83</v>
      </c>
    </row>
    <row r="57" spans="1:4">
      <c r="A57" s="168" t="s">
        <v>33</v>
      </c>
      <c r="B57" s="169">
        <f t="shared" si="2"/>
        <v>179940.51590787561</v>
      </c>
      <c r="C57" s="170">
        <f>$B$29*VLOOKUP(A57,'Datos Mun'!$A$5:$AL$55,37,FALSE)</f>
        <v>478619.20364382141</v>
      </c>
      <c r="D57" s="171">
        <f t="shared" si="3"/>
        <v>658559.72</v>
      </c>
    </row>
    <row r="58" spans="1:4">
      <c r="A58" s="168" t="s">
        <v>34</v>
      </c>
      <c r="B58" s="169">
        <f t="shared" si="2"/>
        <v>179940.51590787561</v>
      </c>
      <c r="C58" s="170">
        <f>$B$29*VLOOKUP(A58,'Datos Mun'!$A$5:$AL$55,37,FALSE)</f>
        <v>87078.187013605697</v>
      </c>
      <c r="D58" s="171">
        <f t="shared" si="3"/>
        <v>267018.7</v>
      </c>
    </row>
    <row r="59" spans="1:4">
      <c r="A59" s="168" t="s">
        <v>35</v>
      </c>
      <c r="B59" s="169">
        <f t="shared" si="2"/>
        <v>179940.51590787561</v>
      </c>
      <c r="C59" s="170">
        <f>$B$29*VLOOKUP(A59,'Datos Mun'!$A$5:$AL$55,37,FALSE)</f>
        <v>15955.383422324341</v>
      </c>
      <c r="D59" s="171">
        <f t="shared" si="3"/>
        <v>195895.9</v>
      </c>
    </row>
    <row r="60" spans="1:4">
      <c r="A60" s="168" t="s">
        <v>36</v>
      </c>
      <c r="B60" s="169">
        <f t="shared" si="2"/>
        <v>179940.51590787561</v>
      </c>
      <c r="C60" s="170">
        <f>$B$29*VLOOKUP(A60,'Datos Mun'!$A$5:$AL$55,37,FALSE)</f>
        <v>124257.91097607285</v>
      </c>
      <c r="D60" s="171">
        <f t="shared" si="3"/>
        <v>304198.43</v>
      </c>
    </row>
    <row r="61" spans="1:4">
      <c r="A61" s="168" t="s">
        <v>37</v>
      </c>
      <c r="B61" s="169">
        <f t="shared" si="2"/>
        <v>179940.51590787561</v>
      </c>
      <c r="C61" s="170">
        <f>$B$29*VLOOKUP(A61,'Datos Mun'!$A$5:$AL$55,37,FALSE)</f>
        <v>162248.39194343751</v>
      </c>
      <c r="D61" s="171">
        <f t="shared" si="3"/>
        <v>342188.91</v>
      </c>
    </row>
    <row r="62" spans="1:4">
      <c r="A62" s="168" t="s">
        <v>38</v>
      </c>
      <c r="B62" s="169">
        <f t="shared" si="2"/>
        <v>179940.51590787561</v>
      </c>
      <c r="C62" s="170">
        <f>$B$29*VLOOKUP(A62,'Datos Mun'!$A$5:$AL$55,37,FALSE)</f>
        <v>371566.63716450153</v>
      </c>
      <c r="D62" s="171">
        <f t="shared" si="3"/>
        <v>551507.15</v>
      </c>
    </row>
    <row r="63" spans="1:4">
      <c r="A63" s="168" t="s">
        <v>40</v>
      </c>
      <c r="B63" s="169">
        <f t="shared" si="2"/>
        <v>179940.51590787561</v>
      </c>
      <c r="C63" s="170">
        <f>$B$29*VLOOKUP(A63,'Datos Mun'!$A$5:$AL$55,37,FALSE)</f>
        <v>81581.31087369188</v>
      </c>
      <c r="D63" s="171">
        <f t="shared" si="3"/>
        <v>261521.83</v>
      </c>
    </row>
    <row r="64" spans="1:4">
      <c r="A64" s="168" t="s">
        <v>41</v>
      </c>
      <c r="B64" s="169">
        <f t="shared" si="2"/>
        <v>179940.51590787561</v>
      </c>
      <c r="C64" s="170">
        <f>$B$29*VLOOKUP(A64,'Datos Mun'!$A$5:$AL$55,37,FALSE)</f>
        <v>597833.19380391552</v>
      </c>
      <c r="D64" s="171">
        <f t="shared" si="3"/>
        <v>777773.71</v>
      </c>
    </row>
    <row r="65" spans="1:4">
      <c r="A65" s="168" t="s">
        <v>42</v>
      </c>
      <c r="B65" s="169">
        <f t="shared" si="2"/>
        <v>179940.51590787561</v>
      </c>
      <c r="C65" s="170">
        <f>$B$29*VLOOKUP(A65,'Datos Mun'!$A$5:$AL$55,37,FALSE)</f>
        <v>91392.766660238471</v>
      </c>
      <c r="D65" s="171">
        <f t="shared" si="3"/>
        <v>271333.28000000003</v>
      </c>
    </row>
    <row r="66" spans="1:4">
      <c r="A66" s="168" t="s">
        <v>43</v>
      </c>
      <c r="B66" s="169">
        <f t="shared" si="2"/>
        <v>179940.51590787561</v>
      </c>
      <c r="C66" s="170">
        <f>$B$29*VLOOKUP(A66,'Datos Mun'!$A$5:$AL$55,37,FALSE)</f>
        <v>84339.912329257117</v>
      </c>
      <c r="D66" s="171">
        <f t="shared" si="3"/>
        <v>264280.43</v>
      </c>
    </row>
    <row r="67" spans="1:4">
      <c r="A67" s="168" t="s">
        <v>44</v>
      </c>
      <c r="B67" s="169">
        <f t="shared" si="2"/>
        <v>179940.51590787561</v>
      </c>
      <c r="C67" s="170">
        <f>$B$29*VLOOKUP(A67,'Datos Mun'!$A$5:$AL$55,37,FALSE)</f>
        <v>222907.73468487198</v>
      </c>
      <c r="D67" s="171">
        <f t="shared" si="3"/>
        <v>402848.25</v>
      </c>
    </row>
    <row r="68" spans="1:4">
      <c r="A68" s="168" t="s">
        <v>50</v>
      </c>
      <c r="B68" s="169">
        <f t="shared" si="2"/>
        <v>179940.51590787561</v>
      </c>
      <c r="C68" s="170">
        <f>$B$29*VLOOKUP(A68,'Datos Mun'!$A$5:$AL$55,37,FALSE)</f>
        <v>126926.95743174593</v>
      </c>
      <c r="D68" s="171">
        <f t="shared" si="3"/>
        <v>306867.46999999997</v>
      </c>
    </row>
    <row r="69" spans="1:4" ht="15.75" customHeight="1">
      <c r="A69" s="168" t="s">
        <v>51</v>
      </c>
      <c r="B69" s="169">
        <f t="shared" si="2"/>
        <v>179940.51590787561</v>
      </c>
      <c r="C69" s="170">
        <f>$B$29*VLOOKUP(A69,'Datos Mun'!$A$5:$AL$55,37,FALSE)</f>
        <v>108415.87685049785</v>
      </c>
      <c r="D69" s="171">
        <f t="shared" si="3"/>
        <v>288356.39</v>
      </c>
    </row>
    <row r="70" spans="1:4">
      <c r="A70" s="188" t="s">
        <v>129</v>
      </c>
      <c r="B70" s="173">
        <f>SUM(B31:B69)</f>
        <v>7017680.1204071455</v>
      </c>
      <c r="C70" s="174">
        <f>SUM(C31:C69)</f>
        <v>7040172.6848956347</v>
      </c>
      <c r="D70" s="175">
        <f>SUM(D31:D69)</f>
        <v>14057852.800000001</v>
      </c>
    </row>
    <row r="71" spans="1:4" ht="14.4" thickBot="1">
      <c r="A71" s="189" t="s">
        <v>52</v>
      </c>
      <c r="B71" s="190">
        <f>+B70+B25</f>
        <v>13495538.693090666</v>
      </c>
      <c r="C71" s="191">
        <f>+C70+C25</f>
        <v>21649093.320166286</v>
      </c>
      <c r="D71" s="192">
        <f>+D70+D25</f>
        <v>35144632.010000005</v>
      </c>
    </row>
    <row r="72" spans="1:4" ht="13.8" thickTop="1">
      <c r="C72" s="193"/>
    </row>
    <row r="73" spans="1:4">
      <c r="C73" s="193"/>
    </row>
    <row r="74" spans="1:4">
      <c r="C74" s="193"/>
    </row>
    <row r="75" spans="1:4">
      <c r="C75" s="193"/>
    </row>
    <row r="76" spans="1:4">
      <c r="C76" s="193"/>
    </row>
    <row r="77" spans="1:4">
      <c r="C77" s="193"/>
    </row>
    <row r="78" spans="1:4">
      <c r="C78" s="193"/>
    </row>
    <row r="79" spans="1:4">
      <c r="C79" s="193"/>
    </row>
    <row r="80" spans="1:4">
      <c r="C80" s="193"/>
    </row>
    <row r="81" spans="3:3" s="163" customFormat="1">
      <c r="C81" s="193"/>
    </row>
    <row r="82" spans="3:3" s="163" customFormat="1">
      <c r="C82" s="193"/>
    </row>
    <row r="83" spans="3:3" s="163" customFormat="1">
      <c r="C83" s="193"/>
    </row>
    <row r="84" spans="3:3" s="163" customFormat="1">
      <c r="C84" s="193"/>
    </row>
    <row r="85" spans="3:3" s="163" customFormat="1">
      <c r="C85" s="193"/>
    </row>
    <row r="86" spans="3:3" s="163" customFormat="1">
      <c r="C86" s="193"/>
    </row>
    <row r="87" spans="3:3" s="163" customFormat="1">
      <c r="C87" s="193"/>
    </row>
    <row r="88" spans="3:3" s="163" customFormat="1">
      <c r="C88" s="193"/>
    </row>
    <row r="89" spans="3:3" s="163" customFormat="1">
      <c r="C89" s="193"/>
    </row>
    <row r="90" spans="3:3" s="163" customFormat="1">
      <c r="C90" s="193"/>
    </row>
    <row r="91" spans="3:3" s="163" customFormat="1">
      <c r="C91" s="193"/>
    </row>
    <row r="92" spans="3:3" s="163" customFormat="1">
      <c r="C92" s="193"/>
    </row>
    <row r="93" spans="3:3" s="163" customFormat="1">
      <c r="C93" s="193"/>
    </row>
    <row r="94" spans="3:3" s="163" customFormat="1">
      <c r="C94" s="193"/>
    </row>
    <row r="95" spans="3:3" s="163" customFormat="1">
      <c r="C95" s="193"/>
    </row>
    <row r="96" spans="3:3" s="163" customFormat="1">
      <c r="C96" s="193"/>
    </row>
    <row r="97" spans="3:3" s="163" customFormat="1">
      <c r="C97" s="193"/>
    </row>
    <row r="98" spans="3:3" s="163" customFormat="1">
      <c r="C98" s="193"/>
    </row>
    <row r="99" spans="3:3" s="163" customFormat="1">
      <c r="C99" s="193"/>
    </row>
    <row r="100" spans="3:3" s="163" customFormat="1">
      <c r="C100" s="193"/>
    </row>
  </sheetData>
  <mergeCells count="6">
    <mergeCell ref="B6:C6"/>
    <mergeCell ref="A1:D1"/>
    <mergeCell ref="A2:D2"/>
    <mergeCell ref="A3:D3"/>
    <mergeCell ref="A4:D4"/>
    <mergeCell ref="B5:C5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96"/>
  <sheetViews>
    <sheetView showGridLines="0" zoomScaleNormal="100" workbookViewId="0">
      <selection activeCell="I25" sqref="I25:J25"/>
    </sheetView>
  </sheetViews>
  <sheetFormatPr baseColWidth="10" defaultColWidth="9.6640625" defaultRowHeight="13.2"/>
  <cols>
    <col min="1" max="1" width="29.44140625" style="120" customWidth="1"/>
    <col min="2" max="3" width="17" style="120" customWidth="1"/>
    <col min="4" max="4" width="13.109375" style="120" customWidth="1"/>
    <col min="5" max="5" width="12.5546875" style="120" customWidth="1"/>
    <col min="6" max="6" width="17" style="126" customWidth="1"/>
    <col min="7" max="7" width="9.6640625" style="120"/>
    <col min="8" max="8" width="27.21875" style="120" bestFit="1" customWidth="1"/>
    <col min="9" max="9" width="11.109375" style="120" bestFit="1" customWidth="1"/>
    <col min="10" max="11" width="10.109375" style="120" bestFit="1" customWidth="1"/>
    <col min="12" max="12" width="27.21875" style="120" bestFit="1" customWidth="1"/>
    <col min="13" max="15" width="11.109375" style="120" bestFit="1" customWidth="1"/>
    <col min="16" max="16384" width="9.6640625" style="120"/>
  </cols>
  <sheetData>
    <row r="1" spans="1:14">
      <c r="A1" s="377" t="s">
        <v>85</v>
      </c>
      <c r="B1" s="377"/>
      <c r="C1" s="377"/>
      <c r="D1" s="377"/>
      <c r="E1" s="377"/>
      <c r="F1" s="377"/>
    </row>
    <row r="2" spans="1:14" ht="37.5" customHeight="1">
      <c r="A2" s="378" t="s">
        <v>174</v>
      </c>
      <c r="B2" s="378"/>
      <c r="C2" s="378"/>
      <c r="D2" s="378"/>
      <c r="E2" s="378"/>
      <c r="F2" s="378"/>
    </row>
    <row r="3" spans="1:14" ht="26.25" customHeight="1">
      <c r="A3" s="121" t="s">
        <v>117</v>
      </c>
      <c r="B3" s="379" t="s">
        <v>118</v>
      </c>
      <c r="C3" s="379"/>
      <c r="D3" s="379" t="s">
        <v>119</v>
      </c>
      <c r="E3" s="379"/>
      <c r="F3" s="122" t="s">
        <v>53</v>
      </c>
    </row>
    <row r="4" spans="1:14">
      <c r="A4" s="123" t="s">
        <v>120</v>
      </c>
      <c r="B4" s="380">
        <f>'Part. 2022 Mes'!B20</f>
        <v>42265439.806792676</v>
      </c>
      <c r="C4" s="380"/>
      <c r="D4" s="381">
        <f>'Part. 2022 Mes'!C20</f>
        <v>14540489.949999999</v>
      </c>
      <c r="E4" s="381"/>
      <c r="F4" s="124">
        <f>SUM(B4:E4)</f>
        <v>56805929.756792679</v>
      </c>
    </row>
    <row r="5" spans="1:14">
      <c r="A5" s="125" t="s">
        <v>121</v>
      </c>
      <c r="B5" s="373">
        <f>3000000/12</f>
        <v>250000</v>
      </c>
      <c r="C5" s="373"/>
      <c r="D5" s="374">
        <f>IF(D4&lt;D6,0,1000000/12)</f>
        <v>83333.333333333328</v>
      </c>
      <c r="E5" s="373"/>
    </row>
    <row r="6" spans="1:14">
      <c r="A6" s="127" t="s">
        <v>122</v>
      </c>
      <c r="B6" s="373">
        <f>B5*51</f>
        <v>12750000</v>
      </c>
      <c r="C6" s="373"/>
      <c r="D6" s="375">
        <f>51000000/12</f>
        <v>4250000</v>
      </c>
      <c r="E6" s="376"/>
    </row>
    <row r="7" spans="1:14">
      <c r="A7" s="127" t="s">
        <v>123</v>
      </c>
      <c r="B7" s="373">
        <f>B4-B6</f>
        <v>29515439.806792676</v>
      </c>
      <c r="C7" s="373"/>
      <c r="D7" s="373">
        <f>IF(D4-D6&lt;0,D4,D4-D6)</f>
        <v>10290489.949999999</v>
      </c>
      <c r="E7" s="373"/>
    </row>
    <row r="8" spans="1:14">
      <c r="A8" s="125" t="s">
        <v>124</v>
      </c>
      <c r="B8" s="373">
        <f>B7*0.6</f>
        <v>17709263.884075604</v>
      </c>
      <c r="C8" s="373"/>
      <c r="D8" s="373">
        <f>D7*0.6</f>
        <v>6174293.9699999997</v>
      </c>
      <c r="E8" s="373"/>
    </row>
    <row r="9" spans="1:14">
      <c r="A9" s="125" t="s">
        <v>125</v>
      </c>
      <c r="B9" s="373">
        <f>B7*0.4</f>
        <v>11806175.922717072</v>
      </c>
      <c r="C9" s="373"/>
      <c r="D9" s="373">
        <f>D7*0.4</f>
        <v>4116195.98</v>
      </c>
      <c r="E9" s="373"/>
      <c r="I9" s="128" t="s">
        <v>96</v>
      </c>
      <c r="J9" s="128" t="s">
        <v>96</v>
      </c>
      <c r="K9" s="128" t="s">
        <v>96</v>
      </c>
    </row>
    <row r="10" spans="1:14" ht="13.8" thickBot="1">
      <c r="A10" s="129"/>
      <c r="B10" s="129"/>
      <c r="C10" s="129"/>
      <c r="D10" s="129"/>
      <c r="E10" s="129"/>
      <c r="I10" s="128" t="s">
        <v>96</v>
      </c>
      <c r="J10" s="128" t="s">
        <v>96</v>
      </c>
      <c r="K10" s="128" t="s">
        <v>96</v>
      </c>
    </row>
    <row r="11" spans="1:14" ht="58.5" customHeight="1" thickBot="1">
      <c r="A11" s="130" t="s">
        <v>0</v>
      </c>
      <c r="B11" s="130" t="s">
        <v>126</v>
      </c>
      <c r="C11" s="130" t="s">
        <v>127</v>
      </c>
      <c r="D11" s="130" t="s">
        <v>126</v>
      </c>
      <c r="E11" s="130" t="s">
        <v>127</v>
      </c>
      <c r="F11" s="131" t="s">
        <v>135</v>
      </c>
    </row>
    <row r="13" spans="1:14" ht="13.8" thickBot="1">
      <c r="A13" s="132" t="s">
        <v>128</v>
      </c>
      <c r="B13" s="132"/>
      <c r="D13" s="132"/>
      <c r="M13" s="120" t="s">
        <v>185</v>
      </c>
      <c r="N13" s="120" t="s">
        <v>186</v>
      </c>
    </row>
    <row r="14" spans="1:14">
      <c r="A14" s="133" t="s">
        <v>6</v>
      </c>
      <c r="B14" s="134">
        <f>$B$5</f>
        <v>250000</v>
      </c>
      <c r="C14" s="135">
        <f>$B$8*VLOOKUP(A14,'Datos Mun'!$A$5:$AL$55,32,FALSE)</f>
        <v>2372976.4895271594</v>
      </c>
      <c r="D14" s="134">
        <f>$D$5</f>
        <v>83333.333333333328</v>
      </c>
      <c r="E14" s="135">
        <f>$D$8*VLOOKUP(A14,'Datos Mun'!$A$5:$AL$55,32,FALSE)</f>
        <v>827332.77487688698</v>
      </c>
      <c r="F14" s="214">
        <f>SUM(B14:E14)</f>
        <v>3533642.5977373798</v>
      </c>
      <c r="H14" s="133" t="s">
        <v>6</v>
      </c>
      <c r="I14" s="120">
        <f>B14+C14</f>
        <v>2622976.4895271594</v>
      </c>
      <c r="J14" s="120">
        <f>D14+E14</f>
        <v>910666.10821022035</v>
      </c>
      <c r="L14" s="120" t="s">
        <v>1</v>
      </c>
      <c r="M14" s="120">
        <f>VLOOKUP(L14,$H$14:$J$67,2,FALSE)</f>
        <v>289659.61258677405</v>
      </c>
      <c r="N14" s="120">
        <f>VLOOKUP(L14,$H$14:$J$67,3,FALSE)</f>
        <v>97160.565704479231</v>
      </c>
    </row>
    <row r="15" spans="1:14">
      <c r="A15" s="136" t="s">
        <v>9</v>
      </c>
      <c r="B15" s="137">
        <f t="shared" ref="B15:B25" si="0">$B$5</f>
        <v>250000</v>
      </c>
      <c r="C15" s="138">
        <f>$B$8*VLOOKUP(A15,'Datos Mun'!$A$5:$AL$55,32,FALSE)</f>
        <v>442222.00272868597</v>
      </c>
      <c r="D15" s="137">
        <f t="shared" ref="D15:D25" si="1">$D$5</f>
        <v>83333.333333333328</v>
      </c>
      <c r="E15" s="138">
        <f>$D$8*VLOOKUP(A15,'Datos Mun'!$A$5:$AL$55,32,FALSE)</f>
        <v>154179.68034821976</v>
      </c>
      <c r="F15" s="215">
        <f t="shared" ref="F15:F25" si="2">SUM(B15:E15)</f>
        <v>929735.01641023904</v>
      </c>
      <c r="H15" s="136" t="s">
        <v>9</v>
      </c>
      <c r="I15" s="120">
        <f t="shared" ref="I15:I25" si="3">B15+C15</f>
        <v>692222.00272868597</v>
      </c>
      <c r="J15" s="120">
        <f t="shared" ref="J15:J67" si="4">D15+E15</f>
        <v>237513.01368155307</v>
      </c>
      <c r="L15" s="120" t="s">
        <v>2</v>
      </c>
      <c r="M15" s="120">
        <f t="shared" ref="M15:M64" si="5">VLOOKUP(L15,$H$14:$J$67,2,FALSE)</f>
        <v>295100.47403109277</v>
      </c>
      <c r="N15" s="120">
        <f t="shared" ref="N15:N64" si="6">VLOOKUP(L15,$H$14:$J$67,3,FALSE)</f>
        <v>99057.509486398369</v>
      </c>
    </row>
    <row r="16" spans="1:14">
      <c r="A16" s="136" t="s">
        <v>18</v>
      </c>
      <c r="B16" s="137">
        <f t="shared" si="0"/>
        <v>250000</v>
      </c>
      <c r="C16" s="138">
        <f>$B$8*VLOOKUP(A16,'Datos Mun'!$A$5:$AL$55,32,FALSE)</f>
        <v>1435810.8388618955</v>
      </c>
      <c r="D16" s="137">
        <f t="shared" si="1"/>
        <v>83333.333333333328</v>
      </c>
      <c r="E16" s="138">
        <f>$D$8*VLOOKUP(A16,'Datos Mun'!$A$5:$AL$55,32,FALSE)</f>
        <v>500592.13429064484</v>
      </c>
      <c r="F16" s="215">
        <f t="shared" si="2"/>
        <v>2269736.3064858736</v>
      </c>
      <c r="H16" s="136" t="s">
        <v>18</v>
      </c>
      <c r="I16" s="120">
        <f t="shared" si="3"/>
        <v>1685810.8388618955</v>
      </c>
      <c r="J16" s="120">
        <f t="shared" si="4"/>
        <v>583925.46762397815</v>
      </c>
      <c r="L16" s="120" t="s">
        <v>3</v>
      </c>
      <c r="M16" s="120">
        <f t="shared" si="5"/>
        <v>268762.97071606963</v>
      </c>
      <c r="N16" s="120">
        <f t="shared" si="6"/>
        <v>89874.999757745667</v>
      </c>
    </row>
    <row r="17" spans="1:14">
      <c r="A17" s="136" t="s">
        <v>20</v>
      </c>
      <c r="B17" s="137">
        <f t="shared" si="0"/>
        <v>250000</v>
      </c>
      <c r="C17" s="138">
        <f>$B$8*VLOOKUP(A17,'Datos Mun'!$A$5:$AL$55,32,FALSE)</f>
        <v>1739481.7316026972</v>
      </c>
      <c r="D17" s="137">
        <f t="shared" si="1"/>
        <v>83333.333333333328</v>
      </c>
      <c r="E17" s="138">
        <f>$D$8*VLOOKUP(A17,'Datos Mun'!$A$5:$AL$55,32,FALSE)</f>
        <v>606466.28999736684</v>
      </c>
      <c r="F17" s="215">
        <f t="shared" si="2"/>
        <v>2679281.3549333974</v>
      </c>
      <c r="H17" s="136" t="s">
        <v>20</v>
      </c>
      <c r="I17" s="120">
        <f t="shared" si="3"/>
        <v>1989481.7316026972</v>
      </c>
      <c r="J17" s="120">
        <f t="shared" si="4"/>
        <v>689799.62333070021</v>
      </c>
      <c r="L17" s="120" t="s">
        <v>4</v>
      </c>
      <c r="M17" s="120">
        <f t="shared" si="5"/>
        <v>720594.50859941822</v>
      </c>
      <c r="N17" s="120">
        <f t="shared" si="6"/>
        <v>247405.02235329553</v>
      </c>
    </row>
    <row r="18" spans="1:14">
      <c r="A18" s="136" t="s">
        <v>25</v>
      </c>
      <c r="B18" s="137">
        <f t="shared" si="0"/>
        <v>250000</v>
      </c>
      <c r="C18" s="138">
        <f>$B$8*VLOOKUP(A18,'Datos Mun'!$A$5:$AL$55,32,FALSE)</f>
        <v>2324823.9330777712</v>
      </c>
      <c r="D18" s="137">
        <f t="shared" si="1"/>
        <v>83333.333333333328</v>
      </c>
      <c r="E18" s="138">
        <f>$D$8*VLOOKUP(A18,'Datos Mun'!$A$5:$AL$55,32,FALSE)</f>
        <v>810544.49723464774</v>
      </c>
      <c r="F18" s="215">
        <f t="shared" si="2"/>
        <v>3468701.7636457523</v>
      </c>
      <c r="H18" s="136" t="s">
        <v>25</v>
      </c>
      <c r="I18" s="120">
        <f t="shared" si="3"/>
        <v>2574823.9330777712</v>
      </c>
      <c r="J18" s="120">
        <f t="shared" si="4"/>
        <v>893877.83056798112</v>
      </c>
      <c r="L18" s="120" t="s">
        <v>5</v>
      </c>
      <c r="M18" s="120">
        <f t="shared" si="5"/>
        <v>490438.06823790731</v>
      </c>
      <c r="N18" s="120">
        <f t="shared" si="6"/>
        <v>167161.51075490715</v>
      </c>
    </row>
    <row r="19" spans="1:14">
      <c r="A19" s="136" t="s">
        <v>31</v>
      </c>
      <c r="B19" s="137">
        <f t="shared" si="0"/>
        <v>250000</v>
      </c>
      <c r="C19" s="138">
        <f>$B$8*VLOOKUP(A19,'Datos Mun'!$A$5:$AL$55,32,FALSE)</f>
        <v>1704454.460977776</v>
      </c>
      <c r="D19" s="137">
        <f t="shared" si="1"/>
        <v>83333.333333333328</v>
      </c>
      <c r="E19" s="138">
        <f>$D$8*VLOOKUP(A19,'Datos Mun'!$A$5:$AL$55,32,FALSE)</f>
        <v>594254.11295710714</v>
      </c>
      <c r="F19" s="215">
        <f t="shared" si="2"/>
        <v>2632041.9072682164</v>
      </c>
      <c r="H19" s="136" t="s">
        <v>31</v>
      </c>
      <c r="I19" s="120">
        <f t="shared" si="3"/>
        <v>1954454.460977776</v>
      </c>
      <c r="J19" s="120">
        <f t="shared" si="4"/>
        <v>677587.44629044051</v>
      </c>
      <c r="L19" s="120" t="s">
        <v>6</v>
      </c>
      <c r="M19" s="120">
        <f t="shared" si="5"/>
        <v>2622976.4895271594</v>
      </c>
      <c r="N19" s="120">
        <f t="shared" si="6"/>
        <v>910666.10821022035</v>
      </c>
    </row>
    <row r="20" spans="1:14">
      <c r="A20" s="136" t="s">
        <v>39</v>
      </c>
      <c r="B20" s="137">
        <f t="shared" si="0"/>
        <v>250000</v>
      </c>
      <c r="C20" s="138">
        <f>$B$8*VLOOKUP(A20,'Datos Mun'!$A$5:$AL$55,32,FALSE)</f>
        <v>4131678.0351559357</v>
      </c>
      <c r="D20" s="137">
        <f t="shared" si="1"/>
        <v>83333.333333333328</v>
      </c>
      <c r="E20" s="138">
        <f>$D$8*VLOOKUP(A20,'Datos Mun'!$A$5:$AL$55,32,FALSE)</f>
        <v>1440500.0086640434</v>
      </c>
      <c r="F20" s="215">
        <f t="shared" si="2"/>
        <v>5905511.3771533119</v>
      </c>
      <c r="H20" s="136" t="s">
        <v>39</v>
      </c>
      <c r="I20" s="120">
        <f t="shared" si="3"/>
        <v>4381678.0351559352</v>
      </c>
      <c r="J20" s="120">
        <f t="shared" si="4"/>
        <v>1523833.3419973766</v>
      </c>
      <c r="L20" s="120" t="s">
        <v>7</v>
      </c>
      <c r="M20" s="120">
        <f t="shared" si="5"/>
        <v>449924.98718927935</v>
      </c>
      <c r="N20" s="120">
        <f t="shared" si="6"/>
        <v>153036.71857483278</v>
      </c>
    </row>
    <row r="21" spans="1:14">
      <c r="A21" s="136" t="s">
        <v>45</v>
      </c>
      <c r="B21" s="137">
        <f t="shared" si="0"/>
        <v>250000</v>
      </c>
      <c r="C21" s="138">
        <f>$B$8*VLOOKUP(A21,'Datos Mun'!$A$5:$AL$55,32,FALSE)</f>
        <v>313640.4709021569</v>
      </c>
      <c r="D21" s="137">
        <f t="shared" si="1"/>
        <v>83333.333333333328</v>
      </c>
      <c r="E21" s="138">
        <f>$D$8*VLOOKUP(A21,'Datos Mun'!$A$5:$AL$55,32,FALSE)</f>
        <v>109350.02611714881</v>
      </c>
      <c r="F21" s="215">
        <f t="shared" si="2"/>
        <v>756323.83035263908</v>
      </c>
      <c r="H21" s="136" t="s">
        <v>45</v>
      </c>
      <c r="I21" s="120">
        <f t="shared" si="3"/>
        <v>563640.4709021569</v>
      </c>
      <c r="J21" s="120">
        <f t="shared" si="4"/>
        <v>192683.35945048212</v>
      </c>
      <c r="L21" s="120" t="s">
        <v>8</v>
      </c>
      <c r="M21" s="120">
        <f t="shared" si="5"/>
        <v>298821.06310698716</v>
      </c>
      <c r="N21" s="120">
        <f t="shared" si="6"/>
        <v>100354.68427844602</v>
      </c>
    </row>
    <row r="22" spans="1:14">
      <c r="A22" s="136" t="s">
        <v>46</v>
      </c>
      <c r="B22" s="137">
        <f t="shared" si="0"/>
        <v>250000</v>
      </c>
      <c r="C22" s="138">
        <f>$B$8*VLOOKUP(A22,'Datos Mun'!$A$5:$AL$55,32,FALSE)</f>
        <v>1490010.9313025628</v>
      </c>
      <c r="D22" s="137">
        <f t="shared" si="1"/>
        <v>83333.333333333328</v>
      </c>
      <c r="E22" s="138">
        <f>$D$8*VLOOKUP(A22,'Datos Mun'!$A$5:$AL$55,32,FALSE)</f>
        <v>519488.87139504671</v>
      </c>
      <c r="F22" s="215">
        <f t="shared" si="2"/>
        <v>2342833.1360309427</v>
      </c>
      <c r="H22" s="136" t="s">
        <v>46</v>
      </c>
      <c r="I22" s="120">
        <f t="shared" si="3"/>
        <v>1740010.9313025628</v>
      </c>
      <c r="J22" s="120">
        <f t="shared" si="4"/>
        <v>602822.20472838008</v>
      </c>
      <c r="L22" s="120" t="s">
        <v>9</v>
      </c>
      <c r="M22" s="120">
        <f t="shared" si="5"/>
        <v>692222.00272868597</v>
      </c>
      <c r="N22" s="120">
        <f t="shared" si="6"/>
        <v>237513.01368155307</v>
      </c>
    </row>
    <row r="23" spans="1:14">
      <c r="A23" s="136" t="s">
        <v>47</v>
      </c>
      <c r="B23" s="137">
        <f t="shared" si="0"/>
        <v>250000</v>
      </c>
      <c r="C23" s="138">
        <f>$B$8*VLOOKUP(A23,'Datos Mun'!$A$5:$AL$55,32,FALSE)</f>
        <v>477762.57288185664</v>
      </c>
      <c r="D23" s="137">
        <f t="shared" si="1"/>
        <v>83333.333333333328</v>
      </c>
      <c r="E23" s="138">
        <f>$D$8*VLOOKUP(A23,'Datos Mun'!$A$5:$AL$55,32,FALSE)</f>
        <v>166570.81808401266</v>
      </c>
      <c r="F23" s="215">
        <f t="shared" si="2"/>
        <v>977666.72429920267</v>
      </c>
      <c r="H23" s="136" t="s">
        <v>47</v>
      </c>
      <c r="I23" s="120">
        <f t="shared" si="3"/>
        <v>727762.5728818567</v>
      </c>
      <c r="J23" s="120">
        <f t="shared" si="4"/>
        <v>249904.15141734597</v>
      </c>
      <c r="L23" s="120" t="s">
        <v>10</v>
      </c>
      <c r="M23" s="120">
        <f t="shared" si="5"/>
        <v>1643260.5930870816</v>
      </c>
      <c r="N23" s="120">
        <f t="shared" si="6"/>
        <v>569090.42266506876</v>
      </c>
    </row>
    <row r="24" spans="1:14">
      <c r="A24" s="136" t="s">
        <v>48</v>
      </c>
      <c r="B24" s="137">
        <f t="shared" si="0"/>
        <v>250000</v>
      </c>
      <c r="C24" s="138">
        <f>$B$8*VLOOKUP(A24,'Datos Mun'!$A$5:$AL$55,32,FALSE)</f>
        <v>1107288.29642591</v>
      </c>
      <c r="D24" s="137">
        <f t="shared" si="1"/>
        <v>83333.333333333328</v>
      </c>
      <c r="E24" s="138">
        <f>$D$8*VLOOKUP(A24,'Datos Mun'!$A$5:$AL$55,32,FALSE)</f>
        <v>386053.50828962104</v>
      </c>
      <c r="F24" s="215">
        <f t="shared" si="2"/>
        <v>1826675.1380488642</v>
      </c>
      <c r="H24" s="136" t="s">
        <v>48</v>
      </c>
      <c r="I24" s="120">
        <f t="shared" si="3"/>
        <v>1357288.29642591</v>
      </c>
      <c r="J24" s="120">
        <f t="shared" si="4"/>
        <v>469386.84162295435</v>
      </c>
      <c r="L24" s="120" t="s">
        <v>189</v>
      </c>
      <c r="M24" s="120">
        <f t="shared" si="5"/>
        <v>347882.16421887075</v>
      </c>
      <c r="N24" s="120">
        <f t="shared" si="6"/>
        <v>117459.72391981984</v>
      </c>
    </row>
    <row r="25" spans="1:14">
      <c r="A25" s="136" t="s">
        <v>49</v>
      </c>
      <c r="B25" s="137">
        <f t="shared" si="0"/>
        <v>250000</v>
      </c>
      <c r="C25" s="139">
        <f>$B$8*VLOOKUP(A25,'Datos Mun'!$A$5:$AL$55,32,FALSE)</f>
        <v>169114.12063119779</v>
      </c>
      <c r="D25" s="137">
        <f t="shared" si="1"/>
        <v>83333.333333333328</v>
      </c>
      <c r="E25" s="139">
        <f>$D$8*VLOOKUP(A25,'Datos Mun'!$A$5:$AL$55,32,FALSE)</f>
        <v>58961.247745253786</v>
      </c>
      <c r="F25" s="216">
        <f t="shared" si="2"/>
        <v>561408.70170978492</v>
      </c>
      <c r="H25" s="136" t="s">
        <v>49</v>
      </c>
      <c r="I25" s="120">
        <f t="shared" si="3"/>
        <v>419114.12063119782</v>
      </c>
      <c r="J25" s="120">
        <f t="shared" si="4"/>
        <v>142294.5810785871</v>
      </c>
      <c r="L25" s="120" t="s">
        <v>12</v>
      </c>
      <c r="M25" s="120">
        <f t="shared" si="5"/>
        <v>382420.96603452135</v>
      </c>
      <c r="N25" s="120">
        <f t="shared" si="6"/>
        <v>129501.59743739478</v>
      </c>
    </row>
    <row r="26" spans="1:14" ht="13.8" thickBot="1">
      <c r="A26" s="140" t="s">
        <v>129</v>
      </c>
      <c r="B26" s="141">
        <f>SUM(B14:B25)</f>
        <v>3000000</v>
      </c>
      <c r="C26" s="142">
        <f>SUM(C14:C25)</f>
        <v>17709263.884075604</v>
      </c>
      <c r="D26" s="141">
        <f>SUM(D14:D25)</f>
        <v>1000000.0000000001</v>
      </c>
      <c r="E26" s="142">
        <f>SUM(E14:E25)</f>
        <v>6174293.9700000007</v>
      </c>
      <c r="F26" s="217">
        <f>SUM(F14:F25)</f>
        <v>27883557.854075603</v>
      </c>
      <c r="L26" s="120" t="s">
        <v>13</v>
      </c>
      <c r="M26" s="120">
        <f t="shared" si="5"/>
        <v>1166771.8179229847</v>
      </c>
      <c r="N26" s="120">
        <f t="shared" si="6"/>
        <v>402963.71121469414</v>
      </c>
    </row>
    <row r="27" spans="1:14">
      <c r="A27" s="143"/>
      <c r="B27" s="143"/>
      <c r="C27" s="144"/>
      <c r="D27" s="143"/>
      <c r="E27" s="144"/>
      <c r="F27" s="145"/>
      <c r="L27" s="120" t="s">
        <v>14</v>
      </c>
      <c r="M27" s="120">
        <f t="shared" si="5"/>
        <v>731249.52892787568</v>
      </c>
      <c r="N27" s="120">
        <f t="shared" si="6"/>
        <v>251119.87059288716</v>
      </c>
    </row>
    <row r="28" spans="1:14" ht="13.8" thickBot="1">
      <c r="A28" s="146" t="s">
        <v>130</v>
      </c>
      <c r="B28" s="146"/>
      <c r="C28" s="139"/>
      <c r="D28" s="146"/>
      <c r="E28" s="139"/>
      <c r="F28" s="147"/>
      <c r="L28" s="120" t="s">
        <v>15</v>
      </c>
      <c r="M28" s="120">
        <f t="shared" si="5"/>
        <v>268136.20481439569</v>
      </c>
      <c r="N28" s="120">
        <f t="shared" si="6"/>
        <v>89656.4792730638</v>
      </c>
    </row>
    <row r="29" spans="1:14">
      <c r="A29" s="148" t="s">
        <v>1</v>
      </c>
      <c r="B29" s="220">
        <f>$B$5</f>
        <v>250000</v>
      </c>
      <c r="C29" s="149">
        <f>$B$9*VLOOKUP(A29,'Datos Mun'!$A$5:$AL$55,34,FALSE)</f>
        <v>39659.612586774063</v>
      </c>
      <c r="D29" s="134">
        <f>$D$5</f>
        <v>83333.333333333328</v>
      </c>
      <c r="E29" s="149">
        <f>$D$9*VLOOKUP(A29,'Datos Mun'!$A$5:$AL$55,34,FALSE)</f>
        <v>13827.232371145898</v>
      </c>
      <c r="F29" s="218">
        <f>SUM(B29:E29)</f>
        <v>386820.17829125328</v>
      </c>
      <c r="H29" s="148" t="s">
        <v>1</v>
      </c>
      <c r="I29" s="120">
        <f t="shared" ref="I29:I67" si="7">B29+C29</f>
        <v>289659.61258677405</v>
      </c>
      <c r="J29" s="120">
        <f t="shared" si="4"/>
        <v>97160.565704479231</v>
      </c>
      <c r="L29" s="120" t="s">
        <v>16</v>
      </c>
      <c r="M29" s="120">
        <f t="shared" si="5"/>
        <v>293420.20799681789</v>
      </c>
      <c r="N29" s="120">
        <f t="shared" si="6"/>
        <v>98471.688612570404</v>
      </c>
    </row>
    <row r="30" spans="1:14">
      <c r="A30" s="150" t="s">
        <v>2</v>
      </c>
      <c r="B30" s="221">
        <f t="shared" ref="B30:B67" si="8">$B$5</f>
        <v>250000</v>
      </c>
      <c r="C30" s="139">
        <f>$B$9*VLOOKUP(A30,'Datos Mun'!$A$5:$AL$55,34,FALSE)</f>
        <v>45100.474031092759</v>
      </c>
      <c r="D30" s="137">
        <f t="shared" ref="D30:D67" si="9">$D$5</f>
        <v>83333.333333333328</v>
      </c>
      <c r="E30" s="139">
        <f>$D$9*VLOOKUP(A30,'Datos Mun'!$A$5:$AL$55,34,FALSE)</f>
        <v>15724.176153065038</v>
      </c>
      <c r="F30" s="216">
        <f t="shared" ref="F30:F67" si="10">ROUND(SUM(B30:E30),2)</f>
        <v>394157.98</v>
      </c>
      <c r="H30" s="150" t="s">
        <v>2</v>
      </c>
      <c r="I30" s="120">
        <f t="shared" si="7"/>
        <v>295100.47403109277</v>
      </c>
      <c r="J30" s="120">
        <f t="shared" si="4"/>
        <v>99057.509486398369</v>
      </c>
      <c r="L30" s="120" t="s">
        <v>17</v>
      </c>
      <c r="M30" s="120">
        <f t="shared" si="5"/>
        <v>795459.69523766625</v>
      </c>
      <c r="N30" s="120">
        <f t="shared" si="6"/>
        <v>273506.59684274177</v>
      </c>
    </row>
    <row r="31" spans="1:14">
      <c r="A31" s="150" t="s">
        <v>3</v>
      </c>
      <c r="B31" s="221">
        <f t="shared" si="8"/>
        <v>250000</v>
      </c>
      <c r="C31" s="139">
        <f>$B$9*VLOOKUP(A31,'Datos Mun'!$A$5:$AL$55,34,FALSE)</f>
        <v>18762.970716069638</v>
      </c>
      <c r="D31" s="137">
        <f t="shared" si="9"/>
        <v>83333.333333333328</v>
      </c>
      <c r="E31" s="139">
        <f>$D$9*VLOOKUP(A31,'Datos Mun'!$A$5:$AL$55,34,FALSE)</f>
        <v>6541.6664244123331</v>
      </c>
      <c r="F31" s="216">
        <f t="shared" si="10"/>
        <v>358637.97</v>
      </c>
      <c r="H31" s="150" t="s">
        <v>3</v>
      </c>
      <c r="I31" s="120">
        <f t="shared" si="7"/>
        <v>268762.97071606963</v>
      </c>
      <c r="J31" s="120">
        <f t="shared" si="4"/>
        <v>89874.999757745667</v>
      </c>
      <c r="L31" s="120" t="s">
        <v>18</v>
      </c>
      <c r="M31" s="120">
        <f t="shared" si="5"/>
        <v>1685810.8388618955</v>
      </c>
      <c r="N31" s="120">
        <f t="shared" si="6"/>
        <v>583925.46762397815</v>
      </c>
    </row>
    <row r="32" spans="1:14">
      <c r="A32" s="150" t="s">
        <v>4</v>
      </c>
      <c r="B32" s="221">
        <f t="shared" si="8"/>
        <v>250000</v>
      </c>
      <c r="C32" s="139">
        <f>$B$9*VLOOKUP(A32,'Datos Mun'!$A$5:$AL$55,34,FALSE)</f>
        <v>470594.50859941822</v>
      </c>
      <c r="D32" s="137">
        <f t="shared" si="9"/>
        <v>83333.333333333328</v>
      </c>
      <c r="E32" s="139">
        <f>$D$9*VLOOKUP(A32,'Datos Mun'!$A$5:$AL$55,34,FALSE)</f>
        <v>164071.68901996218</v>
      </c>
      <c r="F32" s="216">
        <f t="shared" si="10"/>
        <v>967999.53</v>
      </c>
      <c r="H32" s="150" t="s">
        <v>4</v>
      </c>
      <c r="I32" s="120">
        <f t="shared" si="7"/>
        <v>720594.50859941822</v>
      </c>
      <c r="J32" s="120">
        <f t="shared" si="4"/>
        <v>247405.02235329553</v>
      </c>
      <c r="L32" s="120" t="s">
        <v>19</v>
      </c>
      <c r="M32" s="120">
        <f t="shared" si="5"/>
        <v>323424.95860886952</v>
      </c>
      <c r="N32" s="120">
        <f t="shared" si="6"/>
        <v>108932.77564521272</v>
      </c>
    </row>
    <row r="33" spans="1:14">
      <c r="A33" s="150" t="s">
        <v>5</v>
      </c>
      <c r="B33" s="221">
        <f t="shared" si="8"/>
        <v>250000</v>
      </c>
      <c r="C33" s="139">
        <f>$B$9*VLOOKUP(A33,'Datos Mun'!$A$5:$AL$55,34,FALSE)</f>
        <v>240438.06823790731</v>
      </c>
      <c r="D33" s="137">
        <f t="shared" si="9"/>
        <v>83333.333333333328</v>
      </c>
      <c r="E33" s="139">
        <f>$D$9*VLOOKUP(A33,'Datos Mun'!$A$5:$AL$55,34,FALSE)</f>
        <v>83828.177421573826</v>
      </c>
      <c r="F33" s="216">
        <f t="shared" si="10"/>
        <v>657599.57999999996</v>
      </c>
      <c r="H33" s="150" t="s">
        <v>5</v>
      </c>
      <c r="I33" s="120">
        <f t="shared" si="7"/>
        <v>490438.06823790731</v>
      </c>
      <c r="J33" s="120">
        <f t="shared" si="4"/>
        <v>167161.51075490715</v>
      </c>
      <c r="L33" s="120" t="s">
        <v>20</v>
      </c>
      <c r="M33" s="120">
        <f t="shared" si="5"/>
        <v>1989481.7316026972</v>
      </c>
      <c r="N33" s="120">
        <f t="shared" si="6"/>
        <v>689799.62333070021</v>
      </c>
    </row>
    <row r="34" spans="1:14">
      <c r="A34" s="150" t="s">
        <v>7</v>
      </c>
      <c r="B34" s="221">
        <f t="shared" si="8"/>
        <v>250000</v>
      </c>
      <c r="C34" s="139">
        <f>$B$9*VLOOKUP(A34,'Datos Mun'!$A$5:$AL$55,34,FALSE)</f>
        <v>199924.98718927935</v>
      </c>
      <c r="D34" s="137">
        <f t="shared" si="9"/>
        <v>83333.333333333328</v>
      </c>
      <c r="E34" s="139">
        <f>$D$9*VLOOKUP(A34,'Datos Mun'!$A$5:$AL$55,34,FALSE)</f>
        <v>69703.385241499433</v>
      </c>
      <c r="F34" s="216">
        <f t="shared" si="10"/>
        <v>602961.71</v>
      </c>
      <c r="H34" s="150" t="s">
        <v>7</v>
      </c>
      <c r="I34" s="120">
        <f t="shared" si="7"/>
        <v>449924.98718927935</v>
      </c>
      <c r="J34" s="120">
        <f t="shared" si="4"/>
        <v>153036.71857483278</v>
      </c>
      <c r="L34" s="120" t="s">
        <v>21</v>
      </c>
      <c r="M34" s="120">
        <f t="shared" si="5"/>
        <v>438149.78950463864</v>
      </c>
      <c r="N34" s="120">
        <f t="shared" si="6"/>
        <v>148931.32308602246</v>
      </c>
    </row>
    <row r="35" spans="1:14">
      <c r="A35" s="150" t="s">
        <v>8</v>
      </c>
      <c r="B35" s="221">
        <f t="shared" si="8"/>
        <v>250000</v>
      </c>
      <c r="C35" s="139">
        <f>$B$9*VLOOKUP(A35,'Datos Mun'!$A$5:$AL$55,34,FALSE)</f>
        <v>48821.063106987167</v>
      </c>
      <c r="D35" s="137">
        <f t="shared" si="9"/>
        <v>83333.333333333328</v>
      </c>
      <c r="E35" s="139">
        <f>$D$9*VLOOKUP(A35,'Datos Mun'!$A$5:$AL$55,34,FALSE)</f>
        <v>17021.350945112688</v>
      </c>
      <c r="F35" s="216">
        <f t="shared" si="10"/>
        <v>399175.75</v>
      </c>
      <c r="H35" s="150" t="s">
        <v>8</v>
      </c>
      <c r="I35" s="120">
        <f t="shared" si="7"/>
        <v>298821.06310698716</v>
      </c>
      <c r="J35" s="120">
        <f t="shared" si="4"/>
        <v>100354.68427844602</v>
      </c>
      <c r="L35" s="120" t="s">
        <v>22</v>
      </c>
      <c r="M35" s="120">
        <f t="shared" si="5"/>
        <v>274110.48404737306</v>
      </c>
      <c r="N35" s="120">
        <f t="shared" si="6"/>
        <v>91739.397935563247</v>
      </c>
    </row>
    <row r="36" spans="1:14">
      <c r="A36" s="150" t="s">
        <v>10</v>
      </c>
      <c r="B36" s="221">
        <f t="shared" si="8"/>
        <v>250000</v>
      </c>
      <c r="C36" s="139">
        <f>$B$9*VLOOKUP(A36,'Datos Mun'!$A$5:$AL$55,34,FALSE)</f>
        <v>1393260.5930870816</v>
      </c>
      <c r="D36" s="137">
        <f t="shared" si="9"/>
        <v>83333.333333333328</v>
      </c>
      <c r="E36" s="139">
        <f>$D$9*VLOOKUP(A36,'Datos Mun'!$A$5:$AL$55,34,FALSE)</f>
        <v>485757.08933173545</v>
      </c>
      <c r="F36" s="216">
        <f t="shared" si="10"/>
        <v>2212351.02</v>
      </c>
      <c r="H36" s="150" t="s">
        <v>10</v>
      </c>
      <c r="I36" s="120">
        <f t="shared" si="7"/>
        <v>1643260.5930870816</v>
      </c>
      <c r="J36" s="120">
        <f t="shared" si="4"/>
        <v>569090.42266506876</v>
      </c>
      <c r="L36" s="120" t="s">
        <v>23</v>
      </c>
      <c r="M36" s="120">
        <f t="shared" si="5"/>
        <v>333773.26370884822</v>
      </c>
      <c r="N36" s="120">
        <f t="shared" si="6"/>
        <v>112540.6883284707</v>
      </c>
    </row>
    <row r="37" spans="1:14">
      <c r="A37" s="150" t="s">
        <v>189</v>
      </c>
      <c r="B37" s="221">
        <f t="shared" si="8"/>
        <v>250000</v>
      </c>
      <c r="C37" s="139">
        <f>$B$9*VLOOKUP(A37,'Datos Mun'!$A$5:$AL$55,34,FALSE)</f>
        <v>97882.164218870748</v>
      </c>
      <c r="D37" s="137">
        <f t="shared" si="9"/>
        <v>83333.333333333328</v>
      </c>
      <c r="E37" s="139">
        <f>$D$9*VLOOKUP(A37,'Datos Mun'!$A$5:$AL$55,34,FALSE)</f>
        <v>34126.390586486508</v>
      </c>
      <c r="F37" s="216">
        <f t="shared" si="10"/>
        <v>465341.89</v>
      </c>
      <c r="H37" s="150" t="s">
        <v>189</v>
      </c>
      <c r="I37" s="120">
        <f t="shared" si="7"/>
        <v>347882.16421887075</v>
      </c>
      <c r="J37" s="120">
        <f t="shared" si="4"/>
        <v>117459.72391981984</v>
      </c>
      <c r="L37" s="120" t="s">
        <v>24</v>
      </c>
      <c r="M37" s="120">
        <f t="shared" si="5"/>
        <v>1612202.3423424291</v>
      </c>
      <c r="N37" s="120">
        <f t="shared" si="6"/>
        <v>558262.03524328035</v>
      </c>
    </row>
    <row r="38" spans="1:14">
      <c r="A38" s="150" t="s">
        <v>12</v>
      </c>
      <c r="B38" s="221">
        <f t="shared" si="8"/>
        <v>250000</v>
      </c>
      <c r="C38" s="139">
        <f>$B$9*VLOOKUP(A38,'Datos Mun'!$A$5:$AL$55,34,FALSE)</f>
        <v>132420.96603452132</v>
      </c>
      <c r="D38" s="137">
        <f t="shared" si="9"/>
        <v>83333.333333333328</v>
      </c>
      <c r="E38" s="139">
        <f>$D$9*VLOOKUP(A38,'Datos Mun'!$A$5:$AL$55,34,FALSE)</f>
        <v>46168.264104061454</v>
      </c>
      <c r="F38" s="216">
        <f t="shared" si="10"/>
        <v>511922.56</v>
      </c>
      <c r="H38" s="150" t="s">
        <v>12</v>
      </c>
      <c r="I38" s="120">
        <f t="shared" si="7"/>
        <v>382420.96603452135</v>
      </c>
      <c r="J38" s="120">
        <f t="shared" si="4"/>
        <v>129501.59743739478</v>
      </c>
      <c r="L38" s="120" t="s">
        <v>25</v>
      </c>
      <c r="M38" s="120">
        <f t="shared" si="5"/>
        <v>2574823.9330777712</v>
      </c>
      <c r="N38" s="120">
        <f t="shared" si="6"/>
        <v>893877.83056798112</v>
      </c>
    </row>
    <row r="39" spans="1:14">
      <c r="A39" s="150" t="s">
        <v>13</v>
      </c>
      <c r="B39" s="221">
        <f t="shared" si="8"/>
        <v>250000</v>
      </c>
      <c r="C39" s="139">
        <f>$B$9*VLOOKUP(A39,'Datos Mun'!$A$5:$AL$55,34,FALSE)</f>
        <v>916771.8179229846</v>
      </c>
      <c r="D39" s="137">
        <f t="shared" si="9"/>
        <v>83333.333333333328</v>
      </c>
      <c r="E39" s="139">
        <f>$D$9*VLOOKUP(A39,'Datos Mun'!$A$5:$AL$55,34,FALSE)</f>
        <v>319630.37788136082</v>
      </c>
      <c r="F39" s="216">
        <f t="shared" si="10"/>
        <v>1569735.53</v>
      </c>
      <c r="H39" s="150" t="s">
        <v>13</v>
      </c>
      <c r="I39" s="120">
        <f t="shared" si="7"/>
        <v>1166771.8179229847</v>
      </c>
      <c r="J39" s="120">
        <f t="shared" si="4"/>
        <v>402963.71121469414</v>
      </c>
      <c r="L39" s="120" t="s">
        <v>26</v>
      </c>
      <c r="M39" s="120">
        <f t="shared" si="5"/>
        <v>276124.13619955967</v>
      </c>
      <c r="N39" s="120">
        <f t="shared" si="6"/>
        <v>92441.453109753915</v>
      </c>
    </row>
    <row r="40" spans="1:14">
      <c r="A40" s="150" t="s">
        <v>14</v>
      </c>
      <c r="B40" s="221">
        <f t="shared" si="8"/>
        <v>250000</v>
      </c>
      <c r="C40" s="139">
        <f>$B$9*VLOOKUP(A40,'Datos Mun'!$A$5:$AL$55,34,FALSE)</f>
        <v>481249.52892787568</v>
      </c>
      <c r="D40" s="137">
        <f t="shared" si="9"/>
        <v>83333.333333333328</v>
      </c>
      <c r="E40" s="139">
        <f>$D$9*VLOOKUP(A40,'Datos Mun'!$A$5:$AL$55,34,FALSE)</f>
        <v>167786.53725955385</v>
      </c>
      <c r="F40" s="216">
        <f t="shared" si="10"/>
        <v>982369.4</v>
      </c>
      <c r="H40" s="150" t="s">
        <v>14</v>
      </c>
      <c r="I40" s="120">
        <f t="shared" si="7"/>
        <v>731249.52892787568</v>
      </c>
      <c r="J40" s="120">
        <f t="shared" si="4"/>
        <v>251119.87059288716</v>
      </c>
      <c r="L40" s="120" t="s">
        <v>27</v>
      </c>
      <c r="M40" s="120">
        <f t="shared" si="5"/>
        <v>464513.96370909468</v>
      </c>
      <c r="N40" s="120">
        <f t="shared" si="6"/>
        <v>158123.13155870419</v>
      </c>
    </row>
    <row r="41" spans="1:14">
      <c r="A41" s="150" t="s">
        <v>15</v>
      </c>
      <c r="B41" s="221">
        <f t="shared" si="8"/>
        <v>250000</v>
      </c>
      <c r="C41" s="139">
        <f>$B$9*VLOOKUP(A41,'Datos Mun'!$A$5:$AL$55,34,FALSE)</f>
        <v>18136.204814395671</v>
      </c>
      <c r="D41" s="137">
        <f t="shared" si="9"/>
        <v>83333.333333333328</v>
      </c>
      <c r="E41" s="139">
        <f>$D$9*VLOOKUP(A41,'Datos Mun'!$A$5:$AL$55,34,FALSE)</f>
        <v>6323.1459397304716</v>
      </c>
      <c r="F41" s="216">
        <f t="shared" si="10"/>
        <v>357792.68</v>
      </c>
      <c r="H41" s="150" t="s">
        <v>15</v>
      </c>
      <c r="I41" s="120">
        <f t="shared" si="7"/>
        <v>268136.20481439569</v>
      </c>
      <c r="J41" s="120">
        <f t="shared" si="4"/>
        <v>89656.4792730638</v>
      </c>
      <c r="L41" s="120" t="s">
        <v>28</v>
      </c>
      <c r="M41" s="120">
        <f t="shared" si="5"/>
        <v>268482.9263770238</v>
      </c>
      <c r="N41" s="120">
        <f t="shared" si="6"/>
        <v>89777.362945440997</v>
      </c>
    </row>
    <row r="42" spans="1:14">
      <c r="A42" s="150" t="s">
        <v>16</v>
      </c>
      <c r="B42" s="221">
        <f t="shared" si="8"/>
        <v>250000</v>
      </c>
      <c r="C42" s="139">
        <f>$B$9*VLOOKUP(A42,'Datos Mun'!$A$5:$AL$55,34,FALSE)</f>
        <v>43420.207996817866</v>
      </c>
      <c r="D42" s="137">
        <f t="shared" si="9"/>
        <v>83333.333333333328</v>
      </c>
      <c r="E42" s="139">
        <f>$D$9*VLOOKUP(A42,'Datos Mun'!$A$5:$AL$55,34,FALSE)</f>
        <v>15138.35527923707</v>
      </c>
      <c r="F42" s="216">
        <f t="shared" si="10"/>
        <v>391891.9</v>
      </c>
      <c r="H42" s="150" t="s">
        <v>16</v>
      </c>
      <c r="I42" s="120">
        <f t="shared" si="7"/>
        <v>293420.20799681789</v>
      </c>
      <c r="J42" s="120">
        <f t="shared" si="4"/>
        <v>98471.688612570404</v>
      </c>
      <c r="L42" s="120" t="s">
        <v>29</v>
      </c>
      <c r="M42" s="120">
        <f t="shared" si="5"/>
        <v>343694.83457790001</v>
      </c>
      <c r="N42" s="120">
        <f t="shared" si="6"/>
        <v>115999.82110726442</v>
      </c>
    </row>
    <row r="43" spans="1:14">
      <c r="A43" s="150" t="s">
        <v>17</v>
      </c>
      <c r="B43" s="221">
        <f t="shared" si="8"/>
        <v>250000</v>
      </c>
      <c r="C43" s="139">
        <f>$B$9*VLOOKUP(A43,'Datos Mun'!$A$5:$AL$55,34,FALSE)</f>
        <v>545459.69523766625</v>
      </c>
      <c r="D43" s="137">
        <f t="shared" si="9"/>
        <v>83333.333333333328</v>
      </c>
      <c r="E43" s="139">
        <f>$D$9*VLOOKUP(A43,'Datos Mun'!$A$5:$AL$55,34,FALSE)</f>
        <v>190173.26350940843</v>
      </c>
      <c r="F43" s="216">
        <f t="shared" si="10"/>
        <v>1068966.29</v>
      </c>
      <c r="H43" s="150" t="s">
        <v>17</v>
      </c>
      <c r="I43" s="120">
        <f t="shared" si="7"/>
        <v>795459.69523766625</v>
      </c>
      <c r="J43" s="120">
        <f t="shared" si="4"/>
        <v>273506.59684274177</v>
      </c>
      <c r="L43" s="120" t="s">
        <v>30</v>
      </c>
      <c r="M43" s="120">
        <f t="shared" si="5"/>
        <v>293980.29667490948</v>
      </c>
      <c r="N43" s="120">
        <f t="shared" si="6"/>
        <v>98666.962237179716</v>
      </c>
    </row>
    <row r="44" spans="1:14">
      <c r="A44" s="150" t="s">
        <v>19</v>
      </c>
      <c r="B44" s="221">
        <f t="shared" si="8"/>
        <v>250000</v>
      </c>
      <c r="C44" s="139">
        <f>$B$9*VLOOKUP(A44,'Datos Mun'!$A$5:$AL$55,34,FALSE)</f>
        <v>73424.958608869521</v>
      </c>
      <c r="D44" s="137">
        <f t="shared" si="9"/>
        <v>83333.333333333328</v>
      </c>
      <c r="E44" s="139">
        <f>$D$9*VLOOKUP(A44,'Datos Mun'!$A$5:$AL$55,34,FALSE)</f>
        <v>25599.442311879393</v>
      </c>
      <c r="F44" s="216">
        <f t="shared" si="10"/>
        <v>432357.73</v>
      </c>
      <c r="H44" s="150" t="s">
        <v>19</v>
      </c>
      <c r="I44" s="120">
        <f t="shared" si="7"/>
        <v>323424.95860886952</v>
      </c>
      <c r="J44" s="120">
        <f t="shared" si="4"/>
        <v>108932.77564521272</v>
      </c>
      <c r="L44" s="120" t="s">
        <v>31</v>
      </c>
      <c r="M44" s="120">
        <f t="shared" si="5"/>
        <v>1954454.460977776</v>
      </c>
      <c r="N44" s="120">
        <f t="shared" si="6"/>
        <v>677587.44629044051</v>
      </c>
    </row>
    <row r="45" spans="1:14">
      <c r="A45" s="150" t="s">
        <v>21</v>
      </c>
      <c r="B45" s="221">
        <f t="shared" si="8"/>
        <v>250000</v>
      </c>
      <c r="C45" s="139">
        <f>$B$9*VLOOKUP(A45,'Datos Mun'!$A$5:$AL$55,34,FALSE)</f>
        <v>188149.78950463861</v>
      </c>
      <c r="D45" s="137">
        <f t="shared" si="9"/>
        <v>83333.333333333328</v>
      </c>
      <c r="E45" s="139">
        <f>$D$9*VLOOKUP(A45,'Datos Mun'!$A$5:$AL$55,34,FALSE)</f>
        <v>65597.989752689129</v>
      </c>
      <c r="F45" s="216">
        <f t="shared" si="10"/>
        <v>587081.11</v>
      </c>
      <c r="H45" s="150" t="s">
        <v>21</v>
      </c>
      <c r="I45" s="120">
        <f t="shared" si="7"/>
        <v>438149.78950463864</v>
      </c>
      <c r="J45" s="120">
        <f t="shared" si="4"/>
        <v>148931.32308602246</v>
      </c>
      <c r="L45" s="120" t="s">
        <v>32</v>
      </c>
      <c r="M45" s="120">
        <f t="shared" si="5"/>
        <v>321357.96467781707</v>
      </c>
      <c r="N45" s="120">
        <f t="shared" si="6"/>
        <v>108212.12298296404</v>
      </c>
    </row>
    <row r="46" spans="1:14">
      <c r="A46" s="150" t="s">
        <v>22</v>
      </c>
      <c r="B46" s="221">
        <f t="shared" si="8"/>
        <v>250000</v>
      </c>
      <c r="C46" s="139">
        <f>$B$9*VLOOKUP(A46,'Datos Mun'!$A$5:$AL$55,34,FALSE)</f>
        <v>24110.484047373069</v>
      </c>
      <c r="D46" s="137">
        <f t="shared" si="9"/>
        <v>83333.333333333328</v>
      </c>
      <c r="E46" s="139">
        <f>$D$9*VLOOKUP(A46,'Datos Mun'!$A$5:$AL$55,34,FALSE)</f>
        <v>8406.0646022299206</v>
      </c>
      <c r="F46" s="216">
        <f t="shared" si="10"/>
        <v>365849.88</v>
      </c>
      <c r="H46" s="150" t="s">
        <v>22</v>
      </c>
      <c r="I46" s="120">
        <f t="shared" si="7"/>
        <v>274110.48404737306</v>
      </c>
      <c r="J46" s="120">
        <f t="shared" si="4"/>
        <v>91739.397935563247</v>
      </c>
      <c r="L46" s="120" t="s">
        <v>33</v>
      </c>
      <c r="M46" s="120">
        <f t="shared" si="5"/>
        <v>1379058.7623644292</v>
      </c>
      <c r="N46" s="120">
        <f t="shared" si="6"/>
        <v>476977.06431364221</v>
      </c>
    </row>
    <row r="47" spans="1:14">
      <c r="A47" s="150" t="s">
        <v>23</v>
      </c>
      <c r="B47" s="221">
        <f t="shared" si="8"/>
        <v>250000</v>
      </c>
      <c r="C47" s="139">
        <f>$B$9*VLOOKUP(A47,'Datos Mun'!$A$5:$AL$55,34,FALSE)</f>
        <v>83773.26370884823</v>
      </c>
      <c r="D47" s="137">
        <f t="shared" si="9"/>
        <v>83333.333333333328</v>
      </c>
      <c r="E47" s="139">
        <f>$D$9*VLOOKUP(A47,'Datos Mun'!$A$5:$AL$55,34,FALSE)</f>
        <v>29207.354995137368</v>
      </c>
      <c r="F47" s="216">
        <f t="shared" si="10"/>
        <v>446313.95</v>
      </c>
      <c r="H47" s="150" t="s">
        <v>23</v>
      </c>
      <c r="I47" s="120">
        <f t="shared" si="7"/>
        <v>333773.26370884822</v>
      </c>
      <c r="J47" s="120">
        <f t="shared" si="4"/>
        <v>112540.6883284707</v>
      </c>
      <c r="L47" s="120" t="s">
        <v>34</v>
      </c>
      <c r="M47" s="120">
        <f t="shared" si="5"/>
        <v>318264.14150359662</v>
      </c>
      <c r="N47" s="120">
        <f t="shared" si="6"/>
        <v>107133.46867559824</v>
      </c>
    </row>
    <row r="48" spans="1:14">
      <c r="A48" s="150" t="s">
        <v>24</v>
      </c>
      <c r="B48" s="221">
        <f t="shared" si="8"/>
        <v>250000</v>
      </c>
      <c r="C48" s="139">
        <f>$B$9*VLOOKUP(A48,'Datos Mun'!$A$5:$AL$55,34,FALSE)</f>
        <v>1362202.3423424291</v>
      </c>
      <c r="D48" s="137">
        <f t="shared" si="9"/>
        <v>83333.333333333328</v>
      </c>
      <c r="E48" s="139">
        <f>$D$9*VLOOKUP(A48,'Datos Mun'!$A$5:$AL$55,34,FALSE)</f>
        <v>474928.70190994703</v>
      </c>
      <c r="F48" s="216">
        <f t="shared" si="10"/>
        <v>2170464.38</v>
      </c>
      <c r="H48" s="150" t="s">
        <v>24</v>
      </c>
      <c r="I48" s="120">
        <f t="shared" si="7"/>
        <v>1612202.3423424291</v>
      </c>
      <c r="J48" s="120">
        <f t="shared" si="4"/>
        <v>558262.03524328035</v>
      </c>
      <c r="L48" s="120" t="s">
        <v>35</v>
      </c>
      <c r="M48" s="120">
        <f t="shared" si="5"/>
        <v>269776.46451452118</v>
      </c>
      <c r="N48" s="120">
        <f t="shared" si="6"/>
        <v>90228.35203084824</v>
      </c>
    </row>
    <row r="49" spans="1:14">
      <c r="A49" s="150" t="s">
        <v>26</v>
      </c>
      <c r="B49" s="221">
        <f t="shared" si="8"/>
        <v>250000</v>
      </c>
      <c r="C49" s="139">
        <f>$B$9*VLOOKUP(A49,'Datos Mun'!$A$5:$AL$55,34,FALSE)</f>
        <v>26124.136199559645</v>
      </c>
      <c r="D49" s="137">
        <f t="shared" si="9"/>
        <v>83333.333333333328</v>
      </c>
      <c r="E49" s="139">
        <f>$D$9*VLOOKUP(A49,'Datos Mun'!$A$5:$AL$55,34,FALSE)</f>
        <v>9108.1197764205845</v>
      </c>
      <c r="F49" s="216">
        <f t="shared" si="10"/>
        <v>368565.59</v>
      </c>
      <c r="H49" s="150" t="s">
        <v>26</v>
      </c>
      <c r="I49" s="120">
        <f t="shared" si="7"/>
        <v>276124.13619955967</v>
      </c>
      <c r="J49" s="120">
        <f t="shared" si="4"/>
        <v>92441.453109753915</v>
      </c>
      <c r="L49" s="120" t="s">
        <v>36</v>
      </c>
      <c r="M49" s="120">
        <f t="shared" si="5"/>
        <v>352042.8229704086</v>
      </c>
      <c r="N49" s="120">
        <f t="shared" si="6"/>
        <v>118910.32798834625</v>
      </c>
    </row>
    <row r="50" spans="1:14">
      <c r="A50" s="150" t="s">
        <v>27</v>
      </c>
      <c r="B50" s="221">
        <f t="shared" si="8"/>
        <v>250000</v>
      </c>
      <c r="C50" s="139">
        <f>$B$9*VLOOKUP(A50,'Datos Mun'!$A$5:$AL$55,34,FALSE)</f>
        <v>214513.96370909468</v>
      </c>
      <c r="D50" s="137">
        <f t="shared" si="9"/>
        <v>83333.333333333328</v>
      </c>
      <c r="E50" s="139">
        <f>$D$9*VLOOKUP(A50,'Datos Mun'!$A$5:$AL$55,34,FALSE)</f>
        <v>74789.798225370861</v>
      </c>
      <c r="F50" s="216">
        <f t="shared" si="10"/>
        <v>622637.1</v>
      </c>
      <c r="H50" s="150" t="s">
        <v>27</v>
      </c>
      <c r="I50" s="120">
        <f t="shared" si="7"/>
        <v>464513.96370909468</v>
      </c>
      <c r="J50" s="120">
        <f t="shared" si="4"/>
        <v>158123.13155870419</v>
      </c>
      <c r="L50" s="120" t="s">
        <v>37</v>
      </c>
      <c r="M50" s="120">
        <f t="shared" si="5"/>
        <v>330652.76964519487</v>
      </c>
      <c r="N50" s="120">
        <f t="shared" si="6"/>
        <v>111452.7352770759</v>
      </c>
    </row>
    <row r="51" spans="1:14">
      <c r="A51" s="150" t="s">
        <v>28</v>
      </c>
      <c r="B51" s="221">
        <f t="shared" si="8"/>
        <v>250000</v>
      </c>
      <c r="C51" s="139">
        <f>$B$9*VLOOKUP(A51,'Datos Mun'!$A$5:$AL$55,34,FALSE)</f>
        <v>18482.926377023821</v>
      </c>
      <c r="D51" s="137">
        <f t="shared" si="9"/>
        <v>83333.333333333328</v>
      </c>
      <c r="E51" s="139">
        <f>$D$9*VLOOKUP(A51,'Datos Mun'!$A$5:$AL$55,34,FALSE)</f>
        <v>6444.0296121076708</v>
      </c>
      <c r="F51" s="216">
        <f t="shared" si="10"/>
        <v>358260.29</v>
      </c>
      <c r="H51" s="150" t="s">
        <v>28</v>
      </c>
      <c r="I51" s="120">
        <f t="shared" si="7"/>
        <v>268482.9263770238</v>
      </c>
      <c r="J51" s="120">
        <f t="shared" si="4"/>
        <v>89777.362945440997</v>
      </c>
      <c r="L51" s="120" t="s">
        <v>38</v>
      </c>
      <c r="M51" s="120">
        <f t="shared" si="5"/>
        <v>1149182.3663419643</v>
      </c>
      <c r="N51" s="120">
        <f t="shared" si="6"/>
        <v>396831.18952755851</v>
      </c>
    </row>
    <row r="52" spans="1:14">
      <c r="A52" s="150" t="s">
        <v>29</v>
      </c>
      <c r="B52" s="221">
        <f t="shared" si="8"/>
        <v>250000</v>
      </c>
      <c r="C52" s="139">
        <f>$B$9*VLOOKUP(A52,'Datos Mun'!$A$5:$AL$55,34,FALSE)</f>
        <v>93694.834577899979</v>
      </c>
      <c r="D52" s="137">
        <f t="shared" si="9"/>
        <v>83333.333333333328</v>
      </c>
      <c r="E52" s="139">
        <f>$D$9*VLOOKUP(A52,'Datos Mun'!$A$5:$AL$55,34,FALSE)</f>
        <v>32666.487773931094</v>
      </c>
      <c r="F52" s="216">
        <f t="shared" si="10"/>
        <v>459694.66</v>
      </c>
      <c r="H52" s="150" t="s">
        <v>29</v>
      </c>
      <c r="I52" s="120">
        <f t="shared" si="7"/>
        <v>343694.83457790001</v>
      </c>
      <c r="J52" s="120">
        <f t="shared" si="4"/>
        <v>115999.82110726442</v>
      </c>
      <c r="L52" s="120" t="s">
        <v>39</v>
      </c>
      <c r="M52" s="120">
        <f t="shared" si="5"/>
        <v>4381678.0351559352</v>
      </c>
      <c r="N52" s="120">
        <f t="shared" si="6"/>
        <v>1523833.3419973766</v>
      </c>
    </row>
    <row r="53" spans="1:14">
      <c r="A53" s="150" t="s">
        <v>30</v>
      </c>
      <c r="B53" s="221">
        <f t="shared" si="8"/>
        <v>250000</v>
      </c>
      <c r="C53" s="139">
        <f>$B$9*VLOOKUP(A53,'Datos Mun'!$A$5:$AL$55,34,FALSE)</f>
        <v>43980.296674909499</v>
      </c>
      <c r="D53" s="137">
        <f t="shared" si="9"/>
        <v>83333.333333333328</v>
      </c>
      <c r="E53" s="139">
        <f>$D$9*VLOOKUP(A53,'Datos Mun'!$A$5:$AL$55,34,FALSE)</f>
        <v>15333.628903846393</v>
      </c>
      <c r="F53" s="216">
        <f t="shared" si="10"/>
        <v>392647.26</v>
      </c>
      <c r="H53" s="150" t="s">
        <v>30</v>
      </c>
      <c r="I53" s="120">
        <f t="shared" si="7"/>
        <v>293980.29667490948</v>
      </c>
      <c r="J53" s="120">
        <f t="shared" si="4"/>
        <v>98666.962237179716</v>
      </c>
      <c r="L53" s="120" t="s">
        <v>40</v>
      </c>
      <c r="M53" s="120">
        <f t="shared" si="5"/>
        <v>262081.91291311948</v>
      </c>
      <c r="N53" s="120">
        <f t="shared" si="6"/>
        <v>87545.664378477304</v>
      </c>
    </row>
    <row r="54" spans="1:14">
      <c r="A54" s="150" t="s">
        <v>32</v>
      </c>
      <c r="B54" s="221">
        <f t="shared" si="8"/>
        <v>250000</v>
      </c>
      <c r="C54" s="139">
        <f>$B$9*VLOOKUP(A54,'Datos Mun'!$A$5:$AL$55,34,FALSE)</f>
        <v>71357.964677817086</v>
      </c>
      <c r="D54" s="137">
        <f t="shared" si="9"/>
        <v>83333.333333333328</v>
      </c>
      <c r="E54" s="139">
        <f>$D$9*VLOOKUP(A54,'Datos Mun'!$A$5:$AL$55,34,FALSE)</f>
        <v>24878.7896496307</v>
      </c>
      <c r="F54" s="216">
        <f t="shared" si="10"/>
        <v>429570.09</v>
      </c>
      <c r="H54" s="150" t="s">
        <v>32</v>
      </c>
      <c r="I54" s="120">
        <f t="shared" si="7"/>
        <v>321357.96467781707</v>
      </c>
      <c r="J54" s="120">
        <f t="shared" si="4"/>
        <v>108212.12298296404</v>
      </c>
      <c r="L54" s="120" t="s">
        <v>41</v>
      </c>
      <c r="M54" s="120">
        <f t="shared" si="5"/>
        <v>2218631.6908237841</v>
      </c>
      <c r="N54" s="120">
        <f t="shared" si="6"/>
        <v>769692.22760301805</v>
      </c>
    </row>
    <row r="55" spans="1:14">
      <c r="A55" s="150" t="s">
        <v>33</v>
      </c>
      <c r="B55" s="221">
        <f t="shared" si="8"/>
        <v>250000</v>
      </c>
      <c r="C55" s="139">
        <f>$B$9*VLOOKUP(A55,'Datos Mun'!$A$5:$AL$55,34,FALSE)</f>
        <v>1129058.7623644292</v>
      </c>
      <c r="D55" s="137">
        <f t="shared" si="9"/>
        <v>83333.333333333328</v>
      </c>
      <c r="E55" s="139">
        <f>$D$9*VLOOKUP(A55,'Datos Mun'!$A$5:$AL$55,34,FALSE)</f>
        <v>393643.7309803089</v>
      </c>
      <c r="F55" s="216">
        <f t="shared" si="10"/>
        <v>1856035.83</v>
      </c>
      <c r="H55" s="150" t="s">
        <v>33</v>
      </c>
      <c r="I55" s="120">
        <f t="shared" si="7"/>
        <v>1379058.7623644292</v>
      </c>
      <c r="J55" s="120">
        <f t="shared" si="4"/>
        <v>476977.06431364221</v>
      </c>
      <c r="L55" s="120" t="s">
        <v>42</v>
      </c>
      <c r="M55" s="120">
        <f t="shared" si="5"/>
        <v>321864.71157704282</v>
      </c>
      <c r="N55" s="120">
        <f t="shared" si="6"/>
        <v>108388.79911951532</v>
      </c>
    </row>
    <row r="56" spans="1:14">
      <c r="A56" s="150" t="s">
        <v>34</v>
      </c>
      <c r="B56" s="221">
        <f t="shared" si="8"/>
        <v>250000</v>
      </c>
      <c r="C56" s="139">
        <f>$B$9*VLOOKUP(A56,'Datos Mun'!$A$5:$AL$55,34,FALSE)</f>
        <v>68264.141503596635</v>
      </c>
      <c r="D56" s="137">
        <f t="shared" si="9"/>
        <v>83333.333333333328</v>
      </c>
      <c r="E56" s="139">
        <f>$D$9*VLOOKUP(A56,'Datos Mun'!$A$5:$AL$55,34,FALSE)</f>
        <v>23800.135342264912</v>
      </c>
      <c r="F56" s="216">
        <f t="shared" si="10"/>
        <v>425397.61</v>
      </c>
      <c r="H56" s="150" t="s">
        <v>34</v>
      </c>
      <c r="I56" s="120">
        <f t="shared" si="7"/>
        <v>318264.14150359662</v>
      </c>
      <c r="J56" s="120">
        <f t="shared" si="4"/>
        <v>107133.46867559824</v>
      </c>
      <c r="L56" s="120" t="s">
        <v>43</v>
      </c>
      <c r="M56" s="120">
        <f t="shared" si="5"/>
        <v>281698.35209104302</v>
      </c>
      <c r="N56" s="120">
        <f t="shared" si="6"/>
        <v>94384.890611818133</v>
      </c>
    </row>
    <row r="57" spans="1:14">
      <c r="A57" s="150" t="s">
        <v>35</v>
      </c>
      <c r="B57" s="221">
        <f t="shared" si="8"/>
        <v>250000</v>
      </c>
      <c r="C57" s="139">
        <f>$B$9*VLOOKUP(A57,'Datos Mun'!$A$5:$AL$55,34,FALSE)</f>
        <v>19776.464514521162</v>
      </c>
      <c r="D57" s="137">
        <f t="shared" si="9"/>
        <v>83333.333333333328</v>
      </c>
      <c r="E57" s="139">
        <f>$D$9*VLOOKUP(A57,'Datos Mun'!$A$5:$AL$55,34,FALSE)</f>
        <v>6895.018697514919</v>
      </c>
      <c r="F57" s="216">
        <f t="shared" si="10"/>
        <v>360004.82</v>
      </c>
      <c r="H57" s="150" t="s">
        <v>35</v>
      </c>
      <c r="I57" s="120">
        <f t="shared" si="7"/>
        <v>269776.46451452118</v>
      </c>
      <c r="J57" s="120">
        <f t="shared" si="4"/>
        <v>90228.35203084824</v>
      </c>
      <c r="L57" s="120" t="s">
        <v>44</v>
      </c>
      <c r="M57" s="120">
        <f t="shared" si="5"/>
        <v>712859.95066386717</v>
      </c>
      <c r="N57" s="120">
        <f t="shared" si="6"/>
        <v>244708.38658488105</v>
      </c>
    </row>
    <row r="58" spans="1:14">
      <c r="A58" s="150" t="s">
        <v>36</v>
      </c>
      <c r="B58" s="221">
        <f t="shared" si="8"/>
        <v>250000</v>
      </c>
      <c r="C58" s="139">
        <f>$B$9*VLOOKUP(A58,'Datos Mun'!$A$5:$AL$55,34,FALSE)</f>
        <v>102042.82297040858</v>
      </c>
      <c r="D58" s="137">
        <f t="shared" si="9"/>
        <v>83333.333333333328</v>
      </c>
      <c r="E58" s="139">
        <f>$D$9*VLOOKUP(A58,'Datos Mun'!$A$5:$AL$55,34,FALSE)</f>
        <v>35576.994655012917</v>
      </c>
      <c r="F58" s="216">
        <f t="shared" si="10"/>
        <v>470953.15</v>
      </c>
      <c r="H58" s="150" t="s">
        <v>36</v>
      </c>
      <c r="I58" s="120">
        <f t="shared" si="7"/>
        <v>352042.8229704086</v>
      </c>
      <c r="J58" s="120">
        <f t="shared" si="4"/>
        <v>118910.32798834625</v>
      </c>
      <c r="L58" s="120" t="s">
        <v>45</v>
      </c>
      <c r="M58" s="120">
        <f t="shared" si="5"/>
        <v>563640.4709021569</v>
      </c>
      <c r="N58" s="120">
        <f t="shared" si="6"/>
        <v>192683.35945048212</v>
      </c>
    </row>
    <row r="59" spans="1:14">
      <c r="A59" s="150" t="s">
        <v>37</v>
      </c>
      <c r="B59" s="221">
        <f t="shared" si="8"/>
        <v>250000</v>
      </c>
      <c r="C59" s="139">
        <f>$B$9*VLOOKUP(A59,'Datos Mun'!$A$5:$AL$55,34,FALSE)</f>
        <v>80652.769645194858</v>
      </c>
      <c r="D59" s="137">
        <f t="shared" si="9"/>
        <v>83333.333333333328</v>
      </c>
      <c r="E59" s="139">
        <f>$D$9*VLOOKUP(A59,'Datos Mun'!$A$5:$AL$55,34,FALSE)</f>
        <v>28119.401943742567</v>
      </c>
      <c r="F59" s="216">
        <f t="shared" si="10"/>
        <v>442105.5</v>
      </c>
      <c r="H59" s="150" t="s">
        <v>37</v>
      </c>
      <c r="I59" s="120">
        <f t="shared" si="7"/>
        <v>330652.76964519487</v>
      </c>
      <c r="J59" s="120">
        <f t="shared" si="4"/>
        <v>111452.7352770759</v>
      </c>
      <c r="L59" s="120" t="s">
        <v>46</v>
      </c>
      <c r="M59" s="120">
        <f t="shared" si="5"/>
        <v>1740010.9313025628</v>
      </c>
      <c r="N59" s="120">
        <f t="shared" si="6"/>
        <v>602822.20472838008</v>
      </c>
    </row>
    <row r="60" spans="1:14">
      <c r="A60" s="150" t="s">
        <v>38</v>
      </c>
      <c r="B60" s="221">
        <f t="shared" si="8"/>
        <v>250000</v>
      </c>
      <c r="C60" s="139">
        <f>$B$9*VLOOKUP(A60,'Datos Mun'!$A$5:$AL$55,34,FALSE)</f>
        <v>899182.36634196423</v>
      </c>
      <c r="D60" s="137">
        <f t="shared" si="9"/>
        <v>83333.333333333328</v>
      </c>
      <c r="E60" s="139">
        <f>$D$9*VLOOKUP(A60,'Datos Mun'!$A$5:$AL$55,34,FALSE)</f>
        <v>313497.8561942252</v>
      </c>
      <c r="F60" s="216">
        <f t="shared" si="10"/>
        <v>1546013.56</v>
      </c>
      <c r="H60" s="150" t="s">
        <v>38</v>
      </c>
      <c r="I60" s="120">
        <f t="shared" si="7"/>
        <v>1149182.3663419643</v>
      </c>
      <c r="J60" s="120">
        <f t="shared" si="4"/>
        <v>396831.18952755851</v>
      </c>
      <c r="L60" s="120" t="s">
        <v>47</v>
      </c>
      <c r="M60" s="120">
        <f t="shared" si="5"/>
        <v>727762.5728818567</v>
      </c>
      <c r="N60" s="120">
        <f t="shared" si="6"/>
        <v>249904.15141734597</v>
      </c>
    </row>
    <row r="61" spans="1:14">
      <c r="A61" s="150" t="s">
        <v>40</v>
      </c>
      <c r="B61" s="221">
        <f t="shared" si="8"/>
        <v>250000</v>
      </c>
      <c r="C61" s="139">
        <f>$B$9*VLOOKUP(A61,'Datos Mun'!$A$5:$AL$55,34,FALSE)</f>
        <v>12081.91291311947</v>
      </c>
      <c r="D61" s="137">
        <f t="shared" si="9"/>
        <v>83333.333333333328</v>
      </c>
      <c r="E61" s="139">
        <f>$D$9*VLOOKUP(A61,'Datos Mun'!$A$5:$AL$55,34,FALSE)</f>
        <v>4212.3310451439756</v>
      </c>
      <c r="F61" s="216">
        <f t="shared" si="10"/>
        <v>349627.58</v>
      </c>
      <c r="H61" s="150" t="s">
        <v>40</v>
      </c>
      <c r="I61" s="120">
        <f t="shared" si="7"/>
        <v>262081.91291311948</v>
      </c>
      <c r="J61" s="120">
        <f t="shared" si="4"/>
        <v>87545.664378477304</v>
      </c>
      <c r="L61" s="120" t="s">
        <v>48</v>
      </c>
      <c r="M61" s="120">
        <f t="shared" si="5"/>
        <v>1357288.29642591</v>
      </c>
      <c r="N61" s="120">
        <f t="shared" si="6"/>
        <v>469386.84162295435</v>
      </c>
    </row>
    <row r="62" spans="1:14">
      <c r="A62" s="150" t="s">
        <v>41</v>
      </c>
      <c r="B62" s="221">
        <f t="shared" si="8"/>
        <v>250000</v>
      </c>
      <c r="C62" s="139">
        <f>$B$9*VLOOKUP(A62,'Datos Mun'!$A$5:$AL$55,34,FALSE)</f>
        <v>1968631.6908237843</v>
      </c>
      <c r="D62" s="137">
        <f t="shared" si="9"/>
        <v>83333.333333333328</v>
      </c>
      <c r="E62" s="139">
        <f>$D$9*VLOOKUP(A62,'Datos Mun'!$A$5:$AL$55,34,FALSE)</f>
        <v>686358.89426968468</v>
      </c>
      <c r="F62" s="216">
        <f t="shared" si="10"/>
        <v>2988323.92</v>
      </c>
      <c r="H62" s="150" t="s">
        <v>41</v>
      </c>
      <c r="I62" s="120">
        <f t="shared" si="7"/>
        <v>2218631.6908237841</v>
      </c>
      <c r="J62" s="120">
        <f t="shared" si="4"/>
        <v>769692.22760301805</v>
      </c>
      <c r="L62" s="120" t="s">
        <v>49</v>
      </c>
      <c r="M62" s="120">
        <f t="shared" si="5"/>
        <v>419114.12063119782</v>
      </c>
      <c r="N62" s="120">
        <f t="shared" si="6"/>
        <v>142294.5810785871</v>
      </c>
    </row>
    <row r="63" spans="1:14">
      <c r="A63" s="150" t="s">
        <v>42</v>
      </c>
      <c r="B63" s="221">
        <f t="shared" si="8"/>
        <v>250000</v>
      </c>
      <c r="C63" s="139">
        <f>$B$9*VLOOKUP(A63,'Datos Mun'!$A$5:$AL$55,34,FALSE)</f>
        <v>71864.71157704285</v>
      </c>
      <c r="D63" s="137">
        <f t="shared" si="9"/>
        <v>83333.333333333328</v>
      </c>
      <c r="E63" s="139">
        <f>$D$9*VLOOKUP(A63,'Datos Mun'!$A$5:$AL$55,34,FALSE)</f>
        <v>25055.465786181994</v>
      </c>
      <c r="F63" s="216">
        <f t="shared" si="10"/>
        <v>430253.51</v>
      </c>
      <c r="H63" s="150" t="s">
        <v>42</v>
      </c>
      <c r="I63" s="120">
        <f t="shared" si="7"/>
        <v>321864.71157704282</v>
      </c>
      <c r="J63" s="120">
        <f t="shared" si="4"/>
        <v>108388.79911951532</v>
      </c>
      <c r="L63" s="120" t="s">
        <v>50</v>
      </c>
      <c r="M63" s="120">
        <f t="shared" si="5"/>
        <v>270696.61019995739</v>
      </c>
      <c r="N63" s="120">
        <f t="shared" si="6"/>
        <v>90549.158699849271</v>
      </c>
    </row>
    <row r="64" spans="1:14">
      <c r="A64" s="150" t="s">
        <v>43</v>
      </c>
      <c r="B64" s="221">
        <f t="shared" si="8"/>
        <v>250000</v>
      </c>
      <c r="C64" s="139">
        <f>$B$9*VLOOKUP(A64,'Datos Mun'!$A$5:$AL$55,34,FALSE)</f>
        <v>31698.35209104302</v>
      </c>
      <c r="D64" s="137">
        <f t="shared" si="9"/>
        <v>83333.333333333328</v>
      </c>
      <c r="E64" s="139">
        <f>$D$9*VLOOKUP(A64,'Datos Mun'!$A$5:$AL$55,34,FALSE)</f>
        <v>11051.557278484801</v>
      </c>
      <c r="F64" s="216">
        <f t="shared" si="10"/>
        <v>376083.24</v>
      </c>
      <c r="H64" s="150" t="s">
        <v>43</v>
      </c>
      <c r="I64" s="120">
        <f t="shared" si="7"/>
        <v>281698.35209104302</v>
      </c>
      <c r="J64" s="120">
        <f t="shared" si="4"/>
        <v>94384.890611818133</v>
      </c>
      <c r="L64" s="120" t="s">
        <v>51</v>
      </c>
      <c r="M64" s="120">
        <f t="shared" si="5"/>
        <v>297647.54397193802</v>
      </c>
      <c r="N64" s="120">
        <f t="shared" si="6"/>
        <v>99945.539541169332</v>
      </c>
    </row>
    <row r="65" spans="1:15">
      <c r="A65" s="150" t="s">
        <v>44</v>
      </c>
      <c r="B65" s="221">
        <f t="shared" si="8"/>
        <v>250000</v>
      </c>
      <c r="C65" s="139">
        <f>$B$9*VLOOKUP(A65,'Datos Mun'!$A$5:$AL$55,34,FALSE)</f>
        <v>462859.95066386717</v>
      </c>
      <c r="D65" s="137">
        <f t="shared" si="9"/>
        <v>83333.333333333328</v>
      </c>
      <c r="E65" s="139">
        <f>$D$9*VLOOKUP(A65,'Datos Mun'!$A$5:$AL$55,34,FALSE)</f>
        <v>161375.05325154774</v>
      </c>
      <c r="F65" s="216">
        <f t="shared" si="10"/>
        <v>957568.34</v>
      </c>
      <c r="H65" s="150" t="s">
        <v>44</v>
      </c>
      <c r="I65" s="120">
        <f t="shared" si="7"/>
        <v>712859.95066386717</v>
      </c>
      <c r="J65" s="120">
        <f t="shared" si="4"/>
        <v>244708.38658488105</v>
      </c>
      <c r="M65" s="120">
        <f>SUM(M14:M64)</f>
        <v>42265439.806792676</v>
      </c>
      <c r="N65" s="120">
        <f>SUM(N14:N64)</f>
        <v>14540489.950000005</v>
      </c>
      <c r="O65" s="120">
        <f>SUM(M65:N65)</f>
        <v>56805929.756792679</v>
      </c>
    </row>
    <row r="66" spans="1:15">
      <c r="A66" s="150" t="s">
        <v>50</v>
      </c>
      <c r="B66" s="221">
        <f t="shared" si="8"/>
        <v>250000</v>
      </c>
      <c r="C66" s="139">
        <f>$B$9*VLOOKUP(A66,'Datos Mun'!$A$5:$AL$55,34,FALSE)</f>
        <v>20696.610199957409</v>
      </c>
      <c r="D66" s="137">
        <f t="shared" si="9"/>
        <v>83333.333333333328</v>
      </c>
      <c r="E66" s="139">
        <f>$D$9*VLOOKUP(A66,'Datos Mun'!$A$5:$AL$55,34,FALSE)</f>
        <v>7215.8253665159491</v>
      </c>
      <c r="F66" s="216">
        <f t="shared" si="10"/>
        <v>361245.77</v>
      </c>
      <c r="H66" s="150" t="s">
        <v>50</v>
      </c>
      <c r="I66" s="120">
        <f t="shared" si="7"/>
        <v>270696.61019995739</v>
      </c>
      <c r="J66" s="120">
        <f t="shared" si="4"/>
        <v>90549.158699849271</v>
      </c>
    </row>
    <row r="67" spans="1:15">
      <c r="A67" s="150" t="s">
        <v>51</v>
      </c>
      <c r="B67" s="221">
        <f t="shared" si="8"/>
        <v>250000</v>
      </c>
      <c r="C67" s="139">
        <f>$B$9*VLOOKUP(A67,'Datos Mun'!$A$5:$AL$55,34,FALSE)</f>
        <v>47647.543971938037</v>
      </c>
      <c r="D67" s="137">
        <f t="shared" si="9"/>
        <v>83333.333333333328</v>
      </c>
      <c r="E67" s="139">
        <f>$D$9*VLOOKUP(A67,'Datos Mun'!$A$5:$AL$55,34,FALSE)</f>
        <v>16612.20620783601</v>
      </c>
      <c r="F67" s="216">
        <f t="shared" si="10"/>
        <v>397593.08</v>
      </c>
      <c r="H67" s="150" t="s">
        <v>51</v>
      </c>
      <c r="I67" s="120">
        <f t="shared" si="7"/>
        <v>297647.54397193802</v>
      </c>
      <c r="J67" s="120">
        <f t="shared" si="4"/>
        <v>99945.539541169332</v>
      </c>
    </row>
    <row r="68" spans="1:15" s="154" customFormat="1">
      <c r="A68" s="151" t="s">
        <v>129</v>
      </c>
      <c r="B68" s="222">
        <f>SUM(B29:B67)</f>
        <v>9750000</v>
      </c>
      <c r="C68" s="153">
        <f>SUM(C29:C67)</f>
        <v>11806175.92271707</v>
      </c>
      <c r="D68" s="152">
        <f>SUM(D29:D67)</f>
        <v>3250000.0000000014</v>
      </c>
      <c r="E68" s="153">
        <f>SUM(E29:E67)</f>
        <v>4116195.9800000004</v>
      </c>
      <c r="F68" s="219">
        <f>SUM(F29:F67)</f>
        <v>28922371.918291241</v>
      </c>
    </row>
    <row r="69" spans="1:15" ht="13.8" thickBot="1">
      <c r="A69" s="155" t="s">
        <v>52</v>
      </c>
      <c r="B69" s="223">
        <f>B68+B26</f>
        <v>12750000</v>
      </c>
      <c r="C69" s="142">
        <f>C68+C26</f>
        <v>29515439.806792676</v>
      </c>
      <c r="D69" s="141">
        <f>D68+D26</f>
        <v>4250000.0000000019</v>
      </c>
      <c r="E69" s="142">
        <f>E68+E26</f>
        <v>10290489.950000001</v>
      </c>
      <c r="F69" s="217">
        <f>F68+F26</f>
        <v>56805929.772366844</v>
      </c>
    </row>
    <row r="70" spans="1:15">
      <c r="C70" s="156"/>
      <c r="D70" s="156"/>
      <c r="E70" s="156"/>
    </row>
    <row r="71" spans="1:15">
      <c r="C71" s="156"/>
      <c r="D71" s="156"/>
      <c r="E71" s="156"/>
    </row>
    <row r="72" spans="1:15">
      <c r="C72" s="156"/>
      <c r="D72" s="156"/>
      <c r="E72" s="156"/>
    </row>
    <row r="73" spans="1:15">
      <c r="C73" s="156"/>
      <c r="D73" s="156"/>
      <c r="E73" s="156"/>
    </row>
    <row r="74" spans="1:15">
      <c r="C74" s="156"/>
      <c r="D74" s="156"/>
      <c r="E74" s="156"/>
    </row>
    <row r="75" spans="1:15">
      <c r="C75" s="156"/>
      <c r="D75" s="156"/>
      <c r="E75" s="156"/>
    </row>
    <row r="76" spans="1:15">
      <c r="C76" s="156"/>
      <c r="D76" s="156"/>
      <c r="E76" s="156"/>
    </row>
    <row r="77" spans="1:15">
      <c r="C77" s="156"/>
      <c r="D77" s="156"/>
      <c r="E77" s="156"/>
    </row>
    <row r="78" spans="1:15">
      <c r="C78" s="156"/>
      <c r="D78" s="156"/>
      <c r="E78" s="156"/>
    </row>
    <row r="79" spans="1:15">
      <c r="C79" s="156"/>
      <c r="D79" s="156"/>
      <c r="E79" s="156"/>
    </row>
    <row r="80" spans="1:15">
      <c r="C80" s="156"/>
      <c r="D80" s="156"/>
      <c r="E80" s="156"/>
    </row>
    <row r="81" spans="3:5">
      <c r="C81" s="156"/>
      <c r="D81" s="156"/>
      <c r="E81" s="156"/>
    </row>
    <row r="82" spans="3:5">
      <c r="C82" s="156"/>
      <c r="D82" s="156"/>
      <c r="E82" s="156"/>
    </row>
    <row r="83" spans="3:5">
      <c r="C83" s="156"/>
      <c r="D83" s="156"/>
      <c r="E83" s="156"/>
    </row>
    <row r="84" spans="3:5">
      <c r="C84" s="156"/>
      <c r="D84" s="156"/>
      <c r="E84" s="156"/>
    </row>
    <row r="85" spans="3:5">
      <c r="C85" s="156"/>
      <c r="D85" s="156"/>
      <c r="E85" s="156"/>
    </row>
    <row r="86" spans="3:5">
      <c r="C86" s="156"/>
      <c r="D86" s="156"/>
      <c r="E86" s="156"/>
    </row>
    <row r="87" spans="3:5">
      <c r="C87" s="156"/>
      <c r="D87" s="156"/>
      <c r="E87" s="156"/>
    </row>
    <row r="88" spans="3:5">
      <c r="C88" s="156"/>
      <c r="D88" s="156"/>
      <c r="E88" s="156"/>
    </row>
    <row r="89" spans="3:5">
      <c r="C89" s="156"/>
      <c r="D89" s="156"/>
      <c r="E89" s="156"/>
    </row>
    <row r="90" spans="3:5">
      <c r="C90" s="156"/>
      <c r="D90" s="156"/>
      <c r="E90" s="156"/>
    </row>
    <row r="91" spans="3:5">
      <c r="C91" s="156"/>
      <c r="D91" s="156"/>
      <c r="E91" s="156"/>
    </row>
    <row r="92" spans="3:5">
      <c r="C92" s="156"/>
      <c r="D92" s="156"/>
      <c r="E92" s="156"/>
    </row>
    <row r="93" spans="3:5">
      <c r="C93" s="156"/>
      <c r="D93" s="156"/>
      <c r="E93" s="156"/>
    </row>
    <row r="94" spans="3:5">
      <c r="C94" s="156"/>
      <c r="D94" s="156"/>
      <c r="E94" s="156"/>
    </row>
    <row r="95" spans="3:5">
      <c r="C95" s="156"/>
      <c r="D95" s="156"/>
      <c r="E95" s="156"/>
    </row>
    <row r="96" spans="3:5">
      <c r="C96" s="156"/>
      <c r="D96" s="156"/>
      <c r="E96" s="156"/>
    </row>
  </sheetData>
  <mergeCells count="16">
    <mergeCell ref="A1:F1"/>
    <mergeCell ref="A2:F2"/>
    <mergeCell ref="B3:C3"/>
    <mergeCell ref="D3:E3"/>
    <mergeCell ref="B4:C4"/>
    <mergeCell ref="D4:E4"/>
    <mergeCell ref="B8:C8"/>
    <mergeCell ref="D8:E8"/>
    <mergeCell ref="B9:C9"/>
    <mergeCell ref="D9:E9"/>
    <mergeCell ref="B5:C5"/>
    <mergeCell ref="D5:E5"/>
    <mergeCell ref="B6:C6"/>
    <mergeCell ref="D6:E6"/>
    <mergeCell ref="B7:C7"/>
    <mergeCell ref="D7:E7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47"/>
  <sheetViews>
    <sheetView showGridLines="0" topLeftCell="A7" zoomScaleNormal="100" zoomScaleSheetLayoutView="100" workbookViewId="0">
      <selection activeCell="D20" sqref="D20"/>
    </sheetView>
  </sheetViews>
  <sheetFormatPr baseColWidth="10" defaultColWidth="11.44140625" defaultRowHeight="13.2"/>
  <cols>
    <col min="1" max="1" width="50.5546875" style="66" customWidth="1"/>
    <col min="2" max="2" width="15.6640625" style="66" customWidth="1"/>
    <col min="3" max="3" width="20.44140625" style="66" customWidth="1"/>
    <col min="4" max="4" width="25.6640625" style="66" bestFit="1" customWidth="1"/>
    <col min="5" max="5" width="18.44140625" style="66" customWidth="1"/>
    <col min="6" max="6" width="15.44140625" style="66" customWidth="1"/>
    <col min="7" max="16384" width="11.44140625" style="66"/>
  </cols>
  <sheetData>
    <row r="1" spans="1:6" ht="27.75" customHeight="1">
      <c r="A1" s="384" t="s">
        <v>222</v>
      </c>
      <c r="B1" s="384"/>
      <c r="C1" s="384"/>
      <c r="D1" s="384"/>
    </row>
    <row r="2" spans="1:6" ht="26.4">
      <c r="A2" s="92" t="s">
        <v>104</v>
      </c>
      <c r="B2" s="92" t="s">
        <v>86</v>
      </c>
      <c r="C2" s="92" t="s">
        <v>87</v>
      </c>
      <c r="D2" s="92" t="s">
        <v>88</v>
      </c>
      <c r="E2" s="92" t="s">
        <v>107</v>
      </c>
    </row>
    <row r="3" spans="1:6" ht="25.5" customHeight="1">
      <c r="A3" s="93" t="s">
        <v>55</v>
      </c>
      <c r="B3" s="94">
        <v>36165566160</v>
      </c>
      <c r="C3" s="95">
        <v>0.2</v>
      </c>
      <c r="D3" s="103">
        <f>B3*C3</f>
        <v>7233113232</v>
      </c>
      <c r="E3" s="103">
        <f>B3-D3</f>
        <v>28932452928</v>
      </c>
    </row>
    <row r="4" spans="1:6" ht="25.5" customHeight="1">
      <c r="A4" s="93" t="s">
        <v>60</v>
      </c>
      <c r="B4" s="94">
        <v>1008332033</v>
      </c>
      <c r="C4" s="95">
        <v>1</v>
      </c>
      <c r="D4" s="103">
        <f t="shared" ref="D4:D12" si="0">B4*C4</f>
        <v>1008332033</v>
      </c>
      <c r="E4" s="103">
        <f t="shared" ref="E4:E12" si="1">B4-D4</f>
        <v>0</v>
      </c>
    </row>
    <row r="5" spans="1:6" ht="25.5" customHeight="1">
      <c r="A5" s="93" t="s">
        <v>61</v>
      </c>
      <c r="B5" s="94">
        <v>339287460</v>
      </c>
      <c r="C5" s="95">
        <v>1</v>
      </c>
      <c r="D5" s="103">
        <f t="shared" si="0"/>
        <v>339287460</v>
      </c>
      <c r="E5" s="103">
        <f t="shared" si="1"/>
        <v>0</v>
      </c>
      <c r="F5" s="67"/>
    </row>
    <row r="6" spans="1:6" ht="25.5" customHeight="1">
      <c r="A6" s="93" t="s">
        <v>56</v>
      </c>
      <c r="B6" s="94">
        <v>1197376503</v>
      </c>
      <c r="C6" s="95">
        <v>0.2</v>
      </c>
      <c r="D6" s="103">
        <f t="shared" si="0"/>
        <v>239475300.60000002</v>
      </c>
      <c r="E6" s="103">
        <f t="shared" si="1"/>
        <v>957901202.39999998</v>
      </c>
    </row>
    <row r="7" spans="1:6" ht="25.5" customHeight="1">
      <c r="A7" s="93" t="s">
        <v>57</v>
      </c>
      <c r="B7" s="94">
        <v>2189235910</v>
      </c>
      <c r="C7" s="95">
        <v>0.2</v>
      </c>
      <c r="D7" s="103">
        <f t="shared" si="0"/>
        <v>437847182</v>
      </c>
      <c r="E7" s="103">
        <f t="shared" si="1"/>
        <v>1751388728</v>
      </c>
    </row>
    <row r="8" spans="1:6" ht="25.5" customHeight="1">
      <c r="A8" s="93" t="s">
        <v>183</v>
      </c>
      <c r="B8" s="94">
        <v>0</v>
      </c>
      <c r="C8" s="95">
        <v>0.2</v>
      </c>
      <c r="D8" s="103">
        <f t="shared" si="0"/>
        <v>0</v>
      </c>
      <c r="E8" s="103">
        <f t="shared" si="1"/>
        <v>0</v>
      </c>
    </row>
    <row r="9" spans="1:6" ht="25.5" customHeight="1">
      <c r="A9" s="93" t="s">
        <v>58</v>
      </c>
      <c r="B9" s="94">
        <v>927868809</v>
      </c>
      <c r="C9" s="95">
        <v>0.2</v>
      </c>
      <c r="D9" s="103">
        <f t="shared" si="0"/>
        <v>185573761.80000001</v>
      </c>
      <c r="E9" s="103">
        <f t="shared" si="1"/>
        <v>742295047.20000005</v>
      </c>
    </row>
    <row r="10" spans="1:6" ht="25.5" customHeight="1">
      <c r="A10" s="93" t="s">
        <v>105</v>
      </c>
      <c r="B10" s="94">
        <v>207677784</v>
      </c>
      <c r="C10" s="95">
        <v>0.2</v>
      </c>
      <c r="D10" s="103">
        <f t="shared" si="0"/>
        <v>41535556.800000004</v>
      </c>
      <c r="E10" s="103">
        <f t="shared" si="1"/>
        <v>166142227.19999999</v>
      </c>
    </row>
    <row r="11" spans="1:6" ht="25.5" customHeight="1">
      <c r="A11" s="93" t="s">
        <v>59</v>
      </c>
      <c r="B11" s="94">
        <v>1270773990</v>
      </c>
      <c r="C11" s="95">
        <v>0.2</v>
      </c>
      <c r="D11" s="103">
        <f t="shared" si="0"/>
        <v>254154798</v>
      </c>
      <c r="E11" s="103">
        <f t="shared" si="1"/>
        <v>1016619192</v>
      </c>
    </row>
    <row r="12" spans="1:6" ht="25.5" customHeight="1">
      <c r="A12" s="93" t="s">
        <v>171</v>
      </c>
      <c r="B12" s="94">
        <v>530000000</v>
      </c>
      <c r="C12" s="95">
        <v>0.2</v>
      </c>
      <c r="D12" s="103">
        <f t="shared" si="0"/>
        <v>106000000</v>
      </c>
      <c r="E12" s="103">
        <f t="shared" si="1"/>
        <v>424000000</v>
      </c>
    </row>
    <row r="13" spans="1:6" ht="25.5" customHeight="1">
      <c r="A13" s="96" t="s">
        <v>53</v>
      </c>
      <c r="B13" s="97">
        <f>SUM(B3:B12)</f>
        <v>43836118649</v>
      </c>
      <c r="C13" s="96"/>
      <c r="D13" s="97">
        <f>SUM(D3:D12)</f>
        <v>9845319324.1999989</v>
      </c>
      <c r="E13" s="97">
        <f>SUM(E3:E12)</f>
        <v>33990799324.800003</v>
      </c>
    </row>
    <row r="14" spans="1:6">
      <c r="A14" s="98"/>
      <c r="B14" s="98"/>
      <c r="C14" s="99"/>
      <c r="D14" s="100"/>
    </row>
    <row r="15" spans="1:6">
      <c r="A15" s="101" t="s">
        <v>106</v>
      </c>
      <c r="B15" s="101"/>
    </row>
    <row r="16" spans="1:6" ht="13.8" thickBot="1">
      <c r="B16" s="102"/>
    </row>
    <row r="17" spans="1:4" ht="40.200000000000003" thickTop="1">
      <c r="A17" s="107" t="s">
        <v>114</v>
      </c>
      <c r="B17" s="108" t="s">
        <v>108</v>
      </c>
      <c r="C17" s="108" t="s">
        <v>109</v>
      </c>
      <c r="D17" s="109" t="s">
        <v>170</v>
      </c>
    </row>
    <row r="18" spans="1:4" ht="17.25" customHeight="1">
      <c r="A18" s="110" t="s">
        <v>112</v>
      </c>
      <c r="B18" s="104">
        <f>E13</f>
        <v>33990799324.800003</v>
      </c>
      <c r="C18" s="104">
        <f>C20/C19</f>
        <v>495000000.00000006</v>
      </c>
      <c r="D18" s="111">
        <v>637047533</v>
      </c>
    </row>
    <row r="19" spans="1:4" ht="17.25" customHeight="1">
      <c r="A19" s="110" t="s">
        <v>87</v>
      </c>
      <c r="B19" s="105">
        <v>1.84E-2</v>
      </c>
      <c r="C19" s="105">
        <v>0.35</v>
      </c>
      <c r="D19" s="112">
        <v>1</v>
      </c>
    </row>
    <row r="20" spans="1:4" ht="17.25" customHeight="1">
      <c r="A20" s="110" t="s">
        <v>86</v>
      </c>
      <c r="B20" s="106">
        <f>B18*B19</f>
        <v>625430707.57632005</v>
      </c>
      <c r="C20" s="106">
        <v>173250000</v>
      </c>
      <c r="D20" s="262">
        <f>D18*D19</f>
        <v>637047533</v>
      </c>
    </row>
    <row r="21" spans="1:4" ht="17.25" customHeight="1">
      <c r="A21" s="114"/>
      <c r="B21" s="115"/>
      <c r="C21" s="115"/>
      <c r="D21" s="116"/>
    </row>
    <row r="22" spans="1:4" ht="24.75" customHeight="1">
      <c r="A22" s="350" t="s">
        <v>111</v>
      </c>
      <c r="B22" s="353" t="s">
        <v>110</v>
      </c>
      <c r="C22" s="385"/>
      <c r="D22" s="386"/>
    </row>
    <row r="23" spans="1:4">
      <c r="A23" s="351"/>
      <c r="B23" s="355" t="str">
        <f>IF(B20&gt;D20,"1.84% Particpaciones del Estado","Ley de Egresos 2020")</f>
        <v>Ley de Egresos 2020</v>
      </c>
      <c r="C23" s="355"/>
      <c r="D23" s="356"/>
    </row>
    <row r="24" spans="1:4">
      <c r="A24" s="352"/>
      <c r="B24" s="115"/>
      <c r="C24" s="115"/>
      <c r="D24" s="116"/>
    </row>
    <row r="25" spans="1:4" ht="13.8" thickBot="1">
      <c r="A25" s="117" t="s">
        <v>113</v>
      </c>
      <c r="B25" s="382">
        <f>IF(B23="Ley de Egresos 2020",D20+C20,B20+C20)</f>
        <v>810297533</v>
      </c>
      <c r="C25" s="387"/>
      <c r="D25" s="383"/>
    </row>
    <row r="26" spans="1:4" ht="13.8" thickTop="1"/>
    <row r="27" spans="1:4" ht="13.8" thickBot="1"/>
    <row r="28" spans="1:4" ht="27" thickTop="1">
      <c r="A28" s="107" t="s">
        <v>162</v>
      </c>
      <c r="B28" s="109" t="s">
        <v>108</v>
      </c>
    </row>
    <row r="29" spans="1:4">
      <c r="A29" s="110" t="s">
        <v>151</v>
      </c>
      <c r="B29" s="111">
        <f>E13</f>
        <v>33990799324.800003</v>
      </c>
    </row>
    <row r="30" spans="1:4">
      <c r="A30" s="110" t="s">
        <v>87</v>
      </c>
      <c r="B30" s="112">
        <v>1.5299999999999999E-2</v>
      </c>
    </row>
    <row r="31" spans="1:4" ht="13.8" thickBot="1">
      <c r="A31" s="117" t="s">
        <v>86</v>
      </c>
      <c r="B31" s="194">
        <f>B29*B30</f>
        <v>520059229.66944003</v>
      </c>
    </row>
    <row r="32" spans="1:4" ht="14.4" thickTop="1" thickBot="1"/>
    <row r="33" spans="1:5" ht="27.75" customHeight="1" thickTop="1">
      <c r="A33" s="107" t="s">
        <v>148</v>
      </c>
      <c r="B33" s="109" t="s">
        <v>108</v>
      </c>
    </row>
    <row r="34" spans="1:5">
      <c r="A34" s="110" t="s">
        <v>112</v>
      </c>
      <c r="B34" s="111">
        <f>$E$13</f>
        <v>33990799324.800003</v>
      </c>
    </row>
    <row r="35" spans="1:5">
      <c r="A35" s="110" t="s">
        <v>87</v>
      </c>
      <c r="B35" s="112">
        <v>5.4000000000000003E-3</v>
      </c>
    </row>
    <row r="36" spans="1:5" ht="13.8" thickBot="1">
      <c r="A36" s="117" t="s">
        <v>86</v>
      </c>
      <c r="B36" s="194">
        <f>B34*B35</f>
        <v>183550316.35392001</v>
      </c>
    </row>
    <row r="37" spans="1:5" ht="14.4" thickTop="1" thickBot="1"/>
    <row r="38" spans="1:5" ht="27" thickTop="1">
      <c r="A38" s="107" t="s">
        <v>150</v>
      </c>
      <c r="B38" s="108" t="s">
        <v>108</v>
      </c>
      <c r="C38" s="109" t="s">
        <v>170</v>
      </c>
    </row>
    <row r="39" spans="1:5">
      <c r="A39" s="110" t="s">
        <v>112</v>
      </c>
      <c r="B39" s="104">
        <f>$E$13</f>
        <v>33990799324.800003</v>
      </c>
      <c r="C39" s="111">
        <v>443163501</v>
      </c>
    </row>
    <row r="40" spans="1:5">
      <c r="A40" s="110" t="s">
        <v>87</v>
      </c>
      <c r="B40" s="105">
        <v>1.2800000000000001E-2</v>
      </c>
      <c r="C40" s="112">
        <v>1</v>
      </c>
    </row>
    <row r="41" spans="1:5">
      <c r="A41" s="110" t="s">
        <v>86</v>
      </c>
      <c r="B41" s="106">
        <f>B39*B40</f>
        <v>435082231.35744005</v>
      </c>
      <c r="C41" s="113">
        <f>C39*C40</f>
        <v>443163501</v>
      </c>
    </row>
    <row r="42" spans="1:5">
      <c r="A42" s="114"/>
      <c r="B42" s="115"/>
      <c r="C42" s="116"/>
      <c r="D42" s="264"/>
      <c r="E42" s="264">
        <f>C41/12</f>
        <v>36930291.75</v>
      </c>
    </row>
    <row r="43" spans="1:5" ht="24" customHeight="1">
      <c r="A43" s="350" t="s">
        <v>111</v>
      </c>
      <c r="B43" s="353" t="s">
        <v>152</v>
      </c>
      <c r="C43" s="354"/>
    </row>
    <row r="44" spans="1:5">
      <c r="A44" s="351"/>
      <c r="B44" s="358" t="str">
        <f>IF(B41&gt;C41,"1.28% Participaciones del Estado","Ley de Egresos 2021")</f>
        <v>Ley de Egresos 2021</v>
      </c>
      <c r="C44" s="359"/>
    </row>
    <row r="45" spans="1:5">
      <c r="A45" s="352"/>
      <c r="B45" s="360"/>
      <c r="C45" s="361"/>
    </row>
    <row r="46" spans="1:5" ht="13.8" thickBot="1">
      <c r="A46" s="117" t="s">
        <v>163</v>
      </c>
      <c r="B46" s="382">
        <f>IF($B$44="1.28% Participaciones del Estado",B41,C41)</f>
        <v>443163501</v>
      </c>
      <c r="C46" s="383"/>
    </row>
    <row r="47" spans="1:5" ht="13.8" thickTop="1"/>
  </sheetData>
  <mergeCells count="9">
    <mergeCell ref="B46:C46"/>
    <mergeCell ref="B44:C45"/>
    <mergeCell ref="A1:D1"/>
    <mergeCell ref="B22:D22"/>
    <mergeCell ref="B23:D23"/>
    <mergeCell ref="B25:D25"/>
    <mergeCell ref="A43:A45"/>
    <mergeCell ref="A22:A24"/>
    <mergeCell ref="B43:C4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Q119"/>
  <sheetViews>
    <sheetView zoomScaleNormal="100" workbookViewId="0">
      <selection activeCell="G113" sqref="G113"/>
    </sheetView>
  </sheetViews>
  <sheetFormatPr baseColWidth="10" defaultColWidth="11.44140625" defaultRowHeight="13.2"/>
  <cols>
    <col min="1" max="1" width="27.21875" style="13" bestFit="1" customWidth="1"/>
    <col min="2" max="2" width="28.33203125" style="9" customWidth="1"/>
    <col min="3" max="4" width="18.44140625" style="9" customWidth="1"/>
    <col min="5" max="5" width="15.109375" style="9" customWidth="1"/>
    <col min="6" max="6" width="19.6640625" style="9" customWidth="1"/>
    <col min="7" max="8" width="20.6640625" style="9" customWidth="1"/>
    <col min="9" max="9" width="15.109375" style="9" customWidth="1"/>
    <col min="10" max="11" width="11.44140625" style="13"/>
    <col min="12" max="12" width="28.109375" style="13" bestFit="1" customWidth="1"/>
    <col min="13" max="17" width="20.6640625" style="13" customWidth="1"/>
    <col min="18" max="16384" width="11.44140625" style="13"/>
  </cols>
  <sheetData>
    <row r="1" spans="1:17">
      <c r="B1" s="362" t="s">
        <v>84</v>
      </c>
      <c r="C1" s="362"/>
      <c r="D1" s="362"/>
      <c r="E1" s="362"/>
      <c r="F1" s="362"/>
      <c r="G1" s="362"/>
      <c r="H1" s="362"/>
      <c r="I1" s="362"/>
      <c r="L1" s="362" t="s">
        <v>84</v>
      </c>
      <c r="M1" s="362"/>
      <c r="N1" s="362"/>
      <c r="O1" s="362"/>
      <c r="P1" s="362"/>
      <c r="Q1" s="362"/>
    </row>
    <row r="2" spans="1:17">
      <c r="B2" s="362" t="s">
        <v>85</v>
      </c>
      <c r="C2" s="362"/>
      <c r="D2" s="362"/>
      <c r="E2" s="362"/>
      <c r="F2" s="362"/>
      <c r="G2" s="362"/>
      <c r="H2" s="362"/>
      <c r="I2" s="362"/>
      <c r="L2" s="362" t="s">
        <v>85</v>
      </c>
      <c r="M2" s="362"/>
      <c r="N2" s="362"/>
      <c r="O2" s="362"/>
      <c r="P2" s="362"/>
      <c r="Q2" s="362"/>
    </row>
    <row r="3" spans="1:17">
      <c r="B3" s="362" t="s">
        <v>165</v>
      </c>
      <c r="C3" s="362"/>
      <c r="D3" s="362"/>
      <c r="E3" s="362"/>
      <c r="F3" s="362"/>
      <c r="G3" s="362"/>
      <c r="H3" s="362"/>
      <c r="I3" s="362"/>
      <c r="L3" s="362" t="s">
        <v>165</v>
      </c>
      <c r="M3" s="362"/>
      <c r="N3" s="362"/>
      <c r="O3" s="362"/>
      <c r="P3" s="362"/>
      <c r="Q3" s="362"/>
    </row>
    <row r="4" spans="1:17" ht="13.8" thickBot="1">
      <c r="B4" s="362" t="s">
        <v>175</v>
      </c>
      <c r="C4" s="362"/>
      <c r="D4" s="362"/>
      <c r="E4" s="362"/>
      <c r="F4" s="362"/>
      <c r="G4" s="362"/>
      <c r="H4" s="362"/>
      <c r="I4" s="362"/>
      <c r="L4" s="362" t="s">
        <v>175</v>
      </c>
      <c r="M4" s="362"/>
      <c r="N4" s="362"/>
      <c r="O4" s="362"/>
      <c r="P4" s="362"/>
      <c r="Q4" s="362"/>
    </row>
    <row r="5" spans="1:17" ht="40.799999999999997" thickTop="1" thickBot="1">
      <c r="B5" s="63" t="s">
        <v>0</v>
      </c>
      <c r="C5" s="60" t="s">
        <v>136</v>
      </c>
      <c r="D5" s="267" t="s">
        <v>190</v>
      </c>
      <c r="E5" s="60" t="s">
        <v>144</v>
      </c>
      <c r="F5" s="60" t="s">
        <v>149</v>
      </c>
      <c r="G5" s="60" t="s">
        <v>164</v>
      </c>
      <c r="H5" s="267" t="s">
        <v>191</v>
      </c>
      <c r="I5" s="61" t="s">
        <v>53</v>
      </c>
      <c r="L5" s="257"/>
      <c r="M5" s="252" t="s">
        <v>166</v>
      </c>
      <c r="N5" s="252" t="s">
        <v>167</v>
      </c>
      <c r="O5" s="252" t="s">
        <v>168</v>
      </c>
      <c r="P5" s="254" t="s">
        <v>169</v>
      </c>
      <c r="Q5" s="253" t="s">
        <v>53</v>
      </c>
    </row>
    <row r="6" spans="1:17">
      <c r="A6" s="13" t="s">
        <v>1</v>
      </c>
      <c r="B6" s="64" t="s">
        <v>1</v>
      </c>
      <c r="C6" s="9">
        <v>3634800.5978979315</v>
      </c>
      <c r="D6" s="9">
        <v>1164266.1491907474</v>
      </c>
      <c r="E6" s="9">
        <v>3133486.17</v>
      </c>
      <c r="F6" s="9">
        <v>0</v>
      </c>
      <c r="G6" s="9">
        <v>786456.87887226848</v>
      </c>
      <c r="H6" s="9">
        <v>957977.40371158405</v>
      </c>
      <c r="I6" s="62">
        <f>SUM(C6:H6)</f>
        <v>9676987.1996725313</v>
      </c>
      <c r="L6" s="257" t="s">
        <v>6</v>
      </c>
      <c r="M6" s="250">
        <f t="shared" ref="M6:M17" si="0">VLOOKUP(L6,$B$6:$G$56,3,FALSE)</f>
        <v>10828631.311058171</v>
      </c>
      <c r="N6" s="250">
        <f t="shared" ref="N6:N17" si="1">VLOOKUP(L6,$B$6:$G$56,4,FALSE)</f>
        <v>29150918.780000001</v>
      </c>
      <c r="O6" s="250">
        <f t="shared" ref="O6:O17" si="2">VLOOKUP(L6,$B$6:$G$56,5,FALSE)</f>
        <v>30500525.904894315</v>
      </c>
      <c r="P6" s="251">
        <f t="shared" ref="P6:P17" si="3">VLOOKUP(L6,$B$6:$G$56,2,FALSE)</f>
        <v>40982390.550429337</v>
      </c>
      <c r="Q6" s="255">
        <f>SUM(M6:P6)</f>
        <v>111462466.54638183</v>
      </c>
    </row>
    <row r="7" spans="1:17">
      <c r="A7" s="13" t="s">
        <v>2</v>
      </c>
      <c r="B7" s="64" t="s">
        <v>2</v>
      </c>
      <c r="C7" s="9">
        <v>3721888.2387662423</v>
      </c>
      <c r="D7" s="9">
        <v>1186801.6531819459</v>
      </c>
      <c r="E7" s="9">
        <v>3504850.52</v>
      </c>
      <c r="F7" s="9">
        <v>0</v>
      </c>
      <c r="G7" s="9">
        <v>1406832.0655235953</v>
      </c>
      <c r="H7" s="9">
        <v>1493800.6134079469</v>
      </c>
      <c r="I7" s="62">
        <f t="shared" ref="I7:I56" si="4">SUM(C7:H7)</f>
        <v>11314173.090879729</v>
      </c>
      <c r="L7" s="258" t="s">
        <v>9</v>
      </c>
      <c r="M7" s="249">
        <f t="shared" si="0"/>
        <v>2831639.3110679695</v>
      </c>
      <c r="N7" s="249">
        <f t="shared" si="1"/>
        <v>11301342.189999999</v>
      </c>
      <c r="O7" s="249">
        <f t="shared" si="2"/>
        <v>10807381.677791363</v>
      </c>
      <c r="P7" s="211">
        <f t="shared" si="3"/>
        <v>10078303.932535332</v>
      </c>
      <c r="Q7" s="208">
        <f t="shared" ref="Q7:Q57" si="5">SUM(M7:P7)</f>
        <v>35018667.111394659</v>
      </c>
    </row>
    <row r="8" spans="1:17">
      <c r="A8" s="13" t="s">
        <v>192</v>
      </c>
      <c r="B8" s="64" t="s">
        <v>3</v>
      </c>
      <c r="C8" s="9">
        <v>3300324.2909355713</v>
      </c>
      <c r="D8" s="9">
        <v>1077714.3483225896</v>
      </c>
      <c r="E8" s="9">
        <v>3726741.57</v>
      </c>
      <c r="F8" s="9">
        <v>0</v>
      </c>
      <c r="G8" s="9">
        <v>1777507.6809280245</v>
      </c>
      <c r="H8" s="9">
        <v>432281.36959834397</v>
      </c>
      <c r="I8" s="62">
        <f t="shared" si="4"/>
        <v>10314569.259784531</v>
      </c>
      <c r="L8" s="258" t="s">
        <v>18</v>
      </c>
      <c r="M8" s="249">
        <f t="shared" si="0"/>
        <v>6946984.9068781547</v>
      </c>
      <c r="N8" s="249">
        <f t="shared" si="1"/>
        <v>17931628.760000002</v>
      </c>
      <c r="O8" s="249">
        <f t="shared" si="2"/>
        <v>19432331.817890011</v>
      </c>
      <c r="P8" s="211">
        <f t="shared" si="3"/>
        <v>25981908.282226115</v>
      </c>
      <c r="Q8" s="208">
        <f t="shared" si="5"/>
        <v>70292853.766994283</v>
      </c>
    </row>
    <row r="9" spans="1:17">
      <c r="A9" s="13" t="s">
        <v>4</v>
      </c>
      <c r="B9" s="64" t="s">
        <v>4</v>
      </c>
      <c r="C9" s="9">
        <v>10532440.584808372</v>
      </c>
      <c r="D9" s="9">
        <v>2949155.3930034572</v>
      </c>
      <c r="E9" s="9">
        <v>7665104.1799999997</v>
      </c>
      <c r="F9" s="9">
        <v>0</v>
      </c>
      <c r="G9" s="9">
        <v>8356659.6481780438</v>
      </c>
      <c r="H9" s="9">
        <v>161580.9495005114</v>
      </c>
      <c r="I9" s="62">
        <f t="shared" si="4"/>
        <v>29664940.755490385</v>
      </c>
      <c r="L9" s="258" t="s">
        <v>20</v>
      </c>
      <c r="M9" s="249">
        <f t="shared" si="0"/>
        <v>8204759.3761245646</v>
      </c>
      <c r="N9" s="249">
        <f t="shared" si="1"/>
        <v>21751610.190000001</v>
      </c>
      <c r="O9" s="249">
        <f t="shared" si="2"/>
        <v>23127800.437401839</v>
      </c>
      <c r="P9" s="211">
        <f t="shared" si="3"/>
        <v>30842532.269772224</v>
      </c>
      <c r="Q9" s="208">
        <f t="shared" si="5"/>
        <v>83926702.273298621</v>
      </c>
    </row>
    <row r="10" spans="1:17">
      <c r="A10" s="13" t="s">
        <v>193</v>
      </c>
      <c r="B10" s="64" t="s">
        <v>5</v>
      </c>
      <c r="C10" s="9">
        <v>6848505.3060187306</v>
      </c>
      <c r="D10" s="9">
        <v>1995870.433728707</v>
      </c>
      <c r="E10" s="9">
        <v>6113138.6200000001</v>
      </c>
      <c r="F10" s="9">
        <v>0</v>
      </c>
      <c r="G10" s="9">
        <v>5764054.9902188107</v>
      </c>
      <c r="H10" s="9">
        <v>373573.40857122</v>
      </c>
      <c r="I10" s="62">
        <f t="shared" si="4"/>
        <v>21095142.758537471</v>
      </c>
      <c r="L10" s="258" t="s">
        <v>25</v>
      </c>
      <c r="M10" s="249">
        <f t="shared" si="0"/>
        <v>10629188.237721926</v>
      </c>
      <c r="N10" s="249">
        <f t="shared" si="1"/>
        <v>25819930.120000001</v>
      </c>
      <c r="O10" s="249">
        <f t="shared" si="2"/>
        <v>0</v>
      </c>
      <c r="P10" s="211">
        <f t="shared" si="3"/>
        <v>40211650.000266239</v>
      </c>
      <c r="Q10" s="208">
        <f t="shared" si="5"/>
        <v>76660768.357988164</v>
      </c>
    </row>
    <row r="11" spans="1:17">
      <c r="A11" s="13" t="s">
        <v>6</v>
      </c>
      <c r="B11" s="64" t="s">
        <v>6</v>
      </c>
      <c r="C11" s="9">
        <v>40982390.550429337</v>
      </c>
      <c r="D11" s="9">
        <v>10828631.311058171</v>
      </c>
      <c r="E11" s="9">
        <v>29150918.780000001</v>
      </c>
      <c r="F11" s="9">
        <v>30500525.904894315</v>
      </c>
      <c r="G11" s="9">
        <v>25555475.876100872</v>
      </c>
      <c r="H11" s="9">
        <v>0</v>
      </c>
      <c r="I11" s="62">
        <f t="shared" si="4"/>
        <v>137017942.4224827</v>
      </c>
      <c r="L11" s="258" t="s">
        <v>31</v>
      </c>
      <c r="M11" s="249">
        <f t="shared" si="0"/>
        <v>8059679.9240843095</v>
      </c>
      <c r="N11" s="249">
        <f t="shared" si="1"/>
        <v>20539885.899999999</v>
      </c>
      <c r="O11" s="249">
        <f t="shared" si="2"/>
        <v>22246066.818953641</v>
      </c>
      <c r="P11" s="211">
        <f t="shared" si="3"/>
        <v>30281877.969713636</v>
      </c>
      <c r="Q11" s="208">
        <f t="shared" si="5"/>
        <v>81127510.612751573</v>
      </c>
    </row>
    <row r="12" spans="1:17">
      <c r="A12" s="13" t="s">
        <v>7</v>
      </c>
      <c r="B12" s="64" t="s">
        <v>7</v>
      </c>
      <c r="C12" s="9">
        <v>6200043.9017100837</v>
      </c>
      <c r="D12" s="9">
        <v>1828069.3035197323</v>
      </c>
      <c r="E12" s="9">
        <v>5776124.2000000002</v>
      </c>
      <c r="F12" s="9">
        <v>0</v>
      </c>
      <c r="G12" s="9">
        <v>5201062.357268923</v>
      </c>
      <c r="H12" s="9">
        <v>3023612.73697457</v>
      </c>
      <c r="I12" s="62">
        <f t="shared" si="4"/>
        <v>22028912.499473311</v>
      </c>
      <c r="L12" s="258" t="s">
        <v>39</v>
      </c>
      <c r="M12" s="249">
        <f t="shared" si="0"/>
        <v>18112997.234808952</v>
      </c>
      <c r="N12" s="249">
        <f t="shared" si="1"/>
        <v>77841174.790000007</v>
      </c>
      <c r="O12" s="249">
        <f t="shared" si="2"/>
        <v>0</v>
      </c>
      <c r="P12" s="211">
        <f t="shared" si="3"/>
        <v>69132559.446972609</v>
      </c>
      <c r="Q12" s="208">
        <f t="shared" si="5"/>
        <v>165086731.47178155</v>
      </c>
    </row>
    <row r="13" spans="1:17">
      <c r="A13" s="13" t="s">
        <v>8</v>
      </c>
      <c r="B13" s="64" t="s">
        <v>8</v>
      </c>
      <c r="C13" s="9">
        <v>3781440.8167129545</v>
      </c>
      <c r="D13" s="9">
        <v>1202211.9610582804</v>
      </c>
      <c r="E13" s="9">
        <v>3542810.45</v>
      </c>
      <c r="F13" s="9">
        <v>0</v>
      </c>
      <c r="G13" s="9">
        <v>1470245.2649857672</v>
      </c>
      <c r="H13" s="9">
        <v>1503973.8146353802</v>
      </c>
      <c r="I13" s="62">
        <f t="shared" si="4"/>
        <v>11500682.307392381</v>
      </c>
      <c r="L13" s="258" t="s">
        <v>45</v>
      </c>
      <c r="M13" s="249">
        <f t="shared" si="0"/>
        <v>2299067.4649870722</v>
      </c>
      <c r="N13" s="249">
        <f t="shared" si="1"/>
        <v>10527748.359999999</v>
      </c>
      <c r="O13" s="249">
        <f t="shared" si="2"/>
        <v>9741093.1909087617</v>
      </c>
      <c r="P13" s="211">
        <f t="shared" si="3"/>
        <v>8020199.2774905432</v>
      </c>
      <c r="Q13" s="208">
        <f t="shared" si="5"/>
        <v>30588108.293386377</v>
      </c>
    </row>
    <row r="14" spans="1:17">
      <c r="A14" s="13" t="s">
        <v>194</v>
      </c>
      <c r="B14" s="64" t="s">
        <v>9</v>
      </c>
      <c r="C14" s="9">
        <v>10078303.932535332</v>
      </c>
      <c r="D14" s="9">
        <v>2831639.3110679695</v>
      </c>
      <c r="E14" s="9">
        <v>11301342.189999999</v>
      </c>
      <c r="F14" s="9">
        <v>10807381.677791363</v>
      </c>
      <c r="G14" s="9">
        <v>4000944.8289309465</v>
      </c>
      <c r="H14" s="9">
        <v>2079827.3052378078</v>
      </c>
      <c r="I14" s="62">
        <f t="shared" si="4"/>
        <v>41099439.245563418</v>
      </c>
      <c r="L14" s="258" t="s">
        <v>46</v>
      </c>
      <c r="M14" s="249">
        <f t="shared" si="0"/>
        <v>7171476.2695088647</v>
      </c>
      <c r="N14" s="249">
        <f t="shared" si="1"/>
        <v>25672427.239999998</v>
      </c>
      <c r="O14" s="249">
        <f t="shared" si="2"/>
        <v>0</v>
      </c>
      <c r="P14" s="211">
        <f t="shared" si="3"/>
        <v>26849447.041264139</v>
      </c>
      <c r="Q14" s="208">
        <f t="shared" si="5"/>
        <v>59693350.550773002</v>
      </c>
    </row>
    <row r="15" spans="1:17">
      <c r="A15" s="13" t="s">
        <v>195</v>
      </c>
      <c r="B15" s="64" t="s">
        <v>10</v>
      </c>
      <c r="C15" s="9">
        <v>25300839.565292563</v>
      </c>
      <c r="D15" s="9">
        <v>6770746.0440991595</v>
      </c>
      <c r="E15" s="9">
        <v>9031679.4000000004</v>
      </c>
      <c r="F15" s="9">
        <v>9994317.4785233811</v>
      </c>
      <c r="G15" s="9">
        <v>10639564.233837573</v>
      </c>
      <c r="H15" s="9">
        <v>0</v>
      </c>
      <c r="I15" s="62">
        <f t="shared" si="4"/>
        <v>61737146.721752681</v>
      </c>
      <c r="L15" s="258" t="s">
        <v>47</v>
      </c>
      <c r="M15" s="249">
        <f t="shared" si="0"/>
        <v>2978844.7984219203</v>
      </c>
      <c r="N15" s="249">
        <f t="shared" si="1"/>
        <v>42048535.149999999</v>
      </c>
      <c r="O15" s="249">
        <f t="shared" si="2"/>
        <v>0</v>
      </c>
      <c r="P15" s="211">
        <f t="shared" si="3"/>
        <v>10647174.219240803</v>
      </c>
      <c r="Q15" s="208">
        <f t="shared" si="5"/>
        <v>55674554.167662725</v>
      </c>
    </row>
    <row r="16" spans="1:17">
      <c r="A16" s="13" t="s">
        <v>189</v>
      </c>
      <c r="B16" s="64" t="s">
        <v>189</v>
      </c>
      <c r="C16" s="9">
        <v>4566723.7352289231</v>
      </c>
      <c r="D16" s="9">
        <v>1405418.1355279372</v>
      </c>
      <c r="E16" s="9">
        <v>5101028.28</v>
      </c>
      <c r="F16" s="9">
        <v>0</v>
      </c>
      <c r="G16" s="9">
        <v>4073294.5275232112</v>
      </c>
      <c r="H16" s="9">
        <v>0</v>
      </c>
      <c r="I16" s="62">
        <f t="shared" si="4"/>
        <v>15146464.678280074</v>
      </c>
      <c r="L16" s="258" t="s">
        <v>48</v>
      </c>
      <c r="M16" s="249">
        <f t="shared" si="0"/>
        <v>5586277.389873567</v>
      </c>
      <c r="N16" s="249">
        <f t="shared" si="1"/>
        <v>17098937.399999999</v>
      </c>
      <c r="O16" s="249">
        <f t="shared" si="2"/>
        <v>17383623.776573174</v>
      </c>
      <c r="P16" s="211">
        <f t="shared" si="3"/>
        <v>20723503.251036789</v>
      </c>
      <c r="Q16" s="208">
        <f t="shared" si="5"/>
        <v>60792341.817483529</v>
      </c>
    </row>
    <row r="17" spans="1:17" ht="13.8" thickBot="1">
      <c r="A17" s="13" t="s">
        <v>12</v>
      </c>
      <c r="B17" s="64" t="s">
        <v>12</v>
      </c>
      <c r="C17" s="9">
        <v>5119559.4946625624</v>
      </c>
      <c r="D17" s="9">
        <v>1548474.3986093211</v>
      </c>
      <c r="E17" s="9">
        <v>5697087.5800000001</v>
      </c>
      <c r="F17" s="9">
        <v>0</v>
      </c>
      <c r="G17" s="9">
        <v>5069029.336094101</v>
      </c>
      <c r="H17" s="9">
        <v>494102.94496419467</v>
      </c>
      <c r="I17" s="62">
        <f t="shared" si="4"/>
        <v>17928253.754330181</v>
      </c>
      <c r="L17" s="258" t="s">
        <v>49</v>
      </c>
      <c r="M17" s="249">
        <f t="shared" si="0"/>
        <v>1700453.7754645273</v>
      </c>
      <c r="N17" s="249">
        <f t="shared" si="1"/>
        <v>12351398.9</v>
      </c>
      <c r="O17" s="249">
        <f t="shared" si="2"/>
        <v>10133382.321452726</v>
      </c>
      <c r="P17" s="211">
        <f t="shared" si="3"/>
        <v>5706878.3048442658</v>
      </c>
      <c r="Q17" s="208">
        <f t="shared" si="5"/>
        <v>29892113.301761523</v>
      </c>
    </row>
    <row r="18" spans="1:17" ht="13.8" thickBot="1">
      <c r="A18" s="13" t="s">
        <v>196</v>
      </c>
      <c r="B18" s="64" t="s">
        <v>13</v>
      </c>
      <c r="C18" s="9">
        <v>17674054.036210187</v>
      </c>
      <c r="D18" s="9">
        <v>4797177.1884385701</v>
      </c>
      <c r="E18" s="9">
        <v>7439228.0999999996</v>
      </c>
      <c r="F18" s="9">
        <v>9019705.8356857095</v>
      </c>
      <c r="G18" s="9">
        <v>7979326.9282206465</v>
      </c>
      <c r="H18" s="9">
        <v>0</v>
      </c>
      <c r="I18" s="62">
        <f t="shared" si="4"/>
        <v>46909492.088555112</v>
      </c>
      <c r="L18" s="259" t="s">
        <v>129</v>
      </c>
      <c r="M18" s="260">
        <f>SUM(M6:M17)</f>
        <v>85350000</v>
      </c>
      <c r="N18" s="260">
        <f>SUM(N6:N17)</f>
        <v>312035537.77999997</v>
      </c>
      <c r="O18" s="260">
        <f>SUM(O6:O17)</f>
        <v>143372205.94586584</v>
      </c>
      <c r="P18" s="261">
        <f>SUM(P6:P17)</f>
        <v>319458424.54579198</v>
      </c>
      <c r="Q18" s="256">
        <f>SUM(Q6:Q17)</f>
        <v>860216168.27165782</v>
      </c>
    </row>
    <row r="19" spans="1:17">
      <c r="A19" s="13" t="s">
        <v>14</v>
      </c>
      <c r="B19" s="64" t="s">
        <v>14</v>
      </c>
      <c r="C19" s="9">
        <v>10702987.214842148</v>
      </c>
      <c r="D19" s="9">
        <v>2993287.4216528879</v>
      </c>
      <c r="E19" s="9">
        <v>9528922.0099999998</v>
      </c>
      <c r="F19" s="9">
        <v>0</v>
      </c>
      <c r="G19" s="9">
        <v>11470222.812779348</v>
      </c>
      <c r="H19" s="9">
        <v>7561413.6032698527</v>
      </c>
      <c r="I19" s="62">
        <f t="shared" si="4"/>
        <v>42256833.062544234</v>
      </c>
      <c r="L19" s="258" t="s">
        <v>1</v>
      </c>
      <c r="M19" s="249">
        <f t="shared" ref="M19:M57" si="6">VLOOKUP(L19,$B$6:$G$56,3,FALSE)</f>
        <v>1164266.1491907474</v>
      </c>
      <c r="N19" s="249">
        <f t="shared" ref="N19:N57" si="7">VLOOKUP(L19,$B$6:$G$56,4,FALSE)</f>
        <v>3133486.17</v>
      </c>
      <c r="O19" s="249">
        <f t="shared" ref="O19:O57" si="8">VLOOKUP(L19,$B$6:$G$56,5,FALSE)</f>
        <v>0</v>
      </c>
      <c r="P19" s="211">
        <f t="shared" ref="P19:P57" si="9">VLOOKUP(L19,$B$6:$G$56,2,FALSE)</f>
        <v>3634800.5978979315</v>
      </c>
      <c r="Q19" s="208">
        <f t="shared" si="5"/>
        <v>7932552.9170886781</v>
      </c>
    </row>
    <row r="20" spans="1:17">
      <c r="A20" s="13" t="s">
        <v>15</v>
      </c>
      <c r="B20" s="64" t="s">
        <v>15</v>
      </c>
      <c r="C20" s="9">
        <v>3290292.1362277023</v>
      </c>
      <c r="D20" s="9">
        <v>1075118.3466373291</v>
      </c>
      <c r="E20" s="9">
        <v>3657728.35</v>
      </c>
      <c r="F20" s="9">
        <v>0</v>
      </c>
      <c r="G20" s="9">
        <v>1662219.0344746455</v>
      </c>
      <c r="H20" s="9">
        <v>965586.7737256519</v>
      </c>
      <c r="I20" s="62">
        <f t="shared" si="4"/>
        <v>10650944.641065327</v>
      </c>
      <c r="L20" s="258" t="s">
        <v>2</v>
      </c>
      <c r="M20" s="249">
        <f t="shared" si="6"/>
        <v>1186801.6531819459</v>
      </c>
      <c r="N20" s="249">
        <f t="shared" si="7"/>
        <v>3504850.52</v>
      </c>
      <c r="O20" s="249">
        <f t="shared" si="8"/>
        <v>0</v>
      </c>
      <c r="P20" s="211">
        <f t="shared" si="9"/>
        <v>3721888.2387662423</v>
      </c>
      <c r="Q20" s="208">
        <f t="shared" si="5"/>
        <v>8413540.4119481873</v>
      </c>
    </row>
    <row r="21" spans="1:17">
      <c r="A21" s="13" t="s">
        <v>197</v>
      </c>
      <c r="B21" s="64" t="s">
        <v>16</v>
      </c>
      <c r="C21" s="9">
        <v>3694993.5261451462</v>
      </c>
      <c r="D21" s="9">
        <v>1179842.159302311</v>
      </c>
      <c r="E21" s="9">
        <v>3329926.12</v>
      </c>
      <c r="F21" s="9">
        <v>0</v>
      </c>
      <c r="G21" s="9">
        <v>1114615.6617491418</v>
      </c>
      <c r="H21" s="9">
        <v>203709.88964086445</v>
      </c>
      <c r="I21" s="62">
        <f t="shared" si="4"/>
        <v>9523087.3568374626</v>
      </c>
      <c r="L21" s="258" t="s">
        <v>3</v>
      </c>
      <c r="M21" s="249">
        <f t="shared" si="6"/>
        <v>1077714.3483225896</v>
      </c>
      <c r="N21" s="249">
        <f t="shared" si="7"/>
        <v>3726741.57</v>
      </c>
      <c r="O21" s="249">
        <f t="shared" si="8"/>
        <v>0</v>
      </c>
      <c r="P21" s="211">
        <f t="shared" si="9"/>
        <v>3300324.2909355713</v>
      </c>
      <c r="Q21" s="208">
        <f t="shared" si="5"/>
        <v>8104780.2092581606</v>
      </c>
    </row>
    <row r="22" spans="1:17">
      <c r="A22" s="13" t="s">
        <v>17</v>
      </c>
      <c r="B22" s="64" t="s">
        <v>17</v>
      </c>
      <c r="C22" s="9">
        <v>11730749.447148316</v>
      </c>
      <c r="D22" s="9">
        <v>3259239.5091960789</v>
      </c>
      <c r="E22" s="9">
        <v>9076729.6300000008</v>
      </c>
      <c r="F22" s="9">
        <v>0</v>
      </c>
      <c r="G22" s="9">
        <v>10714821.975123702</v>
      </c>
      <c r="H22" s="9">
        <v>3055885.6072130613</v>
      </c>
      <c r="I22" s="62">
        <f t="shared" si="4"/>
        <v>37837426.16868116</v>
      </c>
      <c r="L22" s="258" t="s">
        <v>4</v>
      </c>
      <c r="M22" s="249">
        <f t="shared" si="6"/>
        <v>2949155.3930034572</v>
      </c>
      <c r="N22" s="249">
        <f t="shared" si="7"/>
        <v>7665104.1799999997</v>
      </c>
      <c r="O22" s="249">
        <f t="shared" si="8"/>
        <v>0</v>
      </c>
      <c r="P22" s="211">
        <f t="shared" si="9"/>
        <v>10532440.584808372</v>
      </c>
      <c r="Q22" s="208">
        <f t="shared" si="5"/>
        <v>21146700.157811828</v>
      </c>
    </row>
    <row r="23" spans="1:17">
      <c r="A23" s="13" t="s">
        <v>198</v>
      </c>
      <c r="B23" s="64" t="s">
        <v>18</v>
      </c>
      <c r="C23" s="9">
        <v>25981908.282226115</v>
      </c>
      <c r="D23" s="9">
        <v>6946984.9068781547</v>
      </c>
      <c r="E23" s="9">
        <v>17931628.760000002</v>
      </c>
      <c r="F23" s="9">
        <v>19432331.817890011</v>
      </c>
      <c r="G23" s="9">
        <v>12007449.466503495</v>
      </c>
      <c r="H23" s="9">
        <v>0</v>
      </c>
      <c r="I23" s="62">
        <f t="shared" si="4"/>
        <v>82300303.233497784</v>
      </c>
      <c r="L23" s="258" t="s">
        <v>5</v>
      </c>
      <c r="M23" s="249">
        <f t="shared" si="6"/>
        <v>1995870.433728707</v>
      </c>
      <c r="N23" s="249">
        <f t="shared" si="7"/>
        <v>6113138.6200000001</v>
      </c>
      <c r="O23" s="249">
        <f t="shared" si="8"/>
        <v>0</v>
      </c>
      <c r="P23" s="211">
        <f t="shared" si="9"/>
        <v>6848505.3060187306</v>
      </c>
      <c r="Q23" s="208">
        <f t="shared" si="5"/>
        <v>14957514.359747438</v>
      </c>
    </row>
    <row r="24" spans="1:17">
      <c r="A24" s="13" t="s">
        <v>19</v>
      </c>
      <c r="B24" s="64" t="s">
        <v>19</v>
      </c>
      <c r="C24" s="9">
        <v>4175256.2515218593</v>
      </c>
      <c r="D24" s="9">
        <v>1304118.8357243626</v>
      </c>
      <c r="E24" s="9">
        <v>4493475.45</v>
      </c>
      <c r="F24" s="9">
        <v>0</v>
      </c>
      <c r="G24" s="9">
        <v>3058359.4497591765</v>
      </c>
      <c r="H24" s="9">
        <v>0</v>
      </c>
      <c r="I24" s="62">
        <f t="shared" si="4"/>
        <v>13031209.9870054</v>
      </c>
      <c r="L24" s="258" t="s">
        <v>7</v>
      </c>
      <c r="M24" s="249">
        <f t="shared" si="6"/>
        <v>1828069.3035197323</v>
      </c>
      <c r="N24" s="249">
        <f t="shared" si="7"/>
        <v>5776124.2000000002</v>
      </c>
      <c r="O24" s="249">
        <f t="shared" si="8"/>
        <v>0</v>
      </c>
      <c r="P24" s="211">
        <f t="shared" si="9"/>
        <v>6200043.9017100837</v>
      </c>
      <c r="Q24" s="208">
        <f t="shared" si="5"/>
        <v>13804237.405229816</v>
      </c>
    </row>
    <row r="25" spans="1:17">
      <c r="A25" s="13" t="s">
        <v>20</v>
      </c>
      <c r="B25" s="64" t="s">
        <v>20</v>
      </c>
      <c r="C25" s="9">
        <v>30842532.269772224</v>
      </c>
      <c r="D25" s="9">
        <v>8204759.3761245646</v>
      </c>
      <c r="E25" s="9">
        <v>21751610.190000001</v>
      </c>
      <c r="F25" s="9">
        <v>23127800.437401839</v>
      </c>
      <c r="G25" s="9">
        <v>16620326.859381488</v>
      </c>
      <c r="H25" s="9">
        <v>0</v>
      </c>
      <c r="I25" s="62">
        <f t="shared" si="4"/>
        <v>100547029.1326801</v>
      </c>
      <c r="L25" s="258" t="s">
        <v>8</v>
      </c>
      <c r="M25" s="249">
        <f t="shared" si="6"/>
        <v>1202211.9610582804</v>
      </c>
      <c r="N25" s="249">
        <f t="shared" si="7"/>
        <v>3542810.45</v>
      </c>
      <c r="O25" s="249">
        <f t="shared" si="8"/>
        <v>0</v>
      </c>
      <c r="P25" s="211">
        <f t="shared" si="9"/>
        <v>3781440.8167129545</v>
      </c>
      <c r="Q25" s="208">
        <f t="shared" si="5"/>
        <v>8526463.2277712356</v>
      </c>
    </row>
    <row r="26" spans="1:17">
      <c r="A26" s="13" t="s">
        <v>200</v>
      </c>
      <c r="B26" s="64" t="s">
        <v>21</v>
      </c>
      <c r="C26" s="9">
        <v>6011567.4632622451</v>
      </c>
      <c r="D26" s="9">
        <v>1779297.6122838783</v>
      </c>
      <c r="E26" s="9">
        <v>5580952.8300000001</v>
      </c>
      <c r="F26" s="9">
        <v>0</v>
      </c>
      <c r="G26" s="9">
        <v>4875022.774231459</v>
      </c>
      <c r="H26" s="9">
        <v>160782.18650673423</v>
      </c>
      <c r="I26" s="62">
        <f t="shared" si="4"/>
        <v>18407622.866284315</v>
      </c>
      <c r="L26" s="258" t="s">
        <v>10</v>
      </c>
      <c r="M26" s="249">
        <f t="shared" si="6"/>
        <v>6770746.0440991595</v>
      </c>
      <c r="N26" s="249">
        <f t="shared" si="7"/>
        <v>9031679.4000000004</v>
      </c>
      <c r="O26" s="249">
        <f t="shared" si="8"/>
        <v>9994317.4785233811</v>
      </c>
      <c r="P26" s="211">
        <f t="shared" si="9"/>
        <v>25300839.565292563</v>
      </c>
      <c r="Q26" s="208">
        <f t="shared" si="5"/>
        <v>51097582.487915099</v>
      </c>
    </row>
    <row r="27" spans="1:17">
      <c r="A27" s="13" t="s">
        <v>22</v>
      </c>
      <c r="B27" s="64" t="s">
        <v>22</v>
      </c>
      <c r="C27" s="9">
        <v>3385917.7811027104</v>
      </c>
      <c r="D27" s="9">
        <v>1099863.2137649197</v>
      </c>
      <c r="E27" s="9">
        <v>3243351.66</v>
      </c>
      <c r="F27" s="9">
        <v>0</v>
      </c>
      <c r="G27" s="9">
        <v>969990.43592066725</v>
      </c>
      <c r="H27" s="9">
        <v>1609276.8473508339</v>
      </c>
      <c r="I27" s="62">
        <f t="shared" si="4"/>
        <v>10308399.938139131</v>
      </c>
      <c r="L27" s="258" t="s">
        <v>189</v>
      </c>
      <c r="M27" s="249">
        <f t="shared" si="6"/>
        <v>1405418.1355279372</v>
      </c>
      <c r="N27" s="249">
        <f t="shared" si="7"/>
        <v>5101028.28</v>
      </c>
      <c r="O27" s="249">
        <f t="shared" si="8"/>
        <v>0</v>
      </c>
      <c r="P27" s="211">
        <f t="shared" si="9"/>
        <v>4566723.7352289231</v>
      </c>
      <c r="Q27" s="208">
        <f t="shared" si="5"/>
        <v>11073170.150756862</v>
      </c>
    </row>
    <row r="28" spans="1:17">
      <c r="A28" s="13" t="s">
        <v>23</v>
      </c>
      <c r="B28" s="64" t="s">
        <v>23</v>
      </c>
      <c r="C28" s="9">
        <v>4340893.5292517841</v>
      </c>
      <c r="D28" s="9">
        <v>1346980.480570368</v>
      </c>
      <c r="E28" s="9">
        <v>4327252.8600000003</v>
      </c>
      <c r="F28" s="9">
        <v>0</v>
      </c>
      <c r="G28" s="9">
        <v>2780679.6552892257</v>
      </c>
      <c r="H28" s="9">
        <v>1303309.7319823699</v>
      </c>
      <c r="I28" s="62">
        <f t="shared" si="4"/>
        <v>14099116.257093746</v>
      </c>
      <c r="L28" s="258" t="s">
        <v>12</v>
      </c>
      <c r="M28" s="249">
        <f t="shared" si="6"/>
        <v>1548474.3986093211</v>
      </c>
      <c r="N28" s="249">
        <f t="shared" si="7"/>
        <v>5697087.5800000001</v>
      </c>
      <c r="O28" s="249">
        <f t="shared" si="8"/>
        <v>0</v>
      </c>
      <c r="P28" s="211">
        <f t="shared" si="9"/>
        <v>5119559.4946625624</v>
      </c>
      <c r="Q28" s="208">
        <f t="shared" si="5"/>
        <v>12365121.473271884</v>
      </c>
    </row>
    <row r="29" spans="1:17">
      <c r="A29" s="13" t="s">
        <v>24</v>
      </c>
      <c r="B29" s="64" t="s">
        <v>24</v>
      </c>
      <c r="C29" s="9">
        <v>24803714.282002624</v>
      </c>
      <c r="D29" s="9">
        <v>6642105.8754827334</v>
      </c>
      <c r="E29" s="9">
        <v>8685943.0199999996</v>
      </c>
      <c r="F29" s="9">
        <v>9875712.5928713474</v>
      </c>
      <c r="G29" s="9">
        <v>10062001.31197078</v>
      </c>
      <c r="H29" s="9">
        <v>0</v>
      </c>
      <c r="I29" s="62">
        <f t="shared" si="4"/>
        <v>60069477.082327485</v>
      </c>
      <c r="L29" s="258" t="s">
        <v>13</v>
      </c>
      <c r="M29" s="249">
        <f t="shared" si="6"/>
        <v>4797177.1884385701</v>
      </c>
      <c r="N29" s="249">
        <f t="shared" si="7"/>
        <v>7439228.0999999996</v>
      </c>
      <c r="O29" s="249">
        <f t="shared" si="8"/>
        <v>9019705.8356857095</v>
      </c>
      <c r="P29" s="211">
        <f t="shared" si="9"/>
        <v>17674054.036210187</v>
      </c>
      <c r="Q29" s="208">
        <f t="shared" si="5"/>
        <v>38930165.160334468</v>
      </c>
    </row>
    <row r="30" spans="1:17">
      <c r="A30" s="13" t="s">
        <v>25</v>
      </c>
      <c r="B30" s="64" t="s">
        <v>25</v>
      </c>
      <c r="C30" s="9">
        <v>40211650.000266239</v>
      </c>
      <c r="D30" s="9">
        <v>10629188.237721926</v>
      </c>
      <c r="E30" s="9">
        <v>25819930.120000001</v>
      </c>
      <c r="F30" s="9">
        <v>0</v>
      </c>
      <c r="G30" s="9">
        <v>21533089.225419503</v>
      </c>
      <c r="H30" s="9">
        <v>0</v>
      </c>
      <c r="I30" s="62">
        <f t="shared" si="4"/>
        <v>98193857.58340767</v>
      </c>
      <c r="L30" s="258" t="s">
        <v>14</v>
      </c>
      <c r="M30" s="249">
        <f t="shared" si="6"/>
        <v>2993287.4216528879</v>
      </c>
      <c r="N30" s="249">
        <f t="shared" si="7"/>
        <v>9528922.0099999998</v>
      </c>
      <c r="O30" s="249">
        <f t="shared" si="8"/>
        <v>0</v>
      </c>
      <c r="P30" s="211">
        <f t="shared" si="9"/>
        <v>10702987.214842148</v>
      </c>
      <c r="Q30" s="208">
        <f t="shared" si="5"/>
        <v>23225196.646495037</v>
      </c>
    </row>
    <row r="31" spans="1:17">
      <c r="A31" s="13" t="s">
        <v>201</v>
      </c>
      <c r="B31" s="64" t="s">
        <v>26</v>
      </c>
      <c r="C31" s="9">
        <v>3418148.7462279918</v>
      </c>
      <c r="D31" s="9">
        <v>1108203.5596047996</v>
      </c>
      <c r="E31" s="9">
        <v>3270671.09</v>
      </c>
      <c r="F31" s="9">
        <v>0</v>
      </c>
      <c r="G31" s="9">
        <v>1015628.3716966492</v>
      </c>
      <c r="H31" s="9">
        <v>1400552.1969527467</v>
      </c>
      <c r="I31" s="62">
        <f t="shared" si="4"/>
        <v>10213203.964482188</v>
      </c>
      <c r="L31" s="258" t="s">
        <v>15</v>
      </c>
      <c r="M31" s="249">
        <f t="shared" si="6"/>
        <v>1075118.3466373291</v>
      </c>
      <c r="N31" s="249">
        <f t="shared" si="7"/>
        <v>3657728.35</v>
      </c>
      <c r="O31" s="249">
        <f t="shared" si="8"/>
        <v>0</v>
      </c>
      <c r="P31" s="211">
        <f t="shared" si="9"/>
        <v>3290292.1362277023</v>
      </c>
      <c r="Q31" s="208">
        <f t="shared" si="5"/>
        <v>8023138.8328650314</v>
      </c>
    </row>
    <row r="32" spans="1:17">
      <c r="A32" s="13" t="s">
        <v>27</v>
      </c>
      <c r="B32" s="64" t="s">
        <v>27</v>
      </c>
      <c r="C32" s="9">
        <v>6433558.3112932499</v>
      </c>
      <c r="D32" s="9">
        <v>1888495.3853000544</v>
      </c>
      <c r="E32" s="9">
        <v>3815699.12</v>
      </c>
      <c r="F32" s="9">
        <v>0</v>
      </c>
      <c r="G32" s="9">
        <v>1926113.909807907</v>
      </c>
      <c r="H32" s="9">
        <v>597561.13833998377</v>
      </c>
      <c r="I32" s="62">
        <f t="shared" si="4"/>
        <v>14661427.864741195</v>
      </c>
      <c r="L32" s="258" t="s">
        <v>16</v>
      </c>
      <c r="M32" s="249">
        <f t="shared" si="6"/>
        <v>1179842.159302311</v>
      </c>
      <c r="N32" s="249">
        <f t="shared" si="7"/>
        <v>3329926.12</v>
      </c>
      <c r="O32" s="249">
        <f t="shared" si="8"/>
        <v>0</v>
      </c>
      <c r="P32" s="211">
        <f t="shared" si="9"/>
        <v>3694993.5261451462</v>
      </c>
      <c r="Q32" s="208">
        <f t="shared" si="5"/>
        <v>8204761.8054474574</v>
      </c>
    </row>
    <row r="33" spans="1:17">
      <c r="A33" s="13" t="s">
        <v>28</v>
      </c>
      <c r="B33" s="64" t="s">
        <v>28</v>
      </c>
      <c r="C33" s="9">
        <v>3295841.8388320552</v>
      </c>
      <c r="D33" s="9">
        <v>1076554.4326759838</v>
      </c>
      <c r="E33" s="9">
        <v>3521482.98</v>
      </c>
      <c r="F33" s="9">
        <v>0</v>
      </c>
      <c r="G33" s="9">
        <v>1434617.0971836334</v>
      </c>
      <c r="H33" s="9">
        <v>777725.66762956302</v>
      </c>
      <c r="I33" s="62">
        <f t="shared" si="4"/>
        <v>10106222.016321234</v>
      </c>
      <c r="L33" s="258" t="s">
        <v>17</v>
      </c>
      <c r="M33" s="249">
        <f t="shared" si="6"/>
        <v>3259239.5091960789</v>
      </c>
      <c r="N33" s="249">
        <f t="shared" si="7"/>
        <v>9076729.6300000008</v>
      </c>
      <c r="O33" s="249">
        <f t="shared" si="8"/>
        <v>0</v>
      </c>
      <c r="P33" s="211">
        <f t="shared" si="9"/>
        <v>11730749.447148316</v>
      </c>
      <c r="Q33" s="208">
        <f t="shared" si="5"/>
        <v>24066718.586344395</v>
      </c>
    </row>
    <row r="34" spans="1:17">
      <c r="A34" s="13" t="s">
        <v>29</v>
      </c>
      <c r="B34" s="64" t="s">
        <v>29</v>
      </c>
      <c r="C34" s="9">
        <v>4499700.4037763504</v>
      </c>
      <c r="D34" s="9">
        <v>1388074.6349072598</v>
      </c>
      <c r="E34" s="9">
        <v>3684977.98</v>
      </c>
      <c r="F34" s="9">
        <v>0</v>
      </c>
      <c r="G34" s="9">
        <v>1707740.3481501609</v>
      </c>
      <c r="H34" s="9">
        <v>129719.15557216387</v>
      </c>
      <c r="I34" s="62">
        <f t="shared" si="4"/>
        <v>11410212.522405934</v>
      </c>
      <c r="L34" s="258" t="s">
        <v>19</v>
      </c>
      <c r="M34" s="249">
        <f t="shared" si="6"/>
        <v>1304118.8357243626</v>
      </c>
      <c r="N34" s="249">
        <f t="shared" si="7"/>
        <v>4493475.45</v>
      </c>
      <c r="O34" s="249">
        <f t="shared" si="8"/>
        <v>0</v>
      </c>
      <c r="P34" s="211">
        <f t="shared" si="9"/>
        <v>4175256.2515218593</v>
      </c>
      <c r="Q34" s="208">
        <f t="shared" si="5"/>
        <v>9972850.5372462217</v>
      </c>
    </row>
    <row r="35" spans="1:17">
      <c r="A35" s="13" t="s">
        <v>30</v>
      </c>
      <c r="B35" s="64" t="s">
        <v>30</v>
      </c>
      <c r="C35" s="9">
        <v>3703958.4303521784</v>
      </c>
      <c r="D35" s="9">
        <v>1182161.9905955228</v>
      </c>
      <c r="E35" s="9">
        <v>3723138.72</v>
      </c>
      <c r="F35" s="9">
        <v>0</v>
      </c>
      <c r="G35" s="9">
        <v>1771489.0135240941</v>
      </c>
      <c r="H35" s="9">
        <v>640443.69791075634</v>
      </c>
      <c r="I35" s="62">
        <f t="shared" si="4"/>
        <v>11021191.852382552</v>
      </c>
      <c r="L35" s="258" t="s">
        <v>21</v>
      </c>
      <c r="M35" s="249">
        <f t="shared" si="6"/>
        <v>1779297.6122838783</v>
      </c>
      <c r="N35" s="249">
        <f t="shared" si="7"/>
        <v>5580952.8300000001</v>
      </c>
      <c r="O35" s="249">
        <f t="shared" si="8"/>
        <v>0</v>
      </c>
      <c r="P35" s="211">
        <f t="shared" si="9"/>
        <v>6011567.4632622451</v>
      </c>
      <c r="Q35" s="208">
        <f t="shared" si="5"/>
        <v>13371817.905546123</v>
      </c>
    </row>
    <row r="36" spans="1:17">
      <c r="A36" s="13" t="s">
        <v>202</v>
      </c>
      <c r="B36" s="64" t="s">
        <v>31</v>
      </c>
      <c r="C36" s="9">
        <v>30281877.969713636</v>
      </c>
      <c r="D36" s="9">
        <v>8059679.9240843095</v>
      </c>
      <c r="E36" s="9">
        <v>20539885.899999999</v>
      </c>
      <c r="F36" s="9">
        <v>22246066.818953641</v>
      </c>
      <c r="G36" s="9">
        <v>15157090.536375064</v>
      </c>
      <c r="H36" s="9">
        <v>0</v>
      </c>
      <c r="I36" s="62">
        <f t="shared" si="4"/>
        <v>96284601.149126649</v>
      </c>
      <c r="L36" s="258" t="s">
        <v>22</v>
      </c>
      <c r="M36" s="249">
        <f t="shared" si="6"/>
        <v>1099863.2137649197</v>
      </c>
      <c r="N36" s="249">
        <f t="shared" si="7"/>
        <v>3243351.66</v>
      </c>
      <c r="O36" s="249">
        <f t="shared" si="8"/>
        <v>0</v>
      </c>
      <c r="P36" s="211">
        <f t="shared" si="9"/>
        <v>3385917.7811027104</v>
      </c>
      <c r="Q36" s="208">
        <f t="shared" si="5"/>
        <v>7729132.6548676305</v>
      </c>
    </row>
    <row r="37" spans="1:17">
      <c r="A37" s="13" t="s">
        <v>32</v>
      </c>
      <c r="B37" s="64" t="s">
        <v>32</v>
      </c>
      <c r="C37" s="9">
        <v>4142171.4859959083</v>
      </c>
      <c r="D37" s="9">
        <v>1295557.5535708438</v>
      </c>
      <c r="E37" s="9">
        <v>5199408.5199999996</v>
      </c>
      <c r="F37" s="9">
        <v>0</v>
      </c>
      <c r="G37" s="9">
        <v>4237641.6509963283</v>
      </c>
      <c r="H37" s="9">
        <v>641730.82713421714</v>
      </c>
      <c r="I37" s="62">
        <f t="shared" si="4"/>
        <v>15516510.037697297</v>
      </c>
      <c r="L37" s="258" t="s">
        <v>23</v>
      </c>
      <c r="M37" s="249">
        <f t="shared" si="6"/>
        <v>1346980.480570368</v>
      </c>
      <c r="N37" s="249">
        <f t="shared" si="7"/>
        <v>4327252.8600000003</v>
      </c>
      <c r="O37" s="249">
        <f t="shared" si="8"/>
        <v>0</v>
      </c>
      <c r="P37" s="211">
        <f t="shared" si="9"/>
        <v>4340893.5292517841</v>
      </c>
      <c r="Q37" s="208">
        <f t="shared" si="5"/>
        <v>10015126.869822152</v>
      </c>
    </row>
    <row r="38" spans="1:17">
      <c r="A38" s="13" t="s">
        <v>33</v>
      </c>
      <c r="B38" s="64" t="s">
        <v>33</v>
      </c>
      <c r="C38" s="9">
        <v>21071966.180775475</v>
      </c>
      <c r="D38" s="9">
        <v>5676448.4826441873</v>
      </c>
      <c r="E38" s="9">
        <v>9637071</v>
      </c>
      <c r="F38" s="9">
        <v>0</v>
      </c>
      <c r="G38" s="9">
        <v>11650888.920644164</v>
      </c>
      <c r="H38" s="9">
        <v>2516022.2271560971</v>
      </c>
      <c r="I38" s="62">
        <f t="shared" si="4"/>
        <v>50552396.811219923</v>
      </c>
      <c r="L38" s="258" t="s">
        <v>24</v>
      </c>
      <c r="M38" s="249">
        <f t="shared" si="6"/>
        <v>6642105.8754827334</v>
      </c>
      <c r="N38" s="249">
        <f t="shared" si="7"/>
        <v>8685943.0199999996</v>
      </c>
      <c r="O38" s="249">
        <f t="shared" si="8"/>
        <v>9875712.5928713474</v>
      </c>
      <c r="P38" s="211">
        <f t="shared" si="9"/>
        <v>24803714.282002624</v>
      </c>
      <c r="Q38" s="208">
        <f t="shared" si="5"/>
        <v>50007475.7703567</v>
      </c>
    </row>
    <row r="39" spans="1:17">
      <c r="A39" s="13" t="s">
        <v>203</v>
      </c>
      <c r="B39" s="64" t="s">
        <v>34</v>
      </c>
      <c r="C39" s="9">
        <v>4092651.0627570646</v>
      </c>
      <c r="D39" s="9">
        <v>1282743.2473797698</v>
      </c>
      <c r="E39" s="9">
        <v>3961581.76</v>
      </c>
      <c r="F39" s="9">
        <v>0</v>
      </c>
      <c r="G39" s="9">
        <v>2169815.2031722297</v>
      </c>
      <c r="H39" s="9">
        <v>1005548.6397588453</v>
      </c>
      <c r="I39" s="62">
        <f t="shared" si="4"/>
        <v>12512339.913067909</v>
      </c>
      <c r="L39" s="258" t="s">
        <v>26</v>
      </c>
      <c r="M39" s="249">
        <f t="shared" si="6"/>
        <v>1108203.5596047996</v>
      </c>
      <c r="N39" s="249">
        <f t="shared" si="7"/>
        <v>3270671.09</v>
      </c>
      <c r="O39" s="249">
        <f t="shared" si="8"/>
        <v>0</v>
      </c>
      <c r="P39" s="211">
        <f t="shared" si="9"/>
        <v>3418148.7462279918</v>
      </c>
      <c r="Q39" s="208">
        <f t="shared" si="5"/>
        <v>7797023.395832791</v>
      </c>
    </row>
    <row r="40" spans="1:17">
      <c r="A40" s="13" t="s">
        <v>35</v>
      </c>
      <c r="B40" s="64" t="s">
        <v>35</v>
      </c>
      <c r="C40" s="9">
        <v>3316546.4985482963</v>
      </c>
      <c r="D40" s="9">
        <v>1081912.1382817344</v>
      </c>
      <c r="E40" s="9">
        <v>2902224.73</v>
      </c>
      <c r="F40" s="9">
        <v>0</v>
      </c>
      <c r="G40" s="9">
        <v>400127.75486680702</v>
      </c>
      <c r="H40" s="9">
        <v>2699345.1643851092</v>
      </c>
      <c r="I40" s="62">
        <f t="shared" si="4"/>
        <v>10400156.286081947</v>
      </c>
      <c r="L40" s="258" t="s">
        <v>27</v>
      </c>
      <c r="M40" s="249">
        <f t="shared" si="6"/>
        <v>1888495.3853000544</v>
      </c>
      <c r="N40" s="249">
        <f t="shared" si="7"/>
        <v>3815699.12</v>
      </c>
      <c r="O40" s="249">
        <f t="shared" si="8"/>
        <v>0</v>
      </c>
      <c r="P40" s="211">
        <f t="shared" si="9"/>
        <v>6433558.3112932499</v>
      </c>
      <c r="Q40" s="208">
        <f t="shared" si="5"/>
        <v>12137752.816593304</v>
      </c>
    </row>
    <row r="41" spans="1:17">
      <c r="A41" s="13" t="s">
        <v>36</v>
      </c>
      <c r="B41" s="64" t="s">
        <v>36</v>
      </c>
      <c r="C41" s="9">
        <v>4633320.1664811606</v>
      </c>
      <c r="D41" s="9">
        <v>1422651.1679917951</v>
      </c>
      <c r="E41" s="9">
        <v>4494836.6500000004</v>
      </c>
      <c r="F41" s="9">
        <v>0</v>
      </c>
      <c r="G41" s="9">
        <v>3060633.3644220917</v>
      </c>
      <c r="H41" s="9">
        <v>948814.38712733472</v>
      </c>
      <c r="I41" s="62">
        <f t="shared" si="4"/>
        <v>14560255.736022383</v>
      </c>
      <c r="L41" s="258" t="s">
        <v>28</v>
      </c>
      <c r="M41" s="249">
        <f t="shared" si="6"/>
        <v>1076554.4326759838</v>
      </c>
      <c r="N41" s="249">
        <f t="shared" si="7"/>
        <v>3521482.98</v>
      </c>
      <c r="O41" s="249">
        <f t="shared" si="8"/>
        <v>0</v>
      </c>
      <c r="P41" s="211">
        <f t="shared" si="9"/>
        <v>3295841.8388320552</v>
      </c>
      <c r="Q41" s="208">
        <f t="shared" si="5"/>
        <v>7893879.2515080394</v>
      </c>
    </row>
    <row r="42" spans="1:17">
      <c r="A42" s="13" t="s">
        <v>37</v>
      </c>
      <c r="B42" s="64" t="s">
        <v>37</v>
      </c>
      <c r="C42" s="9">
        <v>4290946.205812606</v>
      </c>
      <c r="D42" s="9">
        <v>1334055.7062224748</v>
      </c>
      <c r="E42" s="9">
        <v>5079801.93</v>
      </c>
      <c r="F42" s="9">
        <v>0</v>
      </c>
      <c r="G42" s="9">
        <v>4037835.2872767048</v>
      </c>
      <c r="H42" s="9">
        <v>0</v>
      </c>
      <c r="I42" s="62">
        <f t="shared" si="4"/>
        <v>14742639.129311785</v>
      </c>
      <c r="L42" s="258" t="s">
        <v>29</v>
      </c>
      <c r="M42" s="249">
        <f t="shared" si="6"/>
        <v>1388074.6349072598</v>
      </c>
      <c r="N42" s="249">
        <f t="shared" si="7"/>
        <v>3684977.98</v>
      </c>
      <c r="O42" s="249">
        <f t="shared" si="8"/>
        <v>0</v>
      </c>
      <c r="P42" s="211">
        <f t="shared" si="9"/>
        <v>4499700.4037763504</v>
      </c>
      <c r="Q42" s="208">
        <f t="shared" si="5"/>
        <v>9572753.0186836105</v>
      </c>
    </row>
    <row r="43" spans="1:17">
      <c r="A43" s="13" t="s">
        <v>38</v>
      </c>
      <c r="B43" s="64" t="s">
        <v>38</v>
      </c>
      <c r="C43" s="9">
        <v>17392513.35408935</v>
      </c>
      <c r="D43" s="9">
        <v>4724323.4390160423</v>
      </c>
      <c r="E43" s="9">
        <v>7907431.5300000003</v>
      </c>
      <c r="F43" s="9">
        <v>0</v>
      </c>
      <c r="G43" s="9">
        <v>8761474.6957567986</v>
      </c>
      <c r="H43" s="9">
        <v>9144122.2726853173</v>
      </c>
      <c r="I43" s="62">
        <f t="shared" si="4"/>
        <v>47929865.291547514</v>
      </c>
      <c r="L43" s="258" t="s">
        <v>30</v>
      </c>
      <c r="M43" s="249">
        <f t="shared" si="6"/>
        <v>1182161.9905955228</v>
      </c>
      <c r="N43" s="249">
        <f t="shared" si="7"/>
        <v>3723138.72</v>
      </c>
      <c r="O43" s="249">
        <f t="shared" si="8"/>
        <v>0</v>
      </c>
      <c r="P43" s="211">
        <f t="shared" si="9"/>
        <v>3703958.4303521784</v>
      </c>
      <c r="Q43" s="208">
        <f t="shared" si="5"/>
        <v>8609259.1409477014</v>
      </c>
    </row>
    <row r="44" spans="1:17">
      <c r="A44" s="13" t="s">
        <v>39</v>
      </c>
      <c r="B44" s="64" t="s">
        <v>39</v>
      </c>
      <c r="C44" s="9">
        <v>69132559.446972609</v>
      </c>
      <c r="D44" s="9">
        <v>18112997.234808952</v>
      </c>
      <c r="E44" s="9">
        <v>77841174.790000007</v>
      </c>
      <c r="F44" s="9">
        <v>0</v>
      </c>
      <c r="G44" s="9">
        <v>84352144.211345762</v>
      </c>
      <c r="H44" s="9">
        <v>0</v>
      </c>
      <c r="I44" s="62">
        <f t="shared" si="4"/>
        <v>249438875.68312731</v>
      </c>
      <c r="L44" s="258" t="s">
        <v>32</v>
      </c>
      <c r="M44" s="249">
        <f t="shared" si="6"/>
        <v>1295557.5535708438</v>
      </c>
      <c r="N44" s="249">
        <f t="shared" si="7"/>
        <v>5199408.5199999996</v>
      </c>
      <c r="O44" s="249">
        <f t="shared" si="8"/>
        <v>0</v>
      </c>
      <c r="P44" s="211">
        <f t="shared" si="9"/>
        <v>4142171.4859959083</v>
      </c>
      <c r="Q44" s="208">
        <f t="shared" si="5"/>
        <v>10637137.559566751</v>
      </c>
    </row>
    <row r="45" spans="1:17">
      <c r="A45" s="13" t="s">
        <v>204</v>
      </c>
      <c r="B45" s="64" t="s">
        <v>40</v>
      </c>
      <c r="C45" s="9">
        <v>3193385.79075169</v>
      </c>
      <c r="D45" s="9">
        <v>1050042.0750392794</v>
      </c>
      <c r="E45" s="9">
        <v>3878940.74</v>
      </c>
      <c r="F45" s="9">
        <v>0</v>
      </c>
      <c r="G45" s="9">
        <v>2031760.9157511813</v>
      </c>
      <c r="H45" s="9">
        <v>1523830.0615797767</v>
      </c>
      <c r="I45" s="62">
        <f t="shared" si="4"/>
        <v>11677959.583121927</v>
      </c>
      <c r="L45" s="258" t="s">
        <v>33</v>
      </c>
      <c r="M45" s="249">
        <f t="shared" si="6"/>
        <v>5676448.4826441873</v>
      </c>
      <c r="N45" s="249">
        <f t="shared" si="7"/>
        <v>9637071</v>
      </c>
      <c r="O45" s="249">
        <f t="shared" si="8"/>
        <v>0</v>
      </c>
      <c r="P45" s="211">
        <f t="shared" si="9"/>
        <v>21071966.180775475</v>
      </c>
      <c r="Q45" s="208">
        <f t="shared" si="5"/>
        <v>36385485.663419664</v>
      </c>
    </row>
    <row r="46" spans="1:17">
      <c r="A46" s="13" t="s">
        <v>205</v>
      </c>
      <c r="B46" s="64" t="s">
        <v>41</v>
      </c>
      <c r="C46" s="9">
        <v>34510357.58711642</v>
      </c>
      <c r="D46" s="9">
        <v>9153875.5911684223</v>
      </c>
      <c r="E46" s="9">
        <v>11469377.560000001</v>
      </c>
      <c r="F46" s="9">
        <v>11288374.500973731</v>
      </c>
      <c r="G46" s="9">
        <v>14711811.564027086</v>
      </c>
      <c r="H46" s="9">
        <v>0</v>
      </c>
      <c r="I46" s="62">
        <f t="shared" si="4"/>
        <v>81133796.803285658</v>
      </c>
      <c r="L46" s="258" t="s">
        <v>34</v>
      </c>
      <c r="M46" s="249">
        <f t="shared" si="6"/>
        <v>1282743.2473797698</v>
      </c>
      <c r="N46" s="249">
        <f t="shared" si="7"/>
        <v>3961581.76</v>
      </c>
      <c r="O46" s="249">
        <f t="shared" si="8"/>
        <v>0</v>
      </c>
      <c r="P46" s="211">
        <f t="shared" si="9"/>
        <v>4092651.0627570646</v>
      </c>
      <c r="Q46" s="208">
        <f t="shared" si="5"/>
        <v>9336976.0701368339</v>
      </c>
    </row>
    <row r="47" spans="1:17">
      <c r="A47" s="13" t="s">
        <v>206</v>
      </c>
      <c r="B47" s="64" t="s">
        <v>42</v>
      </c>
      <c r="C47" s="9">
        <v>4150282.5898022708</v>
      </c>
      <c r="D47" s="9">
        <v>1297656.4485504162</v>
      </c>
      <c r="E47" s="9">
        <v>4010015.27</v>
      </c>
      <c r="F47" s="9">
        <v>0</v>
      </c>
      <c r="G47" s="9">
        <v>2250724.8167878329</v>
      </c>
      <c r="H47" s="9">
        <v>0</v>
      </c>
      <c r="I47" s="62">
        <f t="shared" si="4"/>
        <v>11708679.12514052</v>
      </c>
      <c r="L47" s="258" t="s">
        <v>35</v>
      </c>
      <c r="M47" s="249">
        <f t="shared" si="6"/>
        <v>1081912.1382817344</v>
      </c>
      <c r="N47" s="249">
        <f t="shared" si="7"/>
        <v>2902224.73</v>
      </c>
      <c r="O47" s="249">
        <f t="shared" si="8"/>
        <v>0</v>
      </c>
      <c r="P47" s="211">
        <f t="shared" si="9"/>
        <v>3316546.4985482963</v>
      </c>
      <c r="Q47" s="208">
        <f t="shared" si="5"/>
        <v>7300683.3668300305</v>
      </c>
    </row>
    <row r="48" spans="1:17">
      <c r="A48" s="13" t="s">
        <v>43</v>
      </c>
      <c r="B48" s="64" t="s">
        <v>43</v>
      </c>
      <c r="C48" s="9">
        <v>3507370.8880979768</v>
      </c>
      <c r="D48" s="9">
        <v>1131291.4043800964</v>
      </c>
      <c r="E48" s="9">
        <v>3902130.69</v>
      </c>
      <c r="F48" s="9">
        <v>0</v>
      </c>
      <c r="G48" s="9">
        <v>2070500.4170154054</v>
      </c>
      <c r="H48" s="9">
        <v>512356.1408261098</v>
      </c>
      <c r="I48" s="62">
        <f t="shared" si="4"/>
        <v>11123649.540319588</v>
      </c>
      <c r="L48" s="258" t="s">
        <v>36</v>
      </c>
      <c r="M48" s="249">
        <f t="shared" si="6"/>
        <v>1422651.1679917951</v>
      </c>
      <c r="N48" s="249">
        <f t="shared" si="7"/>
        <v>4494836.6500000004</v>
      </c>
      <c r="O48" s="249">
        <f t="shared" si="8"/>
        <v>0</v>
      </c>
      <c r="P48" s="211">
        <f t="shared" si="9"/>
        <v>4633320.1664811606</v>
      </c>
      <c r="Q48" s="208">
        <f t="shared" si="5"/>
        <v>10550807.984472957</v>
      </c>
    </row>
    <row r="49" spans="1:17">
      <c r="A49" s="13" t="s">
        <v>44</v>
      </c>
      <c r="B49" s="64" t="s">
        <v>44</v>
      </c>
      <c r="C49" s="9">
        <v>10408639.526711266</v>
      </c>
      <c r="D49" s="9">
        <v>2917119.6275257729</v>
      </c>
      <c r="E49" s="9">
        <v>6061701.79</v>
      </c>
      <c r="F49" s="9">
        <v>0</v>
      </c>
      <c r="G49" s="9">
        <v>5678128.2230453743</v>
      </c>
      <c r="H49" s="9">
        <v>0</v>
      </c>
      <c r="I49" s="62">
        <f t="shared" si="4"/>
        <v>25065589.167282414</v>
      </c>
      <c r="L49" s="258" t="s">
        <v>37</v>
      </c>
      <c r="M49" s="249">
        <f t="shared" si="6"/>
        <v>1334055.7062224748</v>
      </c>
      <c r="N49" s="249">
        <f t="shared" si="7"/>
        <v>5079801.93</v>
      </c>
      <c r="O49" s="249">
        <f t="shared" si="8"/>
        <v>0</v>
      </c>
      <c r="P49" s="211">
        <f t="shared" si="9"/>
        <v>4290946.205812606</v>
      </c>
      <c r="Q49" s="208">
        <f t="shared" si="5"/>
        <v>10704803.842035081</v>
      </c>
    </row>
    <row r="50" spans="1:17">
      <c r="A50" s="13" t="s">
        <v>45</v>
      </c>
      <c r="B50" s="64" t="s">
        <v>45</v>
      </c>
      <c r="C50" s="9">
        <v>8020199.2774905432</v>
      </c>
      <c r="D50" s="9">
        <v>2299067.4649870722</v>
      </c>
      <c r="E50" s="9">
        <v>10527748.359999999</v>
      </c>
      <c r="F50" s="9">
        <v>9741093.1909087617</v>
      </c>
      <c r="G50" s="9">
        <v>3066779.6837666859</v>
      </c>
      <c r="H50" s="9">
        <v>0</v>
      </c>
      <c r="I50" s="62">
        <f t="shared" si="4"/>
        <v>33654887.977153063</v>
      </c>
      <c r="L50" s="258" t="s">
        <v>38</v>
      </c>
      <c r="M50" s="249">
        <f t="shared" si="6"/>
        <v>4724323.4390160423</v>
      </c>
      <c r="N50" s="249">
        <f t="shared" si="7"/>
        <v>7907431.5300000003</v>
      </c>
      <c r="O50" s="249">
        <f t="shared" si="8"/>
        <v>0</v>
      </c>
      <c r="P50" s="211">
        <f t="shared" si="9"/>
        <v>17392513.35408935</v>
      </c>
      <c r="Q50" s="208">
        <f t="shared" si="5"/>
        <v>30024268.323105391</v>
      </c>
    </row>
    <row r="51" spans="1:17">
      <c r="A51" s="13" t="s">
        <v>207</v>
      </c>
      <c r="B51" s="64" t="s">
        <v>46</v>
      </c>
      <c r="C51" s="9">
        <v>26849447.041264139</v>
      </c>
      <c r="D51" s="9">
        <v>7171476.2695088647</v>
      </c>
      <c r="E51" s="9">
        <v>25672427.239999998</v>
      </c>
      <c r="F51" s="9">
        <v>0</v>
      </c>
      <c r="G51" s="9">
        <v>21354969.852377772</v>
      </c>
      <c r="H51" s="9">
        <v>0</v>
      </c>
      <c r="I51" s="62">
        <f t="shared" si="4"/>
        <v>81048320.403150767</v>
      </c>
      <c r="L51" s="258" t="s">
        <v>40</v>
      </c>
      <c r="M51" s="249">
        <f t="shared" si="6"/>
        <v>1050042.0750392794</v>
      </c>
      <c r="N51" s="249">
        <f t="shared" si="7"/>
        <v>3878940.74</v>
      </c>
      <c r="O51" s="249">
        <f t="shared" si="8"/>
        <v>0</v>
      </c>
      <c r="P51" s="211">
        <f t="shared" si="9"/>
        <v>3193385.79075169</v>
      </c>
      <c r="Q51" s="208">
        <f t="shared" si="5"/>
        <v>8122368.6057909699</v>
      </c>
    </row>
    <row r="52" spans="1:17">
      <c r="A52" s="13" t="s">
        <v>199</v>
      </c>
      <c r="B52" s="64" t="s">
        <v>47</v>
      </c>
      <c r="C52" s="9">
        <v>10647174.219240803</v>
      </c>
      <c r="D52" s="9">
        <v>2978844.7984219203</v>
      </c>
      <c r="E52" s="9">
        <v>42048535.149999999</v>
      </c>
      <c r="F52" s="9">
        <v>0</v>
      </c>
      <c r="G52" s="9">
        <v>41130191.110956699</v>
      </c>
      <c r="H52" s="9">
        <v>0</v>
      </c>
      <c r="I52" s="62">
        <f t="shared" si="4"/>
        <v>96804745.278619424</v>
      </c>
      <c r="L52" s="258" t="s">
        <v>41</v>
      </c>
      <c r="M52" s="249">
        <f t="shared" si="6"/>
        <v>9153875.5911684223</v>
      </c>
      <c r="N52" s="249">
        <f t="shared" si="7"/>
        <v>11469377.560000001</v>
      </c>
      <c r="O52" s="249">
        <f t="shared" si="8"/>
        <v>11288374.500973731</v>
      </c>
      <c r="P52" s="211">
        <f t="shared" si="9"/>
        <v>34510357.58711642</v>
      </c>
      <c r="Q52" s="208">
        <f t="shared" si="5"/>
        <v>66421985.239258572</v>
      </c>
    </row>
    <row r="53" spans="1:17">
      <c r="A53" s="13" t="s">
        <v>48</v>
      </c>
      <c r="B53" s="64" t="s">
        <v>48</v>
      </c>
      <c r="C53" s="9">
        <v>20723503.251036789</v>
      </c>
      <c r="D53" s="9">
        <v>5586277.389873567</v>
      </c>
      <c r="E53" s="9">
        <v>17098937.399999999</v>
      </c>
      <c r="F53" s="9">
        <v>17383623.776573174</v>
      </c>
      <c r="G53" s="9">
        <v>11001920.183686111</v>
      </c>
      <c r="H53" s="9">
        <v>0</v>
      </c>
      <c r="I53" s="62">
        <f t="shared" si="4"/>
        <v>71794262.001169637</v>
      </c>
      <c r="L53" s="258" t="s">
        <v>42</v>
      </c>
      <c r="M53" s="249">
        <f t="shared" si="6"/>
        <v>1297656.4485504162</v>
      </c>
      <c r="N53" s="249">
        <f t="shared" si="7"/>
        <v>4010015.27</v>
      </c>
      <c r="O53" s="249">
        <f t="shared" si="8"/>
        <v>0</v>
      </c>
      <c r="P53" s="211">
        <f t="shared" si="9"/>
        <v>4150282.5898022708</v>
      </c>
      <c r="Q53" s="208">
        <f t="shared" si="5"/>
        <v>9457954.3083526865</v>
      </c>
    </row>
    <row r="54" spans="1:17">
      <c r="A54" s="13" t="s">
        <v>49</v>
      </c>
      <c r="B54" s="64" t="s">
        <v>49</v>
      </c>
      <c r="C54" s="9">
        <v>5706878.3048442658</v>
      </c>
      <c r="D54" s="9">
        <v>1700453.7754645273</v>
      </c>
      <c r="E54" s="9">
        <v>12351398.9</v>
      </c>
      <c r="F54" s="9">
        <v>10133382.321452726</v>
      </c>
      <c r="G54" s="9">
        <v>5268956.9796195589</v>
      </c>
      <c r="H54" s="9">
        <v>0</v>
      </c>
      <c r="I54" s="62">
        <f t="shared" si="4"/>
        <v>35161070.281381078</v>
      </c>
      <c r="L54" s="258" t="s">
        <v>43</v>
      </c>
      <c r="M54" s="249">
        <f t="shared" si="6"/>
        <v>1131291.4043800964</v>
      </c>
      <c r="N54" s="249">
        <f t="shared" si="7"/>
        <v>3902130.69</v>
      </c>
      <c r="O54" s="249">
        <f t="shared" si="8"/>
        <v>0</v>
      </c>
      <c r="P54" s="211">
        <f t="shared" si="9"/>
        <v>3507370.8880979768</v>
      </c>
      <c r="Q54" s="208">
        <f t="shared" si="5"/>
        <v>8540792.9824780729</v>
      </c>
    </row>
    <row r="55" spans="1:17">
      <c r="A55" s="13" t="s">
        <v>50</v>
      </c>
      <c r="B55" s="64" t="s">
        <v>50</v>
      </c>
      <c r="C55" s="9">
        <v>3331274.5554598486</v>
      </c>
      <c r="D55" s="9">
        <v>1085723.2896920107</v>
      </c>
      <c r="E55" s="9">
        <v>4579377.5199999996</v>
      </c>
      <c r="F55" s="9">
        <v>0</v>
      </c>
      <c r="G55" s="9">
        <v>3201861.4134041988</v>
      </c>
      <c r="H55" s="9">
        <v>0</v>
      </c>
      <c r="I55" s="62">
        <f t="shared" si="4"/>
        <v>12198236.778556058</v>
      </c>
      <c r="L55" s="258" t="s">
        <v>44</v>
      </c>
      <c r="M55" s="249">
        <f t="shared" si="6"/>
        <v>2917119.6275257729</v>
      </c>
      <c r="N55" s="249">
        <f t="shared" si="7"/>
        <v>6061701.79</v>
      </c>
      <c r="O55" s="249">
        <f t="shared" si="8"/>
        <v>0</v>
      </c>
      <c r="P55" s="211">
        <f t="shared" si="9"/>
        <v>10408639.526711266</v>
      </c>
      <c r="Q55" s="208">
        <f t="shared" si="5"/>
        <v>19387460.944237038</v>
      </c>
    </row>
    <row r="56" spans="1:17">
      <c r="A56" s="13" t="s">
        <v>51</v>
      </c>
      <c r="B56" s="64" t="s">
        <v>51</v>
      </c>
      <c r="C56" s="9">
        <v>3762657.207898221</v>
      </c>
      <c r="D56" s="9">
        <v>1197351.3621582179</v>
      </c>
      <c r="E56" s="9">
        <v>4268261.33</v>
      </c>
      <c r="F56" s="9">
        <v>0</v>
      </c>
      <c r="G56" s="9">
        <v>2682132.55249824</v>
      </c>
      <c r="H56" s="9">
        <v>865531.74620229332</v>
      </c>
      <c r="I56" s="62">
        <f t="shared" si="4"/>
        <v>12775934.198756972</v>
      </c>
      <c r="L56" s="258" t="s">
        <v>50</v>
      </c>
      <c r="M56" s="249">
        <f t="shared" si="6"/>
        <v>1085723.2896920107</v>
      </c>
      <c r="N56" s="249">
        <f t="shared" si="7"/>
        <v>4579377.5199999996</v>
      </c>
      <c r="O56" s="249">
        <f t="shared" si="8"/>
        <v>0</v>
      </c>
      <c r="P56" s="211">
        <f t="shared" si="9"/>
        <v>3331274.5554598486</v>
      </c>
      <c r="Q56" s="208">
        <f t="shared" si="5"/>
        <v>8996375.3651518598</v>
      </c>
    </row>
    <row r="57" spans="1:17" ht="13.8" thickBot="1">
      <c r="B57" s="65" t="s">
        <v>52</v>
      </c>
      <c r="C57" s="12">
        <f>SUM(C6:C56)</f>
        <v>625430707.57632005</v>
      </c>
      <c r="D57" s="12">
        <f>SUM(D6:D56)</f>
        <v>173249999.99999994</v>
      </c>
      <c r="E57" s="12">
        <f>SUM(E6:E56)</f>
        <v>520059229.68999994</v>
      </c>
      <c r="F57" s="12">
        <f>SUM(F6:F56)</f>
        <v>183550316.35392001</v>
      </c>
      <c r="G57" s="12">
        <f>SUM(G6:G56)</f>
        <v>435082231.35743994</v>
      </c>
      <c r="H57" s="12">
        <f t="shared" ref="H57:I57" si="10">SUM(H6:H56)</f>
        <v>48783998.509551227</v>
      </c>
      <c r="I57" s="20">
        <f t="shared" si="10"/>
        <v>1986156483.4872315</v>
      </c>
      <c r="L57" s="258" t="s">
        <v>51</v>
      </c>
      <c r="M57" s="249">
        <f t="shared" si="6"/>
        <v>1197351.3621582179</v>
      </c>
      <c r="N57" s="249">
        <f t="shared" si="7"/>
        <v>4268261.33</v>
      </c>
      <c r="O57" s="249">
        <f t="shared" si="8"/>
        <v>0</v>
      </c>
      <c r="P57" s="211">
        <f t="shared" si="9"/>
        <v>3762657.207898221</v>
      </c>
      <c r="Q57" s="208">
        <f t="shared" si="5"/>
        <v>9228269.9000564404</v>
      </c>
    </row>
    <row r="58" spans="1:17" ht="14.4" thickTop="1" thickBot="1">
      <c r="D58" s="9">
        <f>D57+C57</f>
        <v>798680707.57631993</v>
      </c>
      <c r="G58" s="9">
        <f>G57+H57</f>
        <v>483866229.86699116</v>
      </c>
      <c r="L58" s="259" t="s">
        <v>129</v>
      </c>
      <c r="M58" s="260">
        <f>SUM(M19:M57)</f>
        <v>87900000</v>
      </c>
      <c r="N58" s="260">
        <f>SUM(N19:N57)</f>
        <v>208023691.91000003</v>
      </c>
      <c r="O58" s="260">
        <f>SUM(O19:O57)</f>
        <v>40178110.408054166</v>
      </c>
      <c r="P58" s="261">
        <f>SUM(P19:P57)</f>
        <v>305972283.03052807</v>
      </c>
      <c r="Q58" s="256">
        <f>SUM(Q19:Q57)</f>
        <v>642074085.34858215</v>
      </c>
    </row>
    <row r="59" spans="1:17" ht="13.8" thickBot="1">
      <c r="A59" s="295">
        <v>1</v>
      </c>
      <c r="B59" s="295">
        <v>2</v>
      </c>
      <c r="C59" s="295">
        <v>3</v>
      </c>
      <c r="D59" s="295">
        <v>4</v>
      </c>
      <c r="E59" s="295">
        <v>5</v>
      </c>
      <c r="F59" s="295">
        <v>6</v>
      </c>
      <c r="G59" s="295">
        <v>7</v>
      </c>
      <c r="H59" s="295">
        <v>8</v>
      </c>
      <c r="L59" s="259" t="s">
        <v>52</v>
      </c>
      <c r="M59" s="260">
        <f>M58+M18</f>
        <v>173250000</v>
      </c>
      <c r="N59" s="260">
        <f>N58+N18</f>
        <v>520059229.69</v>
      </c>
      <c r="O59" s="260">
        <f>O58+O18</f>
        <v>183550316.35392001</v>
      </c>
      <c r="P59" s="261">
        <f>P58+P18</f>
        <v>625430707.57632005</v>
      </c>
      <c r="Q59" s="256">
        <f>Q58+Q18</f>
        <v>1502290253.62024</v>
      </c>
    </row>
    <row r="60" spans="1:17" ht="48" customHeight="1">
      <c r="B60" s="296"/>
      <c r="C60" s="297" t="s">
        <v>136</v>
      </c>
      <c r="D60" s="297" t="s">
        <v>190</v>
      </c>
      <c r="E60" s="297" t="s">
        <v>144</v>
      </c>
      <c r="F60" s="297" t="s">
        <v>149</v>
      </c>
      <c r="G60" s="297" t="s">
        <v>164</v>
      </c>
      <c r="H60" s="297" t="s">
        <v>191</v>
      </c>
    </row>
    <row r="68" spans="3:8" ht="14.4">
      <c r="C68" s="298" t="s">
        <v>0</v>
      </c>
      <c r="D68" s="298" t="s">
        <v>213</v>
      </c>
      <c r="E68" s="298" t="s">
        <v>166</v>
      </c>
      <c r="F68" s="298" t="s">
        <v>167</v>
      </c>
      <c r="G68" s="298" t="s">
        <v>168</v>
      </c>
      <c r="H68" s="299" t="s">
        <v>53</v>
      </c>
    </row>
    <row r="69" spans="3:8">
      <c r="C69" s="300" t="s">
        <v>1</v>
      </c>
      <c r="D69" s="301">
        <f>C6+D6</f>
        <v>4799066.7470886791</v>
      </c>
      <c r="E69" s="301">
        <f>E6</f>
        <v>3133486.17</v>
      </c>
      <c r="F69" s="301">
        <f>F6</f>
        <v>0</v>
      </c>
      <c r="G69" s="301">
        <f>G6</f>
        <v>786456.87887226848</v>
      </c>
      <c r="H69" s="302">
        <f t="shared" ref="H69:H100" si="11">SUM(D69:G69)</f>
        <v>8719009.7959609479</v>
      </c>
    </row>
    <row r="70" spans="3:8">
      <c r="C70" s="303" t="s">
        <v>2</v>
      </c>
      <c r="D70" s="301">
        <f t="shared" ref="D70:D119" si="12">C7+D7</f>
        <v>4908689.8919481877</v>
      </c>
      <c r="E70" s="301">
        <f t="shared" ref="E70:G70" si="13">E7</f>
        <v>3504850.52</v>
      </c>
      <c r="F70" s="301">
        <f t="shared" si="13"/>
        <v>0</v>
      </c>
      <c r="G70" s="301">
        <f t="shared" si="13"/>
        <v>1406832.0655235953</v>
      </c>
      <c r="H70" s="304">
        <f t="shared" si="11"/>
        <v>9820372.4774717819</v>
      </c>
    </row>
    <row r="71" spans="3:8">
      <c r="C71" s="300" t="s">
        <v>3</v>
      </c>
      <c r="D71" s="301">
        <f t="shared" si="12"/>
        <v>4378038.6392581612</v>
      </c>
      <c r="E71" s="301">
        <f t="shared" ref="E71:G71" si="14">E8</f>
        <v>3726741.57</v>
      </c>
      <c r="F71" s="301">
        <f t="shared" si="14"/>
        <v>0</v>
      </c>
      <c r="G71" s="301">
        <f t="shared" si="14"/>
        <v>1777507.6809280245</v>
      </c>
      <c r="H71" s="302">
        <f t="shared" si="11"/>
        <v>9882287.8901861869</v>
      </c>
    </row>
    <row r="72" spans="3:8">
      <c r="C72" s="303" t="s">
        <v>4</v>
      </c>
      <c r="D72" s="301">
        <f t="shared" si="12"/>
        <v>13481595.977811828</v>
      </c>
      <c r="E72" s="301">
        <f t="shared" ref="E72:G72" si="15">E9</f>
        <v>7665104.1799999997</v>
      </c>
      <c r="F72" s="301">
        <f t="shared" si="15"/>
        <v>0</v>
      </c>
      <c r="G72" s="301">
        <f t="shared" si="15"/>
        <v>8356659.6481780438</v>
      </c>
      <c r="H72" s="304">
        <f t="shared" si="11"/>
        <v>29503359.805989873</v>
      </c>
    </row>
    <row r="73" spans="3:8">
      <c r="C73" s="300" t="s">
        <v>5</v>
      </c>
      <c r="D73" s="301">
        <f t="shared" si="12"/>
        <v>8844375.7397474386</v>
      </c>
      <c r="E73" s="301">
        <f t="shared" ref="E73:G73" si="16">E10</f>
        <v>6113138.6200000001</v>
      </c>
      <c r="F73" s="301">
        <f t="shared" si="16"/>
        <v>0</v>
      </c>
      <c r="G73" s="301">
        <f t="shared" si="16"/>
        <v>5764054.9902188107</v>
      </c>
      <c r="H73" s="302">
        <f t="shared" si="11"/>
        <v>20721569.34996625</v>
      </c>
    </row>
    <row r="74" spans="3:8">
      <c r="C74" s="303" t="s">
        <v>6</v>
      </c>
      <c r="D74" s="301">
        <f t="shared" si="12"/>
        <v>51811021.861487508</v>
      </c>
      <c r="E74" s="301">
        <f t="shared" ref="E74:G74" si="17">E11</f>
        <v>29150918.780000001</v>
      </c>
      <c r="F74" s="301">
        <f t="shared" si="17"/>
        <v>30500525.904894315</v>
      </c>
      <c r="G74" s="301">
        <f t="shared" si="17"/>
        <v>25555475.876100872</v>
      </c>
      <c r="H74" s="304">
        <f t="shared" si="11"/>
        <v>137017942.4224827</v>
      </c>
    </row>
    <row r="75" spans="3:8">
      <c r="C75" s="300" t="s">
        <v>7</v>
      </c>
      <c r="D75" s="301">
        <f t="shared" si="12"/>
        <v>8028113.205229816</v>
      </c>
      <c r="E75" s="301">
        <f t="shared" ref="E75:G75" si="18">E12</f>
        <v>5776124.2000000002</v>
      </c>
      <c r="F75" s="301">
        <f t="shared" si="18"/>
        <v>0</v>
      </c>
      <c r="G75" s="301">
        <f t="shared" si="18"/>
        <v>5201062.357268923</v>
      </c>
      <c r="H75" s="302">
        <f t="shared" si="11"/>
        <v>19005299.76249874</v>
      </c>
    </row>
    <row r="76" spans="3:8">
      <c r="C76" s="303" t="s">
        <v>8</v>
      </c>
      <c r="D76" s="301">
        <f t="shared" si="12"/>
        <v>4983652.7777712345</v>
      </c>
      <c r="E76" s="301">
        <f t="shared" ref="E76:G76" si="19">E13</f>
        <v>3542810.45</v>
      </c>
      <c r="F76" s="301">
        <f t="shared" si="19"/>
        <v>0</v>
      </c>
      <c r="G76" s="301">
        <f t="shared" si="19"/>
        <v>1470245.2649857672</v>
      </c>
      <c r="H76" s="304">
        <f t="shared" si="11"/>
        <v>9996708.492757</v>
      </c>
    </row>
    <row r="77" spans="3:8">
      <c r="C77" s="300" t="s">
        <v>9</v>
      </c>
      <c r="D77" s="301">
        <f t="shared" si="12"/>
        <v>12909943.2436033</v>
      </c>
      <c r="E77" s="301">
        <f t="shared" ref="E77:G77" si="20">E14</f>
        <v>11301342.189999999</v>
      </c>
      <c r="F77" s="301">
        <f t="shared" si="20"/>
        <v>10807381.677791363</v>
      </c>
      <c r="G77" s="301">
        <f t="shared" si="20"/>
        <v>4000944.8289309465</v>
      </c>
      <c r="H77" s="302">
        <f t="shared" si="11"/>
        <v>39019611.94032561</v>
      </c>
    </row>
    <row r="78" spans="3:8">
      <c r="C78" s="303" t="s">
        <v>10</v>
      </c>
      <c r="D78" s="301">
        <f t="shared" si="12"/>
        <v>32071585.609391723</v>
      </c>
      <c r="E78" s="301">
        <f t="shared" ref="E78:G78" si="21">E15</f>
        <v>9031679.4000000004</v>
      </c>
      <c r="F78" s="301">
        <f t="shared" si="21"/>
        <v>9994317.4785233811</v>
      </c>
      <c r="G78" s="301">
        <f t="shared" si="21"/>
        <v>10639564.233837573</v>
      </c>
      <c r="H78" s="304">
        <f t="shared" si="11"/>
        <v>61737146.721752681</v>
      </c>
    </row>
    <row r="79" spans="3:8">
      <c r="C79" s="300" t="s">
        <v>11</v>
      </c>
      <c r="D79" s="301">
        <f t="shared" si="12"/>
        <v>5972141.8707568608</v>
      </c>
      <c r="E79" s="301">
        <f t="shared" ref="E79:G79" si="22">E16</f>
        <v>5101028.28</v>
      </c>
      <c r="F79" s="301">
        <f t="shared" si="22"/>
        <v>0</v>
      </c>
      <c r="G79" s="301">
        <f t="shared" si="22"/>
        <v>4073294.5275232112</v>
      </c>
      <c r="H79" s="302">
        <f t="shared" si="11"/>
        <v>15146464.678280074</v>
      </c>
    </row>
    <row r="80" spans="3:8">
      <c r="C80" s="303" t="s">
        <v>12</v>
      </c>
      <c r="D80" s="301">
        <f t="shared" si="12"/>
        <v>6668033.8932718839</v>
      </c>
      <c r="E80" s="301">
        <f t="shared" ref="E80:G80" si="23">E17</f>
        <v>5697087.5800000001</v>
      </c>
      <c r="F80" s="301">
        <f t="shared" si="23"/>
        <v>0</v>
      </c>
      <c r="G80" s="301">
        <f t="shared" si="23"/>
        <v>5069029.336094101</v>
      </c>
      <c r="H80" s="304">
        <f t="shared" si="11"/>
        <v>17434150.809365984</v>
      </c>
    </row>
    <row r="81" spans="3:8">
      <c r="C81" s="300" t="s">
        <v>13</v>
      </c>
      <c r="D81" s="301">
        <f t="shared" si="12"/>
        <v>22471231.224648759</v>
      </c>
      <c r="E81" s="301">
        <f t="shared" ref="E81:G81" si="24">E18</f>
        <v>7439228.0999999996</v>
      </c>
      <c r="F81" s="301">
        <f t="shared" si="24"/>
        <v>9019705.8356857095</v>
      </c>
      <c r="G81" s="301">
        <f t="shared" si="24"/>
        <v>7979326.9282206465</v>
      </c>
      <c r="H81" s="302">
        <f t="shared" si="11"/>
        <v>46909492.088555112</v>
      </c>
    </row>
    <row r="82" spans="3:8">
      <c r="C82" s="303" t="s">
        <v>14</v>
      </c>
      <c r="D82" s="301">
        <f t="shared" si="12"/>
        <v>13696274.636495035</v>
      </c>
      <c r="E82" s="301">
        <f t="shared" ref="E82:G82" si="25">E19</f>
        <v>9528922.0099999998</v>
      </c>
      <c r="F82" s="301">
        <f t="shared" si="25"/>
        <v>0</v>
      </c>
      <c r="G82" s="301">
        <f t="shared" si="25"/>
        <v>11470222.812779348</v>
      </c>
      <c r="H82" s="304">
        <f t="shared" si="11"/>
        <v>34695419.459274381</v>
      </c>
    </row>
    <row r="83" spans="3:8">
      <c r="C83" s="300" t="s">
        <v>15</v>
      </c>
      <c r="D83" s="301">
        <f t="shared" si="12"/>
        <v>4365410.4828650318</v>
      </c>
      <c r="E83" s="301">
        <f t="shared" ref="E83:G83" si="26">E20</f>
        <v>3657728.35</v>
      </c>
      <c r="F83" s="301">
        <f t="shared" si="26"/>
        <v>0</v>
      </c>
      <c r="G83" s="301">
        <f t="shared" si="26"/>
        <v>1662219.0344746455</v>
      </c>
      <c r="H83" s="302">
        <f t="shared" si="11"/>
        <v>9685357.8673396762</v>
      </c>
    </row>
    <row r="84" spans="3:8">
      <c r="C84" s="303" t="s">
        <v>16</v>
      </c>
      <c r="D84" s="301">
        <f t="shared" si="12"/>
        <v>4874835.6854474572</v>
      </c>
      <c r="E84" s="301">
        <f t="shared" ref="E84:G84" si="27">E21</f>
        <v>3329926.12</v>
      </c>
      <c r="F84" s="301">
        <f t="shared" si="27"/>
        <v>0</v>
      </c>
      <c r="G84" s="301">
        <f t="shared" si="27"/>
        <v>1114615.6617491418</v>
      </c>
      <c r="H84" s="304">
        <f t="shared" si="11"/>
        <v>9319377.4671965986</v>
      </c>
    </row>
    <row r="85" spans="3:8">
      <c r="C85" s="300" t="s">
        <v>17</v>
      </c>
      <c r="D85" s="301">
        <f t="shared" si="12"/>
        <v>14989988.956344394</v>
      </c>
      <c r="E85" s="301">
        <f t="shared" ref="E85:G85" si="28">E22</f>
        <v>9076729.6300000008</v>
      </c>
      <c r="F85" s="301">
        <f t="shared" si="28"/>
        <v>0</v>
      </c>
      <c r="G85" s="301">
        <f t="shared" si="28"/>
        <v>10714821.975123702</v>
      </c>
      <c r="H85" s="302">
        <f t="shared" si="11"/>
        <v>34781540.561468095</v>
      </c>
    </row>
    <row r="86" spans="3:8">
      <c r="C86" s="303" t="s">
        <v>18</v>
      </c>
      <c r="D86" s="301">
        <f t="shared" si="12"/>
        <v>32928893.18910427</v>
      </c>
      <c r="E86" s="301">
        <f t="shared" ref="E86:G86" si="29">E23</f>
        <v>17931628.760000002</v>
      </c>
      <c r="F86" s="301">
        <f t="shared" si="29"/>
        <v>19432331.817890011</v>
      </c>
      <c r="G86" s="301">
        <f t="shared" si="29"/>
        <v>12007449.466503495</v>
      </c>
      <c r="H86" s="304">
        <f t="shared" si="11"/>
        <v>82300303.233497784</v>
      </c>
    </row>
    <row r="87" spans="3:8">
      <c r="C87" s="300" t="s">
        <v>19</v>
      </c>
      <c r="D87" s="301">
        <f t="shared" si="12"/>
        <v>5479375.0872462224</v>
      </c>
      <c r="E87" s="301">
        <f t="shared" ref="E87:G87" si="30">E24</f>
        <v>4493475.45</v>
      </c>
      <c r="F87" s="301">
        <f t="shared" si="30"/>
        <v>0</v>
      </c>
      <c r="G87" s="301">
        <f t="shared" si="30"/>
        <v>3058359.4497591765</v>
      </c>
      <c r="H87" s="302">
        <f t="shared" si="11"/>
        <v>13031209.9870054</v>
      </c>
    </row>
    <row r="88" spans="3:8">
      <c r="C88" s="303" t="s">
        <v>20</v>
      </c>
      <c r="D88" s="301">
        <f t="shared" si="12"/>
        <v>39047291.645896792</v>
      </c>
      <c r="E88" s="301">
        <f t="shared" ref="E88:G88" si="31">E25</f>
        <v>21751610.190000001</v>
      </c>
      <c r="F88" s="301">
        <f t="shared" si="31"/>
        <v>23127800.437401839</v>
      </c>
      <c r="G88" s="301">
        <f t="shared" si="31"/>
        <v>16620326.859381488</v>
      </c>
      <c r="H88" s="304">
        <f t="shared" si="11"/>
        <v>100547029.1326801</v>
      </c>
    </row>
    <row r="89" spans="3:8">
      <c r="C89" s="300" t="s">
        <v>21</v>
      </c>
      <c r="D89" s="301">
        <f t="shared" si="12"/>
        <v>7790865.0755461231</v>
      </c>
      <c r="E89" s="301">
        <f t="shared" ref="E89:G89" si="32">E26</f>
        <v>5580952.8300000001</v>
      </c>
      <c r="F89" s="301">
        <f t="shared" si="32"/>
        <v>0</v>
      </c>
      <c r="G89" s="301">
        <f t="shared" si="32"/>
        <v>4875022.774231459</v>
      </c>
      <c r="H89" s="302">
        <f t="shared" si="11"/>
        <v>18246840.679777581</v>
      </c>
    </row>
    <row r="90" spans="3:8">
      <c r="C90" s="303" t="s">
        <v>22</v>
      </c>
      <c r="D90" s="301">
        <f t="shared" si="12"/>
        <v>4485780.9948676303</v>
      </c>
      <c r="E90" s="301">
        <f t="shared" ref="E90:G90" si="33">E27</f>
        <v>3243351.66</v>
      </c>
      <c r="F90" s="301">
        <f t="shared" si="33"/>
        <v>0</v>
      </c>
      <c r="G90" s="301">
        <f t="shared" si="33"/>
        <v>969990.43592066725</v>
      </c>
      <c r="H90" s="304">
        <f t="shared" si="11"/>
        <v>8699123.0907882974</v>
      </c>
    </row>
    <row r="91" spans="3:8">
      <c r="C91" s="300" t="s">
        <v>23</v>
      </c>
      <c r="D91" s="301">
        <f t="shared" si="12"/>
        <v>5687874.0098221526</v>
      </c>
      <c r="E91" s="301">
        <f t="shared" ref="E91:G91" si="34">E28</f>
        <v>4327252.8600000003</v>
      </c>
      <c r="F91" s="301">
        <f t="shared" si="34"/>
        <v>0</v>
      </c>
      <c r="G91" s="301">
        <f t="shared" si="34"/>
        <v>2780679.6552892257</v>
      </c>
      <c r="H91" s="302">
        <f t="shared" si="11"/>
        <v>12795806.525111377</v>
      </c>
    </row>
    <row r="92" spans="3:8">
      <c r="C92" s="303" t="s">
        <v>24</v>
      </c>
      <c r="D92" s="301">
        <f t="shared" si="12"/>
        <v>31445820.157485358</v>
      </c>
      <c r="E92" s="301">
        <f t="shared" ref="E92:G92" si="35">E29</f>
        <v>8685943.0199999996</v>
      </c>
      <c r="F92" s="301">
        <f t="shared" si="35"/>
        <v>9875712.5928713474</v>
      </c>
      <c r="G92" s="301">
        <f t="shared" si="35"/>
        <v>10062001.31197078</v>
      </c>
      <c r="H92" s="304">
        <f t="shared" si="11"/>
        <v>60069477.082327485</v>
      </c>
    </row>
    <row r="93" spans="3:8">
      <c r="C93" s="300" t="s">
        <v>25</v>
      </c>
      <c r="D93" s="301">
        <f t="shared" si="12"/>
        <v>50840838.237988167</v>
      </c>
      <c r="E93" s="301">
        <f t="shared" ref="E93:G93" si="36">E30</f>
        <v>25819930.120000001</v>
      </c>
      <c r="F93" s="301">
        <f t="shared" si="36"/>
        <v>0</v>
      </c>
      <c r="G93" s="301">
        <f t="shared" si="36"/>
        <v>21533089.225419503</v>
      </c>
      <c r="H93" s="302">
        <f t="shared" si="11"/>
        <v>98193857.58340767</v>
      </c>
    </row>
    <row r="94" spans="3:8">
      <c r="C94" s="303" t="s">
        <v>26</v>
      </c>
      <c r="D94" s="301">
        <f t="shared" si="12"/>
        <v>4526352.3058327911</v>
      </c>
      <c r="E94" s="301">
        <f t="shared" ref="E94:G94" si="37">E31</f>
        <v>3270671.09</v>
      </c>
      <c r="F94" s="301">
        <f t="shared" si="37"/>
        <v>0</v>
      </c>
      <c r="G94" s="301">
        <f t="shared" si="37"/>
        <v>1015628.3716966492</v>
      </c>
      <c r="H94" s="304">
        <f t="shared" si="11"/>
        <v>8812651.767529441</v>
      </c>
    </row>
    <row r="95" spans="3:8">
      <c r="C95" s="300" t="s">
        <v>27</v>
      </c>
      <c r="D95" s="301">
        <f t="shared" si="12"/>
        <v>8322053.6965933042</v>
      </c>
      <c r="E95" s="301">
        <f t="shared" ref="E95:G95" si="38">E32</f>
        <v>3815699.12</v>
      </c>
      <c r="F95" s="301">
        <f t="shared" si="38"/>
        <v>0</v>
      </c>
      <c r="G95" s="301">
        <f t="shared" si="38"/>
        <v>1926113.909807907</v>
      </c>
      <c r="H95" s="302">
        <f t="shared" si="11"/>
        <v>14063866.726401212</v>
      </c>
    </row>
    <row r="96" spans="3:8">
      <c r="C96" s="303" t="s">
        <v>28</v>
      </c>
      <c r="D96" s="301">
        <f t="shared" si="12"/>
        <v>4372396.271508039</v>
      </c>
      <c r="E96" s="301">
        <f t="shared" ref="E96:G96" si="39">E33</f>
        <v>3521482.98</v>
      </c>
      <c r="F96" s="301">
        <f t="shared" si="39"/>
        <v>0</v>
      </c>
      <c r="G96" s="301">
        <f t="shared" si="39"/>
        <v>1434617.0971836334</v>
      </c>
      <c r="H96" s="304">
        <f t="shared" si="11"/>
        <v>9328496.3486916721</v>
      </c>
    </row>
    <row r="97" spans="3:8">
      <c r="C97" s="300" t="s">
        <v>29</v>
      </c>
      <c r="D97" s="301">
        <f t="shared" si="12"/>
        <v>5887775.03868361</v>
      </c>
      <c r="E97" s="301">
        <f t="shared" ref="E97:G97" si="40">E34</f>
        <v>3684977.98</v>
      </c>
      <c r="F97" s="301">
        <f t="shared" si="40"/>
        <v>0</v>
      </c>
      <c r="G97" s="301">
        <f t="shared" si="40"/>
        <v>1707740.3481501609</v>
      </c>
      <c r="H97" s="302">
        <f t="shared" si="11"/>
        <v>11280493.366833771</v>
      </c>
    </row>
    <row r="98" spans="3:8">
      <c r="C98" s="303" t="s">
        <v>30</v>
      </c>
      <c r="D98" s="301">
        <f t="shared" si="12"/>
        <v>4886120.4209477007</v>
      </c>
      <c r="E98" s="301">
        <f t="shared" ref="E98:G98" si="41">E35</f>
        <v>3723138.72</v>
      </c>
      <c r="F98" s="301">
        <f t="shared" si="41"/>
        <v>0</v>
      </c>
      <c r="G98" s="301">
        <f t="shared" si="41"/>
        <v>1771489.0135240941</v>
      </c>
      <c r="H98" s="304">
        <f t="shared" si="11"/>
        <v>10380748.154471796</v>
      </c>
    </row>
    <row r="99" spans="3:8">
      <c r="C99" s="300" t="s">
        <v>31</v>
      </c>
      <c r="D99" s="301">
        <f t="shared" si="12"/>
        <v>38341557.893797949</v>
      </c>
      <c r="E99" s="301">
        <f t="shared" ref="E99:G99" si="42">E36</f>
        <v>20539885.899999999</v>
      </c>
      <c r="F99" s="301">
        <f t="shared" si="42"/>
        <v>22246066.818953641</v>
      </c>
      <c r="G99" s="301">
        <f t="shared" si="42"/>
        <v>15157090.536375064</v>
      </c>
      <c r="H99" s="302">
        <f t="shared" si="11"/>
        <v>96284601.149126649</v>
      </c>
    </row>
    <row r="100" spans="3:8">
      <c r="C100" s="303" t="s">
        <v>32</v>
      </c>
      <c r="D100" s="301">
        <f t="shared" si="12"/>
        <v>5437729.0395667516</v>
      </c>
      <c r="E100" s="301">
        <f t="shared" ref="E100:G100" si="43">E37</f>
        <v>5199408.5199999996</v>
      </c>
      <c r="F100" s="301">
        <f t="shared" si="43"/>
        <v>0</v>
      </c>
      <c r="G100" s="301">
        <f t="shared" si="43"/>
        <v>4237641.6509963283</v>
      </c>
      <c r="H100" s="304">
        <f t="shared" si="11"/>
        <v>14874779.210563079</v>
      </c>
    </row>
    <row r="101" spans="3:8">
      <c r="C101" s="300" t="s">
        <v>33</v>
      </c>
      <c r="D101" s="301">
        <f t="shared" si="12"/>
        <v>26748414.663419664</v>
      </c>
      <c r="E101" s="301">
        <f t="shared" ref="E101:G101" si="44">E38</f>
        <v>9637071</v>
      </c>
      <c r="F101" s="301">
        <f t="shared" si="44"/>
        <v>0</v>
      </c>
      <c r="G101" s="301">
        <f t="shared" si="44"/>
        <v>11650888.920644164</v>
      </c>
      <c r="H101" s="302">
        <f t="shared" ref="H101:H119" si="45">SUM(D101:G101)</f>
        <v>48036374.584063828</v>
      </c>
    </row>
    <row r="102" spans="3:8">
      <c r="C102" s="303" t="s">
        <v>34</v>
      </c>
      <c r="D102" s="301">
        <f t="shared" si="12"/>
        <v>5375394.3101368342</v>
      </c>
      <c r="E102" s="301">
        <f t="shared" ref="E102:G102" si="46">E39</f>
        <v>3961581.76</v>
      </c>
      <c r="F102" s="301">
        <f t="shared" si="46"/>
        <v>0</v>
      </c>
      <c r="G102" s="301">
        <f t="shared" si="46"/>
        <v>2169815.2031722297</v>
      </c>
      <c r="H102" s="304">
        <f t="shared" si="45"/>
        <v>11506791.273309063</v>
      </c>
    </row>
    <row r="103" spans="3:8">
      <c r="C103" s="300" t="s">
        <v>35</v>
      </c>
      <c r="D103" s="301">
        <f t="shared" si="12"/>
        <v>4398458.6368300309</v>
      </c>
      <c r="E103" s="301">
        <f t="shared" ref="E103:G103" si="47">E40</f>
        <v>2902224.73</v>
      </c>
      <c r="F103" s="301">
        <f t="shared" si="47"/>
        <v>0</v>
      </c>
      <c r="G103" s="301">
        <f t="shared" si="47"/>
        <v>400127.75486680702</v>
      </c>
      <c r="H103" s="302">
        <f t="shared" si="45"/>
        <v>7700811.1216968372</v>
      </c>
    </row>
    <row r="104" spans="3:8">
      <c r="C104" s="303" t="s">
        <v>36</v>
      </c>
      <c r="D104" s="301">
        <f t="shared" si="12"/>
        <v>6055971.3344729561</v>
      </c>
      <c r="E104" s="301">
        <f t="shared" ref="E104:G104" si="48">E41</f>
        <v>4494836.6500000004</v>
      </c>
      <c r="F104" s="301">
        <f t="shared" si="48"/>
        <v>0</v>
      </c>
      <c r="G104" s="301">
        <f t="shared" si="48"/>
        <v>3060633.3644220917</v>
      </c>
      <c r="H104" s="304">
        <f t="shared" si="45"/>
        <v>13611441.348895049</v>
      </c>
    </row>
    <row r="105" spans="3:8">
      <c r="C105" s="300" t="s">
        <v>37</v>
      </c>
      <c r="D105" s="301">
        <f t="shared" si="12"/>
        <v>5625001.9120350806</v>
      </c>
      <c r="E105" s="301">
        <f t="shared" ref="E105:G105" si="49">E42</f>
        <v>5079801.93</v>
      </c>
      <c r="F105" s="301">
        <f t="shared" si="49"/>
        <v>0</v>
      </c>
      <c r="G105" s="301">
        <f t="shared" si="49"/>
        <v>4037835.2872767048</v>
      </c>
      <c r="H105" s="302">
        <f t="shared" si="45"/>
        <v>14742639.129311785</v>
      </c>
    </row>
    <row r="106" spans="3:8">
      <c r="C106" s="303" t="s">
        <v>38</v>
      </c>
      <c r="D106" s="301">
        <f t="shared" si="12"/>
        <v>22116836.793105394</v>
      </c>
      <c r="E106" s="301">
        <f t="shared" ref="E106:G106" si="50">E43</f>
        <v>7907431.5300000003</v>
      </c>
      <c r="F106" s="301">
        <f t="shared" si="50"/>
        <v>0</v>
      </c>
      <c r="G106" s="301">
        <f t="shared" si="50"/>
        <v>8761474.6957567986</v>
      </c>
      <c r="H106" s="304">
        <f t="shared" si="45"/>
        <v>38785743.018862195</v>
      </c>
    </row>
    <row r="107" spans="3:8">
      <c r="C107" s="300" t="s">
        <v>39</v>
      </c>
      <c r="D107" s="301">
        <f t="shared" si="12"/>
        <v>87245556.68178156</v>
      </c>
      <c r="E107" s="301">
        <f t="shared" ref="E107:G107" si="51">E44</f>
        <v>77841174.790000007</v>
      </c>
      <c r="F107" s="301">
        <f t="shared" si="51"/>
        <v>0</v>
      </c>
      <c r="G107" s="301">
        <f t="shared" si="51"/>
        <v>84352144.211345762</v>
      </c>
      <c r="H107" s="302">
        <f t="shared" si="45"/>
        <v>249438875.68312731</v>
      </c>
    </row>
    <row r="108" spans="3:8">
      <c r="C108" s="303" t="s">
        <v>40</v>
      </c>
      <c r="D108" s="301">
        <f t="shared" si="12"/>
        <v>4243427.8657909697</v>
      </c>
      <c r="E108" s="301">
        <f t="shared" ref="E108:G108" si="52">E45</f>
        <v>3878940.74</v>
      </c>
      <c r="F108" s="301">
        <f t="shared" si="52"/>
        <v>0</v>
      </c>
      <c r="G108" s="301">
        <f t="shared" si="52"/>
        <v>2031760.9157511813</v>
      </c>
      <c r="H108" s="304">
        <f t="shared" si="45"/>
        <v>10154129.521542151</v>
      </c>
    </row>
    <row r="109" spans="3:8">
      <c r="C109" s="300" t="s">
        <v>41</v>
      </c>
      <c r="D109" s="301">
        <f t="shared" si="12"/>
        <v>43664233.178284839</v>
      </c>
      <c r="E109" s="301">
        <f t="shared" ref="E109:G109" si="53">E46</f>
        <v>11469377.560000001</v>
      </c>
      <c r="F109" s="301">
        <f t="shared" si="53"/>
        <v>11288374.500973731</v>
      </c>
      <c r="G109" s="301">
        <f t="shared" si="53"/>
        <v>14711811.564027086</v>
      </c>
      <c r="H109" s="302">
        <f t="shared" si="45"/>
        <v>81133796.803285658</v>
      </c>
    </row>
    <row r="110" spans="3:8">
      <c r="C110" s="303" t="s">
        <v>42</v>
      </c>
      <c r="D110" s="301">
        <f t="shared" si="12"/>
        <v>5447939.0383526869</v>
      </c>
      <c r="E110" s="301">
        <f t="shared" ref="E110:G110" si="54">E47</f>
        <v>4010015.27</v>
      </c>
      <c r="F110" s="301">
        <f t="shared" si="54"/>
        <v>0</v>
      </c>
      <c r="G110" s="301">
        <f t="shared" si="54"/>
        <v>2250724.8167878329</v>
      </c>
      <c r="H110" s="304">
        <f t="shared" si="45"/>
        <v>11708679.12514052</v>
      </c>
    </row>
    <row r="111" spans="3:8">
      <c r="C111" s="300" t="s">
        <v>43</v>
      </c>
      <c r="D111" s="301">
        <f t="shared" si="12"/>
        <v>4638662.2924780734</v>
      </c>
      <c r="E111" s="301">
        <f t="shared" ref="E111:G111" si="55">E48</f>
        <v>3902130.69</v>
      </c>
      <c r="F111" s="301">
        <f t="shared" si="55"/>
        <v>0</v>
      </c>
      <c r="G111" s="301">
        <f t="shared" si="55"/>
        <v>2070500.4170154054</v>
      </c>
      <c r="H111" s="302">
        <f t="shared" si="45"/>
        <v>10611293.399493478</v>
      </c>
    </row>
    <row r="112" spans="3:8">
      <c r="C112" s="303" t="s">
        <v>44</v>
      </c>
      <c r="D112" s="301">
        <f t="shared" si="12"/>
        <v>13325759.154237039</v>
      </c>
      <c r="E112" s="301">
        <f t="shared" ref="E112:G112" si="56">E49</f>
        <v>6061701.79</v>
      </c>
      <c r="F112" s="301">
        <f t="shared" si="56"/>
        <v>0</v>
      </c>
      <c r="G112" s="301">
        <f t="shared" si="56"/>
        <v>5678128.2230453743</v>
      </c>
      <c r="H112" s="304">
        <f t="shared" si="45"/>
        <v>25065589.167282414</v>
      </c>
    </row>
    <row r="113" spans="3:8">
      <c r="C113" s="300" t="s">
        <v>45</v>
      </c>
      <c r="D113" s="301">
        <f t="shared" si="12"/>
        <v>10319266.742477614</v>
      </c>
      <c r="E113" s="301">
        <f t="shared" ref="E113:G113" si="57">E50</f>
        <v>10527748.359999999</v>
      </c>
      <c r="F113" s="301">
        <f t="shared" si="57"/>
        <v>9741093.1909087617</v>
      </c>
      <c r="G113" s="301">
        <f t="shared" si="57"/>
        <v>3066779.6837666859</v>
      </c>
      <c r="H113" s="302">
        <f t="shared" si="45"/>
        <v>33654887.977153063</v>
      </c>
    </row>
    <row r="114" spans="3:8">
      <c r="C114" s="303" t="s">
        <v>46</v>
      </c>
      <c r="D114" s="301">
        <f t="shared" si="12"/>
        <v>34020923.310773</v>
      </c>
      <c r="E114" s="301">
        <f t="shared" ref="E114:G114" si="58">E51</f>
        <v>25672427.239999998</v>
      </c>
      <c r="F114" s="301">
        <f t="shared" si="58"/>
        <v>0</v>
      </c>
      <c r="G114" s="301">
        <f t="shared" si="58"/>
        <v>21354969.852377772</v>
      </c>
      <c r="H114" s="304">
        <f t="shared" si="45"/>
        <v>81048320.403150767</v>
      </c>
    </row>
    <row r="115" spans="3:8">
      <c r="C115" s="300" t="s">
        <v>47</v>
      </c>
      <c r="D115" s="301">
        <f t="shared" si="12"/>
        <v>13626019.017662723</v>
      </c>
      <c r="E115" s="301">
        <f t="shared" ref="E115:G115" si="59">E52</f>
        <v>42048535.149999999</v>
      </c>
      <c r="F115" s="301">
        <f t="shared" si="59"/>
        <v>0</v>
      </c>
      <c r="G115" s="301">
        <f t="shared" si="59"/>
        <v>41130191.110956699</v>
      </c>
      <c r="H115" s="302">
        <f t="shared" si="45"/>
        <v>96804745.278619424</v>
      </c>
    </row>
    <row r="116" spans="3:8">
      <c r="C116" s="303" t="s">
        <v>48</v>
      </c>
      <c r="D116" s="301">
        <f t="shared" si="12"/>
        <v>26309780.640910357</v>
      </c>
      <c r="E116" s="301">
        <f t="shared" ref="E116:G116" si="60">E53</f>
        <v>17098937.399999999</v>
      </c>
      <c r="F116" s="301">
        <f t="shared" si="60"/>
        <v>17383623.776573174</v>
      </c>
      <c r="G116" s="301">
        <f t="shared" si="60"/>
        <v>11001920.183686111</v>
      </c>
      <c r="H116" s="304">
        <f t="shared" si="45"/>
        <v>71794262.001169637</v>
      </c>
    </row>
    <row r="117" spans="3:8">
      <c r="C117" s="300" t="s">
        <v>49</v>
      </c>
      <c r="D117" s="301">
        <f t="shared" si="12"/>
        <v>7407332.0803087931</v>
      </c>
      <c r="E117" s="301">
        <f t="shared" ref="E117:G117" si="61">E54</f>
        <v>12351398.9</v>
      </c>
      <c r="F117" s="301">
        <f t="shared" si="61"/>
        <v>10133382.321452726</v>
      </c>
      <c r="G117" s="301">
        <f t="shared" si="61"/>
        <v>5268956.9796195589</v>
      </c>
      <c r="H117" s="302">
        <f t="shared" si="45"/>
        <v>35161070.281381078</v>
      </c>
    </row>
    <row r="118" spans="3:8">
      <c r="C118" s="303" t="s">
        <v>50</v>
      </c>
      <c r="D118" s="301">
        <f t="shared" si="12"/>
        <v>4416997.8451518593</v>
      </c>
      <c r="E118" s="301">
        <f t="shared" ref="E118:G118" si="62">E55</f>
        <v>4579377.5199999996</v>
      </c>
      <c r="F118" s="301">
        <f t="shared" si="62"/>
        <v>0</v>
      </c>
      <c r="G118" s="301">
        <f t="shared" si="62"/>
        <v>3201861.4134041988</v>
      </c>
      <c r="H118" s="304">
        <f t="shared" si="45"/>
        <v>12198236.778556058</v>
      </c>
    </row>
    <row r="119" spans="3:8">
      <c r="C119" s="300" t="s">
        <v>51</v>
      </c>
      <c r="D119" s="301">
        <f t="shared" si="12"/>
        <v>4960008.5700564384</v>
      </c>
      <c r="E119" s="301">
        <f t="shared" ref="E119:G119" si="63">E56</f>
        <v>4268261.33</v>
      </c>
      <c r="F119" s="301">
        <f t="shared" si="63"/>
        <v>0</v>
      </c>
      <c r="G119" s="301">
        <f t="shared" si="63"/>
        <v>2682132.55249824</v>
      </c>
      <c r="H119" s="302">
        <f t="shared" si="45"/>
        <v>11910402.452554679</v>
      </c>
    </row>
  </sheetData>
  <mergeCells count="8">
    <mergeCell ref="B1:I1"/>
    <mergeCell ref="B2:I2"/>
    <mergeCell ref="B3:I3"/>
    <mergeCell ref="B4:I4"/>
    <mergeCell ref="L1:Q1"/>
    <mergeCell ref="L2:Q2"/>
    <mergeCell ref="L3:Q3"/>
    <mergeCell ref="L4:Q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0"/>
    <pageSetUpPr fitToPage="1"/>
  </sheetPr>
  <dimension ref="A1:AM61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5" sqref="G5:G55"/>
    </sheetView>
  </sheetViews>
  <sheetFormatPr baseColWidth="10" defaultColWidth="11.44140625" defaultRowHeight="13.2"/>
  <cols>
    <col min="1" max="1" width="34" style="1" customWidth="1"/>
    <col min="2" max="2" width="16.109375" style="83" customWidth="1"/>
    <col min="3" max="3" width="18.88671875" style="83" customWidth="1"/>
    <col min="4" max="4" width="16.109375" style="83" customWidth="1"/>
    <col min="5" max="7" width="15" style="1" customWidth="1"/>
    <col min="8" max="8" width="18.6640625" style="1" customWidth="1"/>
    <col min="9" max="10" width="17.44140625" style="1" customWidth="1"/>
    <col min="11" max="21" width="17.33203125" style="1" customWidth="1"/>
    <col min="22" max="23" width="16.6640625" style="1" customWidth="1"/>
    <col min="24" max="24" width="22.44140625" style="1" bestFit="1" customWidth="1"/>
    <col min="25" max="38" width="16.6640625" style="1" customWidth="1"/>
    <col min="39" max="16384" width="11.44140625" style="1"/>
  </cols>
  <sheetData>
    <row r="1" spans="1:39" ht="15.6">
      <c r="A1" s="157">
        <v>1</v>
      </c>
      <c r="B1" s="157">
        <v>2</v>
      </c>
      <c r="C1" s="157">
        <v>3</v>
      </c>
      <c r="D1" s="157">
        <v>4</v>
      </c>
      <c r="E1" s="157">
        <v>5</v>
      </c>
      <c r="F1" s="157">
        <v>6</v>
      </c>
      <c r="G1" s="157">
        <v>7</v>
      </c>
      <c r="H1" s="157">
        <v>8</v>
      </c>
      <c r="I1" s="157">
        <v>9</v>
      </c>
      <c r="J1" s="157">
        <v>10</v>
      </c>
      <c r="K1" s="157">
        <v>11</v>
      </c>
      <c r="L1" s="157">
        <v>12</v>
      </c>
      <c r="M1" s="157">
        <v>13</v>
      </c>
      <c r="N1" s="157">
        <v>14</v>
      </c>
      <c r="O1" s="157">
        <v>15</v>
      </c>
      <c r="P1" s="157">
        <v>16</v>
      </c>
      <c r="Q1" s="157">
        <v>17</v>
      </c>
      <c r="R1" s="157">
        <v>18</v>
      </c>
      <c r="S1" s="157">
        <v>19</v>
      </c>
      <c r="T1" s="157">
        <v>20</v>
      </c>
      <c r="U1" s="157">
        <v>21</v>
      </c>
      <c r="V1" s="157">
        <v>22</v>
      </c>
      <c r="W1" s="157">
        <v>23</v>
      </c>
      <c r="X1" s="157">
        <v>24</v>
      </c>
      <c r="Y1" s="157">
        <v>25</v>
      </c>
      <c r="Z1" s="157">
        <v>26</v>
      </c>
      <c r="AA1" s="157">
        <v>27</v>
      </c>
      <c r="AB1" s="157">
        <v>28</v>
      </c>
      <c r="AC1" s="157">
        <v>29</v>
      </c>
      <c r="AD1" s="157">
        <v>30</v>
      </c>
      <c r="AE1" s="157">
        <v>31</v>
      </c>
      <c r="AF1" s="157">
        <v>32</v>
      </c>
      <c r="AG1" s="157">
        <v>33</v>
      </c>
      <c r="AH1" s="157">
        <v>34</v>
      </c>
      <c r="AI1" s="157">
        <v>35</v>
      </c>
      <c r="AJ1" s="157">
        <v>36</v>
      </c>
      <c r="AK1" s="157">
        <v>37</v>
      </c>
      <c r="AL1" s="157">
        <v>38</v>
      </c>
      <c r="AM1" s="157"/>
    </row>
    <row r="2" spans="1:39">
      <c r="A2" s="390" t="s">
        <v>62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Y2" s="68"/>
      <c r="Z2" s="68"/>
      <c r="AA2" s="68"/>
      <c r="AB2" s="68"/>
      <c r="AC2" s="68"/>
      <c r="AD2" s="68"/>
      <c r="AE2" s="81"/>
      <c r="AF2" s="81"/>
      <c r="AG2" s="81"/>
      <c r="AH2" s="81"/>
      <c r="AI2" s="81"/>
      <c r="AJ2" s="81"/>
      <c r="AK2" s="81"/>
      <c r="AL2" s="81"/>
    </row>
    <row r="3" spans="1:39" s="31" customFormat="1" ht="21" customHeight="1" thickBot="1">
      <c r="B3" s="83"/>
      <c r="C3" s="83"/>
      <c r="D3" s="83"/>
      <c r="E3" s="391" t="s">
        <v>74</v>
      </c>
      <c r="F3" s="391"/>
      <c r="G3" s="391"/>
      <c r="H3" s="391"/>
      <c r="I3" s="391"/>
      <c r="J3" s="391"/>
      <c r="K3" s="393" t="s">
        <v>75</v>
      </c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2" t="s">
        <v>77</v>
      </c>
      <c r="W3" s="392"/>
      <c r="X3" s="37" t="s">
        <v>177</v>
      </c>
      <c r="Y3" s="389" t="s">
        <v>97</v>
      </c>
      <c r="Z3" s="389"/>
      <c r="AA3" s="389"/>
      <c r="AB3" s="389"/>
      <c r="AC3" s="389"/>
      <c r="AD3" s="389"/>
      <c r="AE3" s="389"/>
      <c r="AF3" s="389"/>
      <c r="AG3" s="389"/>
      <c r="AH3" s="389"/>
      <c r="AI3" s="389"/>
      <c r="AJ3" s="389"/>
      <c r="AK3" s="388" t="s">
        <v>95</v>
      </c>
      <c r="AL3" s="388"/>
    </row>
    <row r="4" spans="1:39" ht="69" customHeight="1" thickTop="1">
      <c r="A4" s="15" t="s">
        <v>63</v>
      </c>
      <c r="B4" s="84" t="s">
        <v>89</v>
      </c>
      <c r="C4" s="232" t="s">
        <v>156</v>
      </c>
      <c r="D4" s="84" t="s">
        <v>90</v>
      </c>
      <c r="E4" s="316" t="s">
        <v>178</v>
      </c>
      <c r="F4" s="265" t="s">
        <v>179</v>
      </c>
      <c r="G4" s="265" t="s">
        <v>238</v>
      </c>
      <c r="H4" s="267" t="s">
        <v>239</v>
      </c>
      <c r="I4" s="265" t="s">
        <v>180</v>
      </c>
      <c r="J4" s="317" t="s">
        <v>181</v>
      </c>
      <c r="K4" s="268" t="s">
        <v>208</v>
      </c>
      <c r="L4" s="269" t="s">
        <v>214</v>
      </c>
      <c r="M4" s="269" t="s">
        <v>215</v>
      </c>
      <c r="N4" s="269" t="s">
        <v>216</v>
      </c>
      <c r="O4" s="16" t="s">
        <v>209</v>
      </c>
      <c r="P4" s="269" t="s">
        <v>210</v>
      </c>
      <c r="Q4" s="269" t="s">
        <v>217</v>
      </c>
      <c r="R4" s="269" t="s">
        <v>211</v>
      </c>
      <c r="S4" s="269" t="s">
        <v>212</v>
      </c>
      <c r="T4" s="16" t="s">
        <v>218</v>
      </c>
      <c r="U4" s="16" t="s">
        <v>219</v>
      </c>
      <c r="V4" s="71" t="s">
        <v>76</v>
      </c>
      <c r="W4" s="77" t="s">
        <v>176</v>
      </c>
      <c r="X4" s="28" t="s">
        <v>220</v>
      </c>
      <c r="Y4" s="78" t="s">
        <v>182</v>
      </c>
      <c r="Z4" s="74" t="s">
        <v>78</v>
      </c>
      <c r="AA4" s="75" t="s">
        <v>79</v>
      </c>
      <c r="AB4" s="75" t="s">
        <v>80</v>
      </c>
      <c r="AC4" s="74" t="s">
        <v>81</v>
      </c>
      <c r="AD4" s="74" t="s">
        <v>82</v>
      </c>
      <c r="AE4" s="74" t="s">
        <v>131</v>
      </c>
      <c r="AF4" s="74" t="s">
        <v>132</v>
      </c>
      <c r="AG4" s="74" t="s">
        <v>133</v>
      </c>
      <c r="AH4" s="74" t="s">
        <v>134</v>
      </c>
      <c r="AI4" s="74" t="s">
        <v>115</v>
      </c>
      <c r="AJ4" s="74" t="s">
        <v>116</v>
      </c>
      <c r="AK4" s="89" t="s">
        <v>101</v>
      </c>
      <c r="AL4" s="76" t="s">
        <v>103</v>
      </c>
    </row>
    <row r="5" spans="1:39">
      <c r="A5" s="17" t="s">
        <v>1</v>
      </c>
      <c r="B5" s="85" t="s">
        <v>91</v>
      </c>
      <c r="C5" s="85" t="s">
        <v>91</v>
      </c>
      <c r="D5" s="85" t="s">
        <v>92</v>
      </c>
      <c r="E5" s="318">
        <v>145672.85</v>
      </c>
      <c r="F5" s="18">
        <v>626624</v>
      </c>
      <c r="G5" s="266">
        <v>200922.61</v>
      </c>
      <c r="H5" s="266">
        <v>685947</v>
      </c>
      <c r="I5" s="14">
        <f t="shared" ref="I5:I55" si="0">G5/H5</f>
        <v>0.29291273232480058</v>
      </c>
      <c r="J5" s="319">
        <f t="shared" ref="J5:J36" si="1">(G5-E5)/E5</f>
        <v>0.37927287068249149</v>
      </c>
      <c r="K5" s="270">
        <v>296</v>
      </c>
      <c r="L5" s="271">
        <v>291</v>
      </c>
      <c r="M5" s="287">
        <f>L5/$L$56</f>
        <v>2.7055597858981759E-4</v>
      </c>
      <c r="N5" s="285">
        <v>1.7570912812999999</v>
      </c>
      <c r="O5" s="305">
        <f>N5*M5</f>
        <v>4.7539155108375792E-4</v>
      </c>
      <c r="P5" s="293">
        <f>O5/$O$56</f>
        <v>2.4656536212427173E-4</v>
      </c>
      <c r="Q5" s="293">
        <f>0.85*P5</f>
        <v>2.0958055780563096E-4</v>
      </c>
      <c r="R5" s="285">
        <f>K5/L5</f>
        <v>1.0171821305841924</v>
      </c>
      <c r="S5" s="286">
        <f>R5/$R$56</f>
        <v>1.351657209931304E-2</v>
      </c>
      <c r="T5" s="57">
        <f>0.15*S5</f>
        <v>2.0274858148969558E-3</v>
      </c>
      <c r="U5" s="290">
        <f>T5+Q5</f>
        <v>2.2370663727025869E-3</v>
      </c>
      <c r="V5" s="72">
        <v>46.9</v>
      </c>
      <c r="W5" s="18">
        <v>2974</v>
      </c>
      <c r="X5" s="70">
        <v>1744434.2825838525</v>
      </c>
      <c r="Y5" s="79">
        <f t="shared" ref="Y5:Y36" si="2">(G5/F5)*G5</f>
        <v>64424.431890913998</v>
      </c>
      <c r="Z5" s="33">
        <f t="shared" ref="Z5:Z36" si="3">Y5/$Y$56</f>
        <v>3.4038473245059671E-5</v>
      </c>
      <c r="AA5" s="29">
        <f t="shared" ref="AA5:AA36" si="4">0.85*W5/$W$56</f>
        <v>4.3701708825155477E-4</v>
      </c>
      <c r="AB5" s="29">
        <f t="shared" ref="AB5:AB36" si="5">0.15*V5/$V$56</f>
        <v>1.0965390826168547E-4</v>
      </c>
      <c r="AC5" s="33">
        <f>AA5+AB5</f>
        <v>5.4667099651324028E-4</v>
      </c>
      <c r="AD5" s="33">
        <f t="shared" ref="AD5:AD36" si="6">U5</f>
        <v>2.2370663727025869E-3</v>
      </c>
      <c r="AE5" s="118">
        <f>IF('Datos Mun'!B5="AMM",W5,0)</f>
        <v>0</v>
      </c>
      <c r="AF5" s="33">
        <f>AE5/$AE$56</f>
        <v>0</v>
      </c>
      <c r="AG5" s="118">
        <f>IF('Datos Mun'!B5="AMM",0,W5)</f>
        <v>2974</v>
      </c>
      <c r="AH5" s="33">
        <f>AG5/$AG$56</f>
        <v>3.3592259548210087E-3</v>
      </c>
      <c r="AI5" s="118">
        <f t="shared" ref="AI5:AI36" si="7">IF(D5="Zona de Crec",W5,0)</f>
        <v>0</v>
      </c>
      <c r="AJ5" s="33">
        <f>AI5/$AI$56</f>
        <v>0</v>
      </c>
      <c r="AK5" s="90">
        <f>IF('Datos Mun'!B5="AMM",'Art 14 F I'!F7,'Art 14 F I'!M7)</f>
        <v>4.5655482078276605E-3</v>
      </c>
      <c r="AL5" s="35">
        <f>IF('Datos Mun'!D5="Zona de Crec",'Art 14 F I'!T7,0)</f>
        <v>0</v>
      </c>
    </row>
    <row r="6" spans="1:39">
      <c r="A6" s="17" t="s">
        <v>2</v>
      </c>
      <c r="B6" s="85" t="s">
        <v>91</v>
      </c>
      <c r="C6" s="85" t="s">
        <v>91</v>
      </c>
      <c r="D6" s="85" t="s">
        <v>92</v>
      </c>
      <c r="E6" s="318">
        <v>768052</v>
      </c>
      <c r="F6" s="18">
        <v>2597546</v>
      </c>
      <c r="G6" s="266">
        <v>996274</v>
      </c>
      <c r="H6" s="266">
        <v>2702829</v>
      </c>
      <c r="I6" s="14">
        <f t="shared" si="0"/>
        <v>0.3686041551278309</v>
      </c>
      <c r="J6" s="319">
        <f t="shared" si="1"/>
        <v>0.29714394337883371</v>
      </c>
      <c r="K6" s="8">
        <v>250</v>
      </c>
      <c r="L6" s="9">
        <v>278</v>
      </c>
      <c r="M6" s="306">
        <f t="shared" ref="M6:M55" si="8">L6/$L$56</f>
        <v>2.5846928538821062E-4</v>
      </c>
      <c r="N6" s="288">
        <v>1.7189329948000001</v>
      </c>
      <c r="O6" s="290">
        <f t="shared" ref="O6:O55" si="9">N6*M6</f>
        <v>4.4429138279617278E-4</v>
      </c>
      <c r="P6" s="307">
        <f t="shared" ref="P6:P55" si="10">O6/$O$56</f>
        <v>2.3043502863712235E-4</v>
      </c>
      <c r="Q6" s="307">
        <f t="shared" ref="Q6:Q55" si="11">0.85*P6</f>
        <v>1.95869774341554E-4</v>
      </c>
      <c r="R6" s="288">
        <f t="shared" ref="R6:R55" si="12">K6/L6</f>
        <v>0.89928057553956831</v>
      </c>
      <c r="S6" s="308">
        <f t="shared" ref="S6:S55" si="13">R6/$R$56</f>
        <v>1.1949866568941082E-2</v>
      </c>
      <c r="T6" s="14">
        <f t="shared" ref="T6:T55" si="14">0.15*S6</f>
        <v>1.7924799853411622E-3</v>
      </c>
      <c r="U6" s="290">
        <f t="shared" ref="U6:U55" si="15">T6+Q6</f>
        <v>1.9883497596827164E-3</v>
      </c>
      <c r="V6" s="72">
        <v>980.9</v>
      </c>
      <c r="W6" s="18">
        <v>3382</v>
      </c>
      <c r="X6" s="70">
        <v>2900632.6789315422</v>
      </c>
      <c r="Y6" s="79">
        <f t="shared" si="2"/>
        <v>382115.22840249987</v>
      </c>
      <c r="Z6" s="33">
        <f t="shared" si="3"/>
        <v>2.0188954092030924E-4</v>
      </c>
      <c r="AA6" s="29">
        <f t="shared" si="4"/>
        <v>4.9697101293435045E-4</v>
      </c>
      <c r="AB6" s="29">
        <f t="shared" si="5"/>
        <v>2.2933799278014345E-3</v>
      </c>
      <c r="AC6" s="33">
        <f t="shared" ref="AC6:AC55" si="16">AA6+AB6</f>
        <v>2.7903509407357849E-3</v>
      </c>
      <c r="AD6" s="33">
        <f t="shared" si="6"/>
        <v>1.9883497596827164E-3</v>
      </c>
      <c r="AE6" s="118">
        <f>IF('Datos Mun'!B6="AMM",W6,0)</f>
        <v>0</v>
      </c>
      <c r="AF6" s="33">
        <f t="shared" ref="AF6:AF55" si="17">AE6/$AE$56</f>
        <v>0</v>
      </c>
      <c r="AG6" s="118">
        <f>IF('Datos Mun'!B6="AMM",0,W6)</f>
        <v>3382</v>
      </c>
      <c r="AH6" s="33">
        <f t="shared" ref="AH6:AH55" si="18">AG6/$AG$56</f>
        <v>3.8200747071972601E-3</v>
      </c>
      <c r="AI6" s="118">
        <f t="shared" si="7"/>
        <v>0</v>
      </c>
      <c r="AJ6" s="33">
        <f t="shared" ref="AJ6:AJ55" si="19">AI6/$AI$56</f>
        <v>0</v>
      </c>
      <c r="AK6" s="90">
        <f>IF('Datos Mun'!B6="AMM",'Art 14 F I'!F8,'Art 14 F I'!M8)</f>
        <v>8.29677484669584E-3</v>
      </c>
      <c r="AL6" s="35">
        <f>IF('Datos Mun'!D6="Zona de Crec",'Art 14 F I'!T8,0)</f>
        <v>0</v>
      </c>
    </row>
    <row r="7" spans="1:39">
      <c r="A7" s="17" t="s">
        <v>3</v>
      </c>
      <c r="B7" s="85" t="s">
        <v>91</v>
      </c>
      <c r="C7" s="85" t="s">
        <v>91</v>
      </c>
      <c r="D7" s="85" t="s">
        <v>92</v>
      </c>
      <c r="E7" s="318">
        <v>272877</v>
      </c>
      <c r="F7" s="18">
        <v>1129316</v>
      </c>
      <c r="G7" s="266">
        <v>288767</v>
      </c>
      <c r="H7" s="266">
        <v>1181103</v>
      </c>
      <c r="I7" s="14">
        <f t="shared" si="0"/>
        <v>0.24448926130913223</v>
      </c>
      <c r="J7" s="319">
        <f t="shared" si="1"/>
        <v>5.8231364314324768E-2</v>
      </c>
      <c r="K7" s="8">
        <v>366</v>
      </c>
      <c r="L7" s="9">
        <v>167</v>
      </c>
      <c r="M7" s="306">
        <f t="shared" si="8"/>
        <v>1.5526752035910496E-4</v>
      </c>
      <c r="N7" s="288">
        <v>1.7050555638</v>
      </c>
      <c r="O7" s="290">
        <f t="shared" si="9"/>
        <v>2.6473974946572169E-4</v>
      </c>
      <c r="P7" s="307">
        <f t="shared" si="10"/>
        <v>1.3730923918798022E-4</v>
      </c>
      <c r="Q7" s="307">
        <f t="shared" si="11"/>
        <v>1.1671285330978319E-4</v>
      </c>
      <c r="R7" s="288">
        <f t="shared" si="12"/>
        <v>2.191616766467066</v>
      </c>
      <c r="S7" s="308">
        <f t="shared" si="13"/>
        <v>2.9122755057643529E-2</v>
      </c>
      <c r="T7" s="14">
        <f t="shared" si="14"/>
        <v>4.3684132586465294E-3</v>
      </c>
      <c r="U7" s="290">
        <f t="shared" si="15"/>
        <v>4.4851261119563121E-3</v>
      </c>
      <c r="V7" s="72">
        <v>694.5</v>
      </c>
      <c r="W7" s="18">
        <v>1407</v>
      </c>
      <c r="X7" s="70">
        <v>2209789.0505263684</v>
      </c>
      <c r="Y7" s="79">
        <f t="shared" si="2"/>
        <v>73837.951723875347</v>
      </c>
      <c r="Z7" s="33">
        <f t="shared" si="3"/>
        <v>3.9012080827950654E-5</v>
      </c>
      <c r="AA7" s="29">
        <f t="shared" si="4"/>
        <v>2.0675287261934686E-4</v>
      </c>
      <c r="AB7" s="29">
        <f t="shared" si="5"/>
        <v>1.6237662961138713E-3</v>
      </c>
      <c r="AC7" s="33">
        <f t="shared" si="16"/>
        <v>1.8305191687332182E-3</v>
      </c>
      <c r="AD7" s="33">
        <f t="shared" si="6"/>
        <v>4.4851261119563121E-3</v>
      </c>
      <c r="AE7" s="118">
        <f>IF('Datos Mun'!B7="AMM",W7,0)</f>
        <v>0</v>
      </c>
      <c r="AF7" s="33">
        <f t="shared" si="17"/>
        <v>0</v>
      </c>
      <c r="AG7" s="118">
        <f>IF('Datos Mun'!B7="AMM",0,W7)</f>
        <v>1407</v>
      </c>
      <c r="AH7" s="33">
        <f t="shared" si="18"/>
        <v>1.5892504769445728E-3</v>
      </c>
      <c r="AI7" s="118">
        <f t="shared" si="7"/>
        <v>0</v>
      </c>
      <c r="AJ7" s="33">
        <f t="shared" si="19"/>
        <v>0</v>
      </c>
      <c r="AK7" s="90">
        <f>IF('Datos Mun'!B7="AMM",'Art 14 F I'!F9,'Art 14 F I'!M9)</f>
        <v>1.0235801785263404E-2</v>
      </c>
      <c r="AL7" s="35">
        <f>IF('Datos Mun'!D7="Zona de Crec",'Art 14 F I'!T9,0)</f>
        <v>0</v>
      </c>
    </row>
    <row r="8" spans="1:39">
      <c r="A8" s="17" t="s">
        <v>4</v>
      </c>
      <c r="B8" s="85" t="s">
        <v>91</v>
      </c>
      <c r="C8" s="85" t="s">
        <v>91</v>
      </c>
      <c r="D8" s="85" t="s">
        <v>92</v>
      </c>
      <c r="E8" s="318">
        <v>23142962</v>
      </c>
      <c r="F8" s="18">
        <v>54890194.010000005</v>
      </c>
      <c r="G8" s="266">
        <v>25832482</v>
      </c>
      <c r="H8" s="266">
        <v>56374737</v>
      </c>
      <c r="I8" s="14">
        <f t="shared" si="0"/>
        <v>0.45822798250925767</v>
      </c>
      <c r="J8" s="319">
        <f t="shared" si="1"/>
        <v>0.1162133006138108</v>
      </c>
      <c r="K8" s="8">
        <v>6372</v>
      </c>
      <c r="L8" s="9">
        <v>6876</v>
      </c>
      <c r="M8" s="306">
        <f t="shared" si="8"/>
        <v>6.3929309580191959E-3</v>
      </c>
      <c r="N8" s="288">
        <v>1.5964581414000001</v>
      </c>
      <c r="O8" s="290">
        <f t="shared" si="9"/>
        <v>1.0206046675337848E-2</v>
      </c>
      <c r="P8" s="307">
        <f t="shared" si="10"/>
        <v>5.2934419819306551E-3</v>
      </c>
      <c r="Q8" s="307">
        <f t="shared" si="11"/>
        <v>4.499425684641057E-3</v>
      </c>
      <c r="R8" s="288">
        <f t="shared" si="12"/>
        <v>0.92670157068062831</v>
      </c>
      <c r="S8" s="308">
        <f t="shared" si="13"/>
        <v>1.2314243652174133E-2</v>
      </c>
      <c r="T8" s="14">
        <f t="shared" si="14"/>
        <v>1.8471365478261198E-3</v>
      </c>
      <c r="U8" s="290">
        <f t="shared" si="15"/>
        <v>6.3465622324671766E-3</v>
      </c>
      <c r="V8" s="72">
        <v>190.5</v>
      </c>
      <c r="W8" s="18">
        <v>35289</v>
      </c>
      <c r="X8" s="70">
        <v>8518240.5976785552</v>
      </c>
      <c r="Y8" s="79">
        <f t="shared" si="2"/>
        <v>12157310.396074586</v>
      </c>
      <c r="Z8" s="33">
        <f t="shared" si="3"/>
        <v>6.4232818591145784E-3</v>
      </c>
      <c r="AA8" s="29">
        <f t="shared" si="4"/>
        <v>5.1855736473803348E-3</v>
      </c>
      <c r="AB8" s="29">
        <f t="shared" si="5"/>
        <v>4.4539593867486317E-4</v>
      </c>
      <c r="AC8" s="33">
        <f t="shared" si="16"/>
        <v>5.6309695860551979E-3</v>
      </c>
      <c r="AD8" s="33">
        <f t="shared" si="6"/>
        <v>6.3465622324671766E-3</v>
      </c>
      <c r="AE8" s="118">
        <f>IF('Datos Mun'!B8="AMM",W8,0)</f>
        <v>0</v>
      </c>
      <c r="AF8" s="33">
        <f t="shared" si="17"/>
        <v>0</v>
      </c>
      <c r="AG8" s="118">
        <f>IF('Datos Mun'!B8="AMM",0,W8)</f>
        <v>35289</v>
      </c>
      <c r="AH8" s="33">
        <f t="shared" si="18"/>
        <v>3.9860028486778269E-2</v>
      </c>
      <c r="AI8" s="118">
        <f t="shared" si="7"/>
        <v>0</v>
      </c>
      <c r="AJ8" s="33">
        <f t="shared" si="19"/>
        <v>0</v>
      </c>
      <c r="AK8" s="90">
        <f>IF('Datos Mun'!B8="AMM",'Art 14 F I'!F10,'Art 14 F I'!M10)</f>
        <v>3.9741579339362829E-2</v>
      </c>
      <c r="AL8" s="35">
        <f>IF('Datos Mun'!D8="Zona de Crec",'Art 14 F I'!T10,0)</f>
        <v>0</v>
      </c>
    </row>
    <row r="9" spans="1:39">
      <c r="A9" s="17" t="s">
        <v>5</v>
      </c>
      <c r="B9" s="85" t="s">
        <v>91</v>
      </c>
      <c r="C9" s="85" t="s">
        <v>91</v>
      </c>
      <c r="D9" s="85" t="s">
        <v>92</v>
      </c>
      <c r="E9" s="318">
        <v>2531264</v>
      </c>
      <c r="F9" s="18">
        <v>10678636</v>
      </c>
      <c r="G9" s="266">
        <v>1947895</v>
      </c>
      <c r="H9" s="266">
        <v>10911069</v>
      </c>
      <c r="I9" s="14">
        <f t="shared" si="0"/>
        <v>0.17852467068075548</v>
      </c>
      <c r="J9" s="319">
        <f t="shared" si="1"/>
        <v>-0.23046549075876716</v>
      </c>
      <c r="K9" s="8">
        <v>7349</v>
      </c>
      <c r="L9" s="9">
        <v>5491</v>
      </c>
      <c r="M9" s="306">
        <f t="shared" si="8"/>
        <v>5.1052332592326066E-3</v>
      </c>
      <c r="N9" s="288">
        <v>1.7933312159000001</v>
      </c>
      <c r="O9" s="290">
        <f t="shared" si="9"/>
        <v>9.1553741682327307E-3</v>
      </c>
      <c r="P9" s="307">
        <f t="shared" si="10"/>
        <v>4.7485028752136602E-3</v>
      </c>
      <c r="Q9" s="307">
        <f t="shared" si="11"/>
        <v>4.036227443931611E-3</v>
      </c>
      <c r="R9" s="288">
        <f t="shared" si="12"/>
        <v>1.3383718812602441</v>
      </c>
      <c r="S9" s="308">
        <f t="shared" si="13"/>
        <v>1.7784622325559021E-2</v>
      </c>
      <c r="T9" s="14">
        <f t="shared" si="14"/>
        <v>2.6676933488338529E-3</v>
      </c>
      <c r="U9" s="290">
        <f t="shared" si="15"/>
        <v>6.7039207927654639E-3</v>
      </c>
      <c r="V9" s="72">
        <v>4539.2</v>
      </c>
      <c r="W9" s="18">
        <v>18030</v>
      </c>
      <c r="X9" s="70">
        <v>6137628.3987900307</v>
      </c>
      <c r="Y9" s="79">
        <f t="shared" si="2"/>
        <v>355316.44032299629</v>
      </c>
      <c r="Z9" s="33">
        <f t="shared" si="3"/>
        <v>1.8773047417698486E-4</v>
      </c>
      <c r="AA9" s="29">
        <f t="shared" si="4"/>
        <v>2.6494344657617798E-3</v>
      </c>
      <c r="AB9" s="29">
        <f t="shared" si="5"/>
        <v>1.0612814933506241E-2</v>
      </c>
      <c r="AC9" s="33">
        <f t="shared" si="16"/>
        <v>1.3262249399268022E-2</v>
      </c>
      <c r="AD9" s="33">
        <f t="shared" si="6"/>
        <v>6.7039207927654639E-3</v>
      </c>
      <c r="AE9" s="118">
        <f>IF('Datos Mun'!B9="AMM",W9,0)</f>
        <v>0</v>
      </c>
      <c r="AF9" s="33">
        <f t="shared" si="17"/>
        <v>0</v>
      </c>
      <c r="AG9" s="118">
        <f>IF('Datos Mun'!B9="AMM",0,W9)</f>
        <v>18030</v>
      </c>
      <c r="AH9" s="33">
        <f t="shared" si="18"/>
        <v>2.0365448542509344E-2</v>
      </c>
      <c r="AI9" s="118">
        <f t="shared" si="7"/>
        <v>0</v>
      </c>
      <c r="AJ9" s="33">
        <f t="shared" si="19"/>
        <v>0</v>
      </c>
      <c r="AK9" s="90">
        <f>IF('Datos Mun'!B9="AMM",'Art 14 F I'!F11,'Art 14 F I'!M11)</f>
        <v>3.2565478434488392E-2</v>
      </c>
      <c r="AL9" s="35">
        <f>IF('Datos Mun'!D9="Zona de Crec",'Art 14 F I'!T11,0)</f>
        <v>0</v>
      </c>
    </row>
    <row r="10" spans="1:39">
      <c r="A10" s="17" t="s">
        <v>6</v>
      </c>
      <c r="B10" s="85" t="s">
        <v>93</v>
      </c>
      <c r="C10" s="85" t="s">
        <v>93</v>
      </c>
      <c r="D10" s="85" t="s">
        <v>94</v>
      </c>
      <c r="E10" s="318">
        <v>299493654.98000002</v>
      </c>
      <c r="F10" s="18">
        <v>683317463.73000002</v>
      </c>
      <c r="G10" s="266">
        <v>336540527.27999997</v>
      </c>
      <c r="H10" s="266">
        <v>696327770</v>
      </c>
      <c r="I10" s="14">
        <f t="shared" si="0"/>
        <v>0.48330763439177499</v>
      </c>
      <c r="J10" s="319">
        <f t="shared" si="1"/>
        <v>0.1236983544859203</v>
      </c>
      <c r="K10" s="8">
        <v>77936</v>
      </c>
      <c r="L10" s="9">
        <v>87455</v>
      </c>
      <c r="M10" s="306">
        <f t="shared" si="8"/>
        <v>8.1310904149733673E-2</v>
      </c>
      <c r="N10" s="288">
        <v>1.8323297204</v>
      </c>
      <c r="O10" s="290">
        <f t="shared" si="9"/>
        <v>0.14898838626615271</v>
      </c>
      <c r="P10" s="307">
        <f t="shared" si="10"/>
        <v>7.7273934146028844E-2</v>
      </c>
      <c r="Q10" s="307">
        <f t="shared" si="11"/>
        <v>6.5682844024124512E-2</v>
      </c>
      <c r="R10" s="288">
        <f t="shared" si="12"/>
        <v>0.89115545137499286</v>
      </c>
      <c r="S10" s="308">
        <f t="shared" si="13"/>
        <v>1.1841897874560577E-2</v>
      </c>
      <c r="T10" s="14">
        <f t="shared" si="14"/>
        <v>1.7762846811840865E-3</v>
      </c>
      <c r="U10" s="290">
        <f t="shared" si="15"/>
        <v>6.7459128705308596E-2</v>
      </c>
      <c r="V10" s="72">
        <v>224</v>
      </c>
      <c r="W10" s="18">
        <v>656464</v>
      </c>
      <c r="X10" s="70">
        <v>20753289.731132537</v>
      </c>
      <c r="Y10" s="79">
        <f t="shared" si="2"/>
        <v>165749497.87417224</v>
      </c>
      <c r="Z10" s="33">
        <f t="shared" si="3"/>
        <v>8.7573296080050933E-2</v>
      </c>
      <c r="AA10" s="29">
        <f t="shared" si="4"/>
        <v>9.6464689247467608E-2</v>
      </c>
      <c r="AB10" s="29">
        <f t="shared" si="5"/>
        <v>5.2372015886178146E-4</v>
      </c>
      <c r="AC10" s="33">
        <f t="shared" si="16"/>
        <v>9.6988409406329384E-2</v>
      </c>
      <c r="AD10" s="33">
        <f t="shared" si="6"/>
        <v>6.7459128705308596E-2</v>
      </c>
      <c r="AE10" s="118">
        <f>IF('Datos Mun'!B10="AMM",W10,0)</f>
        <v>656464</v>
      </c>
      <c r="AF10" s="33">
        <f t="shared" si="17"/>
        <v>0.13399633689240861</v>
      </c>
      <c r="AG10" s="118">
        <f>IF('Datos Mun'!B10="AMM",0,W10)</f>
        <v>0</v>
      </c>
      <c r="AH10" s="33">
        <f t="shared" si="18"/>
        <v>0</v>
      </c>
      <c r="AI10" s="118">
        <f t="shared" si="7"/>
        <v>656464</v>
      </c>
      <c r="AJ10" s="33">
        <f t="shared" si="19"/>
        <v>0.21943487323890931</v>
      </c>
      <c r="AK10" s="90">
        <f>IF('Datos Mun'!B10="AMM",'Art 14 F I'!F12,'Art 14 F I'!M12)</f>
        <v>0.10060968789838298</v>
      </c>
      <c r="AL10" s="35">
        <f>IF('Datos Mun'!D10="Zona de Crec",'Art 14 F I'!T12,0)</f>
        <v>0.24869953812555742</v>
      </c>
    </row>
    <row r="11" spans="1:39">
      <c r="A11" s="17" t="s">
        <v>7</v>
      </c>
      <c r="B11" s="85" t="s">
        <v>91</v>
      </c>
      <c r="C11" s="85" t="s">
        <v>91</v>
      </c>
      <c r="D11" s="85" t="s">
        <v>92</v>
      </c>
      <c r="E11" s="318">
        <v>788778.4</v>
      </c>
      <c r="F11" s="18">
        <v>1836204</v>
      </c>
      <c r="G11" s="266">
        <v>792296.3</v>
      </c>
      <c r="H11" s="266">
        <v>1849663</v>
      </c>
      <c r="I11" s="14">
        <f t="shared" si="0"/>
        <v>0.42834629875820623</v>
      </c>
      <c r="J11" s="319">
        <f t="shared" si="1"/>
        <v>4.4599345012490497E-3</v>
      </c>
      <c r="K11" s="8">
        <v>10274</v>
      </c>
      <c r="L11" s="9">
        <v>7471</v>
      </c>
      <c r="M11" s="306">
        <f t="shared" si="8"/>
        <v>6.9461296084004373E-3</v>
      </c>
      <c r="N11" s="288">
        <v>2.3084826450000002</v>
      </c>
      <c r="O11" s="290">
        <f t="shared" si="9"/>
        <v>1.6035019650913057E-2</v>
      </c>
      <c r="P11" s="307">
        <f t="shared" si="10"/>
        <v>8.3166821494490614E-3</v>
      </c>
      <c r="Q11" s="307">
        <f t="shared" si="11"/>
        <v>7.0691798270317019E-3</v>
      </c>
      <c r="R11" s="288">
        <f t="shared" si="12"/>
        <v>1.375184044973899</v>
      </c>
      <c r="S11" s="308">
        <f t="shared" si="13"/>
        <v>1.8273791619834338E-2</v>
      </c>
      <c r="T11" s="14">
        <f t="shared" si="14"/>
        <v>2.7410687429751507E-3</v>
      </c>
      <c r="U11" s="290">
        <f t="shared" si="15"/>
        <v>9.8102485700068531E-3</v>
      </c>
      <c r="V11" s="72">
        <v>2688.6</v>
      </c>
      <c r="W11" s="18">
        <v>14992</v>
      </c>
      <c r="X11" s="70">
        <v>8224675.0942434929</v>
      </c>
      <c r="Y11" s="79">
        <f t="shared" si="2"/>
        <v>341864.75304143224</v>
      </c>
      <c r="Z11" s="33">
        <f t="shared" si="3"/>
        <v>1.8062331181333812E-4</v>
      </c>
      <c r="AA11" s="29">
        <f t="shared" si="4"/>
        <v>2.2030128403050801E-3</v>
      </c>
      <c r="AB11" s="29">
        <f t="shared" si="5"/>
        <v>6.2860447281954702E-3</v>
      </c>
      <c r="AC11" s="33">
        <f t="shared" si="16"/>
        <v>8.48905756850055E-3</v>
      </c>
      <c r="AD11" s="33">
        <f t="shared" si="6"/>
        <v>9.8102485700068531E-3</v>
      </c>
      <c r="AE11" s="118">
        <f>IF('Datos Mun'!B11="AMM",W11,0)</f>
        <v>0</v>
      </c>
      <c r="AF11" s="33">
        <f t="shared" si="17"/>
        <v>0</v>
      </c>
      <c r="AG11" s="118">
        <f>IF('Datos Mun'!B11="AMM",0,W11)</f>
        <v>14992</v>
      </c>
      <c r="AH11" s="33">
        <f t="shared" si="18"/>
        <v>1.6933932587315591E-2</v>
      </c>
      <c r="AI11" s="118">
        <f t="shared" si="7"/>
        <v>0</v>
      </c>
      <c r="AJ11" s="33">
        <f t="shared" si="19"/>
        <v>0</v>
      </c>
      <c r="AK11" s="90">
        <f>IF('Datos Mun'!B11="AMM",'Art 14 F I'!F13,'Art 14 F I'!M13)</f>
        <v>2.9874193684712311E-2</v>
      </c>
      <c r="AL11" s="35">
        <f>IF('Datos Mun'!D11="Zona de Crec",'Art 14 F I'!T13,0)</f>
        <v>0</v>
      </c>
    </row>
    <row r="12" spans="1:39">
      <c r="A12" s="17" t="s">
        <v>8</v>
      </c>
      <c r="B12" s="85" t="s">
        <v>91</v>
      </c>
      <c r="C12" s="85" t="s">
        <v>91</v>
      </c>
      <c r="D12" s="85" t="s">
        <v>92</v>
      </c>
      <c r="E12" s="318">
        <v>799410</v>
      </c>
      <c r="F12" s="18">
        <v>2185720</v>
      </c>
      <c r="G12" s="266">
        <v>960189</v>
      </c>
      <c r="H12" s="266">
        <v>2325037</v>
      </c>
      <c r="I12" s="14">
        <f t="shared" si="0"/>
        <v>0.41297794400691257</v>
      </c>
      <c r="J12" s="319">
        <f t="shared" si="1"/>
        <v>0.20112207753217998</v>
      </c>
      <c r="K12" s="8">
        <v>1472</v>
      </c>
      <c r="L12" s="9">
        <v>1100</v>
      </c>
      <c r="M12" s="306">
        <f t="shared" si="8"/>
        <v>1.0227201939821285E-3</v>
      </c>
      <c r="N12" s="288">
        <v>1.4822637890000001</v>
      </c>
      <c r="O12" s="290">
        <f t="shared" si="9"/>
        <v>1.515941109818765E-3</v>
      </c>
      <c r="P12" s="307">
        <f t="shared" si="10"/>
        <v>7.8625412641311154E-4</v>
      </c>
      <c r="Q12" s="307">
        <f t="shared" si="11"/>
        <v>6.6831600745114481E-4</v>
      </c>
      <c r="R12" s="288">
        <f t="shared" si="12"/>
        <v>1.3381818181818181</v>
      </c>
      <c r="S12" s="308">
        <f t="shared" si="13"/>
        <v>1.7782096719548338E-2</v>
      </c>
      <c r="T12" s="14">
        <f t="shared" si="14"/>
        <v>2.6673145079322506E-3</v>
      </c>
      <c r="U12" s="290">
        <f t="shared" si="15"/>
        <v>3.3356305153833953E-3</v>
      </c>
      <c r="V12" s="72">
        <v>466.7</v>
      </c>
      <c r="W12" s="18">
        <v>3661</v>
      </c>
      <c r="X12" s="70">
        <v>2974219.0796211474</v>
      </c>
      <c r="Y12" s="79">
        <f t="shared" si="2"/>
        <v>421811.99591942242</v>
      </c>
      <c r="Z12" s="33">
        <f t="shared" si="3"/>
        <v>2.2286321999485749E-4</v>
      </c>
      <c r="AA12" s="29">
        <f t="shared" si="4"/>
        <v>5.3796891731302686E-4</v>
      </c>
      <c r="AB12" s="29">
        <f t="shared" si="5"/>
        <v>1.0911615988428275E-3</v>
      </c>
      <c r="AC12" s="33">
        <f t="shared" si="16"/>
        <v>1.6291305161558545E-3</v>
      </c>
      <c r="AD12" s="33">
        <f t="shared" si="6"/>
        <v>3.3356305153833953E-3</v>
      </c>
      <c r="AE12" s="118">
        <f>IF('Datos Mun'!B12="AMM",W12,0)</f>
        <v>0</v>
      </c>
      <c r="AF12" s="33">
        <f t="shared" si="17"/>
        <v>0</v>
      </c>
      <c r="AG12" s="118">
        <f>IF('Datos Mun'!B12="AMM",0,W12)</f>
        <v>3661</v>
      </c>
      <c r="AH12" s="33">
        <f t="shared" si="18"/>
        <v>4.1352139275721966E-3</v>
      </c>
      <c r="AI12" s="118">
        <f t="shared" si="7"/>
        <v>0</v>
      </c>
      <c r="AJ12" s="33">
        <f t="shared" si="19"/>
        <v>0</v>
      </c>
      <c r="AK12" s="90">
        <f>IF('Datos Mun'!B12="AMM",'Art 14 F I'!F14,'Art 14 F I'!M14)</f>
        <v>8.6617986462412117E-3</v>
      </c>
      <c r="AL12" s="35">
        <f>IF('Datos Mun'!D12="Zona de Crec",'Art 14 F I'!T14,0)</f>
        <v>0</v>
      </c>
    </row>
    <row r="13" spans="1:39">
      <c r="A13" s="17" t="s">
        <v>9</v>
      </c>
      <c r="B13" s="85" t="s">
        <v>93</v>
      </c>
      <c r="C13" s="85" t="s">
        <v>91</v>
      </c>
      <c r="D13" s="85" t="s">
        <v>94</v>
      </c>
      <c r="E13" s="318">
        <v>27527682</v>
      </c>
      <c r="F13" s="18">
        <v>110141115</v>
      </c>
      <c r="G13" s="266">
        <v>36285132.439999998</v>
      </c>
      <c r="H13" s="266">
        <v>116630005</v>
      </c>
      <c r="I13" s="14">
        <f t="shared" si="0"/>
        <v>0.31111318601075255</v>
      </c>
      <c r="J13" s="319">
        <f t="shared" si="1"/>
        <v>0.31813250530865611</v>
      </c>
      <c r="K13" s="8">
        <v>26523</v>
      </c>
      <c r="L13" s="9">
        <v>24758</v>
      </c>
      <c r="M13" s="306">
        <f t="shared" si="8"/>
        <v>2.3018642329645032E-2</v>
      </c>
      <c r="N13" s="288">
        <v>1.8739893594999999</v>
      </c>
      <c r="O13" s="290">
        <f t="shared" si="9"/>
        <v>4.3136690795891081E-2</v>
      </c>
      <c r="P13" s="307">
        <f t="shared" si="10"/>
        <v>2.2373165367967789E-2</v>
      </c>
      <c r="Q13" s="307">
        <f t="shared" si="11"/>
        <v>1.901719056277262E-2</v>
      </c>
      <c r="R13" s="288">
        <f t="shared" si="12"/>
        <v>1.0712900880523468</v>
      </c>
      <c r="S13" s="308">
        <f t="shared" si="13"/>
        <v>1.4235572253046412E-2</v>
      </c>
      <c r="T13" s="14">
        <f t="shared" si="14"/>
        <v>2.1353358379569616E-3</v>
      </c>
      <c r="U13" s="290">
        <f t="shared" si="15"/>
        <v>2.1152526400729583E-2</v>
      </c>
      <c r="V13" s="72">
        <v>1140.9000000000001</v>
      </c>
      <c r="W13" s="18">
        <v>122337</v>
      </c>
      <c r="X13" s="70">
        <v>6080772.1341687543</v>
      </c>
      <c r="Y13" s="79">
        <f t="shared" si="2"/>
        <v>11953854.254955927</v>
      </c>
      <c r="Z13" s="33">
        <f t="shared" si="3"/>
        <v>6.3157863607027831E-3</v>
      </c>
      <c r="AA13" s="29">
        <f t="shared" si="4"/>
        <v>1.7976919813527389E-2</v>
      </c>
      <c r="AB13" s="29">
        <f t="shared" si="5"/>
        <v>2.6674657555598503E-3</v>
      </c>
      <c r="AC13" s="33">
        <f t="shared" si="16"/>
        <v>2.064438556908724E-2</v>
      </c>
      <c r="AD13" s="33">
        <f t="shared" si="6"/>
        <v>2.1152526400729583E-2</v>
      </c>
      <c r="AE13" s="118">
        <f>IF('Datos Mun'!B13="AMM",W13,0)</f>
        <v>122337</v>
      </c>
      <c r="AF13" s="33">
        <f t="shared" si="17"/>
        <v>2.4971224418104562E-2</v>
      </c>
      <c r="AG13" s="118">
        <f>IF('Datos Mun'!B13="AMM",0,W13)</f>
        <v>0</v>
      </c>
      <c r="AH13" s="33">
        <f t="shared" si="18"/>
        <v>0</v>
      </c>
      <c r="AI13" s="118">
        <f t="shared" si="7"/>
        <v>122337</v>
      </c>
      <c r="AJ13" s="33">
        <f t="shared" si="19"/>
        <v>4.0893337772411664E-2</v>
      </c>
      <c r="AK13" s="90">
        <f>IF('Datos Mun'!B13="AMM",'Art 14 F I'!F15,'Art 14 F I'!M15)</f>
        <v>1.6125228234021398E-2</v>
      </c>
      <c r="AL13" s="35">
        <f>IF('Datos Mun'!D13="Zona de Crec",'Art 14 F I'!T15,0)</f>
        <v>3.9860344443378146E-2</v>
      </c>
    </row>
    <row r="14" spans="1:39">
      <c r="A14" s="17" t="s">
        <v>10</v>
      </c>
      <c r="B14" s="85" t="s">
        <v>91</v>
      </c>
      <c r="C14" s="85" t="s">
        <v>91</v>
      </c>
      <c r="D14" s="85" t="s">
        <v>94</v>
      </c>
      <c r="E14" s="318">
        <v>4946842.92</v>
      </c>
      <c r="F14" s="18">
        <v>32779189</v>
      </c>
      <c r="G14" s="266">
        <v>5537234.6299999999</v>
      </c>
      <c r="H14" s="266">
        <v>36098646</v>
      </c>
      <c r="I14" s="14">
        <f t="shared" si="0"/>
        <v>0.15339175408407285</v>
      </c>
      <c r="J14" s="319">
        <f t="shared" si="1"/>
        <v>0.11934717142787303</v>
      </c>
      <c r="K14" s="8">
        <v>8234</v>
      </c>
      <c r="L14" s="9">
        <v>27842</v>
      </c>
      <c r="M14" s="306">
        <f t="shared" si="8"/>
        <v>2.5885977855318563E-2</v>
      </c>
      <c r="N14" s="288">
        <v>1.8343045897000001</v>
      </c>
      <c r="O14" s="290">
        <f t="shared" si="9"/>
        <v>4.7482767988883408E-2</v>
      </c>
      <c r="P14" s="307">
        <f t="shared" si="10"/>
        <v>2.4627290613709465E-2</v>
      </c>
      <c r="Q14" s="307">
        <f t="shared" si="11"/>
        <v>2.0933197021653045E-2</v>
      </c>
      <c r="R14" s="288">
        <f t="shared" si="12"/>
        <v>0.29574024854536313</v>
      </c>
      <c r="S14" s="308">
        <f t="shared" si="13"/>
        <v>3.9298708382110078E-3</v>
      </c>
      <c r="T14" s="14">
        <f t="shared" si="14"/>
        <v>5.8948062573165115E-4</v>
      </c>
      <c r="U14" s="290">
        <f t="shared" si="15"/>
        <v>2.1522677647384695E-2</v>
      </c>
      <c r="V14" s="72">
        <v>104.3</v>
      </c>
      <c r="W14" s="18">
        <v>104478</v>
      </c>
      <c r="X14" s="70">
        <v>4234401.3555107117</v>
      </c>
      <c r="Y14" s="79">
        <f t="shared" si="2"/>
        <v>935379.07077784126</v>
      </c>
      <c r="Z14" s="33">
        <f t="shared" si="3"/>
        <v>4.9420498621658272E-4</v>
      </c>
      <c r="AA14" s="29">
        <f t="shared" si="4"/>
        <v>1.5352613095610606E-2</v>
      </c>
      <c r="AB14" s="29">
        <f t="shared" si="5"/>
        <v>2.4385719897001694E-4</v>
      </c>
      <c r="AC14" s="33">
        <f t="shared" si="16"/>
        <v>1.5596470294580623E-2</v>
      </c>
      <c r="AD14" s="33">
        <f t="shared" si="6"/>
        <v>2.1522677647384695E-2</v>
      </c>
      <c r="AE14" s="118">
        <f>IF('Datos Mun'!B14="AMM",W14,0)</f>
        <v>0</v>
      </c>
      <c r="AF14" s="33">
        <f t="shared" si="17"/>
        <v>0</v>
      </c>
      <c r="AG14" s="118">
        <f>IF('Datos Mun'!B14="AMM",0,W14)</f>
        <v>104478</v>
      </c>
      <c r="AH14" s="33">
        <f t="shared" si="18"/>
        <v>0.11801116654599508</v>
      </c>
      <c r="AI14" s="118">
        <f t="shared" si="7"/>
        <v>104478</v>
      </c>
      <c r="AJ14" s="33">
        <f t="shared" si="19"/>
        <v>3.4923646515657776E-2</v>
      </c>
      <c r="AK14" s="90">
        <f>IF('Datos Mun'!B14="AMM",'Art 14 F I'!F16,'Art 14 F I'!M16)</f>
        <v>6.1007440695767315E-2</v>
      </c>
      <c r="AL14" s="35">
        <f>IF('Datos Mun'!D14="Zona de Crec",'Art 14 F I'!T16,0)</f>
        <v>2.7907820564566782E-2</v>
      </c>
    </row>
    <row r="15" spans="1:39">
      <c r="A15" s="17" t="s">
        <v>189</v>
      </c>
      <c r="B15" s="85" t="s">
        <v>91</v>
      </c>
      <c r="C15" s="85" t="s">
        <v>91</v>
      </c>
      <c r="D15" s="85" t="s">
        <v>92</v>
      </c>
      <c r="E15" s="318">
        <v>1221813</v>
      </c>
      <c r="F15" s="18">
        <v>2853628</v>
      </c>
      <c r="G15" s="266">
        <v>1064298</v>
      </c>
      <c r="H15" s="266">
        <v>3294944</v>
      </c>
      <c r="I15" s="14">
        <f t="shared" si="0"/>
        <v>0.32300943506171881</v>
      </c>
      <c r="J15" s="319">
        <f t="shared" si="1"/>
        <v>-0.12891907354071366</v>
      </c>
      <c r="K15" s="8">
        <v>3737</v>
      </c>
      <c r="L15" s="9">
        <v>763</v>
      </c>
      <c r="M15" s="306">
        <f t="shared" si="8"/>
        <v>7.0939591637123999E-4</v>
      </c>
      <c r="N15" s="288">
        <v>1.7930753231000001</v>
      </c>
      <c r="O15" s="290">
        <f t="shared" si="9"/>
        <v>1.2720003119531817E-3</v>
      </c>
      <c r="P15" s="307">
        <f t="shared" si="10"/>
        <v>6.5973241809605702E-4</v>
      </c>
      <c r="Q15" s="307">
        <f t="shared" si="11"/>
        <v>5.607725553816484E-4</v>
      </c>
      <c r="R15" s="288">
        <f t="shared" si="12"/>
        <v>4.8977719528178243</v>
      </c>
      <c r="S15" s="308">
        <f t="shared" si="13"/>
        <v>6.5082826109257794E-2</v>
      </c>
      <c r="T15" s="14">
        <f t="shared" si="14"/>
        <v>9.762423916388669E-3</v>
      </c>
      <c r="U15" s="290">
        <f t="shared" si="15"/>
        <v>1.0323196471770317E-2</v>
      </c>
      <c r="V15" s="72">
        <v>1007.4</v>
      </c>
      <c r="W15" s="18">
        <v>7340</v>
      </c>
      <c r="X15" s="70">
        <v>3693123.365987632</v>
      </c>
      <c r="Y15" s="79">
        <f t="shared" si="2"/>
        <v>396943.9018694798</v>
      </c>
      <c r="Z15" s="33">
        <f t="shared" si="3"/>
        <v>2.0972423018726587E-4</v>
      </c>
      <c r="AA15" s="29">
        <f t="shared" si="4"/>
        <v>1.0785828607150006E-3</v>
      </c>
      <c r="AB15" s="29">
        <f t="shared" si="5"/>
        <v>2.3553378930239221E-3</v>
      </c>
      <c r="AC15" s="33">
        <f t="shared" si="16"/>
        <v>3.4339207537389229E-3</v>
      </c>
      <c r="AD15" s="33">
        <f t="shared" si="6"/>
        <v>1.0323196471770317E-2</v>
      </c>
      <c r="AE15" s="118">
        <f>IF('Datos Mun'!B15="AMM",W15,0)</f>
        <v>0</v>
      </c>
      <c r="AF15" s="33">
        <f t="shared" si="17"/>
        <v>0</v>
      </c>
      <c r="AG15" s="118">
        <f>IF('Datos Mun'!B15="AMM",0,W15)</f>
        <v>7340</v>
      </c>
      <c r="AH15" s="33">
        <f t="shared" si="18"/>
        <v>8.2907594177492275E-3</v>
      </c>
      <c r="AI15" s="118">
        <f t="shared" si="7"/>
        <v>0</v>
      </c>
      <c r="AJ15" s="33">
        <f t="shared" si="19"/>
        <v>0</v>
      </c>
      <c r="AK15" s="90">
        <f>IF('Datos Mun'!B15="AMM",'Art 14 F I'!F17,'Art 14 F I'!M17)</f>
        <v>2.2695655079603541E-2</v>
      </c>
      <c r="AL15" s="35">
        <f>IF('Datos Mun'!D15="Zona de Crec",'Art 14 F I'!T17,0)</f>
        <v>0</v>
      </c>
    </row>
    <row r="16" spans="1:39">
      <c r="A16" s="17" t="s">
        <v>12</v>
      </c>
      <c r="B16" s="85" t="s">
        <v>91</v>
      </c>
      <c r="C16" s="85" t="s">
        <v>91</v>
      </c>
      <c r="D16" s="85" t="s">
        <v>92</v>
      </c>
      <c r="E16" s="318">
        <v>1408205</v>
      </c>
      <c r="F16" s="18">
        <v>4729640</v>
      </c>
      <c r="G16" s="266">
        <v>1864847</v>
      </c>
      <c r="H16" s="266">
        <v>5282316</v>
      </c>
      <c r="I16" s="14">
        <f t="shared" si="0"/>
        <v>0.35303586532876868</v>
      </c>
      <c r="J16" s="319">
        <f t="shared" si="1"/>
        <v>0.32427238931831659</v>
      </c>
      <c r="K16" s="8">
        <v>4127</v>
      </c>
      <c r="L16" s="9">
        <v>1614</v>
      </c>
      <c r="M16" s="306">
        <f t="shared" si="8"/>
        <v>1.5006094482610502E-3</v>
      </c>
      <c r="N16" s="288">
        <v>1.7681716602999999</v>
      </c>
      <c r="O16" s="290">
        <f t="shared" si="9"/>
        <v>2.6533350995936078E-3</v>
      </c>
      <c r="P16" s="307">
        <f t="shared" si="10"/>
        <v>1.3761719748213892E-3</v>
      </c>
      <c r="Q16" s="307">
        <f t="shared" si="11"/>
        <v>1.1697461785981809E-3</v>
      </c>
      <c r="R16" s="288">
        <f t="shared" si="12"/>
        <v>2.5570012391573731</v>
      </c>
      <c r="S16" s="308">
        <f t="shared" si="13"/>
        <v>3.3978075870496942E-2</v>
      </c>
      <c r="T16" s="14">
        <f t="shared" si="14"/>
        <v>5.0967113805745409E-3</v>
      </c>
      <c r="U16" s="290">
        <f t="shared" si="15"/>
        <v>6.2664575591727216E-3</v>
      </c>
      <c r="V16" s="72">
        <v>4265.7</v>
      </c>
      <c r="W16" s="18">
        <v>9930</v>
      </c>
      <c r="X16" s="70">
        <v>5563132.2810582956</v>
      </c>
      <c r="Y16" s="79">
        <f t="shared" si="2"/>
        <v>735289.43712608144</v>
      </c>
      <c r="Z16" s="33">
        <f t="shared" si="3"/>
        <v>3.8848817286227266E-4</v>
      </c>
      <c r="AA16" s="29">
        <f t="shared" si="4"/>
        <v>1.4591727257356889E-3</v>
      </c>
      <c r="AB16" s="29">
        <f t="shared" si="5"/>
        <v>9.9733619716816987E-3</v>
      </c>
      <c r="AC16" s="33">
        <f t="shared" si="16"/>
        <v>1.1432534697417387E-2</v>
      </c>
      <c r="AD16" s="33">
        <f t="shared" si="6"/>
        <v>6.2664575591727216E-3</v>
      </c>
      <c r="AE16" s="118">
        <f>IF('Datos Mun'!B16="AMM",W16,0)</f>
        <v>0</v>
      </c>
      <c r="AF16" s="33">
        <f t="shared" si="17"/>
        <v>0</v>
      </c>
      <c r="AG16" s="118">
        <f>IF('Datos Mun'!B16="AMM",0,W16)</f>
        <v>9930</v>
      </c>
      <c r="AH16" s="33">
        <f t="shared" si="18"/>
        <v>1.1216245370333765E-2</v>
      </c>
      <c r="AI16" s="118">
        <f t="shared" si="7"/>
        <v>0</v>
      </c>
      <c r="AJ16" s="33">
        <f t="shared" si="19"/>
        <v>0</v>
      </c>
      <c r="AK16" s="90">
        <f>IF('Datos Mun'!B16="AMM",'Art 14 F I'!F18,'Art 14 F I'!M18)</f>
        <v>2.9578687811340487E-2</v>
      </c>
      <c r="AL16" s="35">
        <f>IF('Datos Mun'!D16="Zona de Crec",'Art 14 F I'!T18,0)</f>
        <v>0</v>
      </c>
    </row>
    <row r="17" spans="1:38">
      <c r="A17" s="17" t="s">
        <v>13</v>
      </c>
      <c r="B17" s="85" t="s">
        <v>91</v>
      </c>
      <c r="C17" s="85" t="s">
        <v>91</v>
      </c>
      <c r="D17" s="85" t="s">
        <v>94</v>
      </c>
      <c r="E17" s="318">
        <v>12990205</v>
      </c>
      <c r="F17" s="18">
        <v>49791403.200000003</v>
      </c>
      <c r="G17" s="266">
        <v>14209085</v>
      </c>
      <c r="H17" s="266">
        <v>53700075</v>
      </c>
      <c r="I17" s="14">
        <f t="shared" si="0"/>
        <v>0.26460084087405839</v>
      </c>
      <c r="J17" s="319">
        <f t="shared" si="1"/>
        <v>9.383069782193583E-2</v>
      </c>
      <c r="K17" s="8">
        <v>10747</v>
      </c>
      <c r="L17" s="9">
        <v>15877</v>
      </c>
      <c r="M17" s="306">
        <f t="shared" si="8"/>
        <v>1.4761571381685684E-2</v>
      </c>
      <c r="N17" s="288">
        <v>1.8900298334000001</v>
      </c>
      <c r="O17" s="290">
        <f t="shared" si="9"/>
        <v>2.7899810299249601E-2</v>
      </c>
      <c r="P17" s="307">
        <f t="shared" si="10"/>
        <v>1.4470444024405789E-2</v>
      </c>
      <c r="Q17" s="307">
        <f t="shared" si="11"/>
        <v>1.2299877420744921E-2</v>
      </c>
      <c r="R17" s="288">
        <f t="shared" si="12"/>
        <v>0.67689110033381616</v>
      </c>
      <c r="S17" s="308">
        <f t="shared" si="13"/>
        <v>8.9946992637304091E-3</v>
      </c>
      <c r="T17" s="14">
        <f t="shared" si="14"/>
        <v>1.3492048895595613E-3</v>
      </c>
      <c r="U17" s="290">
        <f t="shared" si="15"/>
        <v>1.3649082310304482E-2</v>
      </c>
      <c r="V17" s="72">
        <v>138.69999999999999</v>
      </c>
      <c r="W17" s="18">
        <v>68747</v>
      </c>
      <c r="X17" s="70">
        <v>3514902.872750218</v>
      </c>
      <c r="Y17" s="79">
        <f t="shared" si="2"/>
        <v>4054878.6248551635</v>
      </c>
      <c r="Z17" s="33">
        <f t="shared" si="3"/>
        <v>2.1423840852458111E-3</v>
      </c>
      <c r="AA17" s="29">
        <f t="shared" si="4"/>
        <v>1.010208936315724E-2</v>
      </c>
      <c r="AB17" s="29">
        <f t="shared" si="5"/>
        <v>3.2428565193807617E-4</v>
      </c>
      <c r="AC17" s="33">
        <f t="shared" si="16"/>
        <v>1.0426375015095317E-2</v>
      </c>
      <c r="AD17" s="33">
        <f t="shared" si="6"/>
        <v>1.3649082310304482E-2</v>
      </c>
      <c r="AE17" s="118">
        <f>IF('Datos Mun'!B17="AMM",W17,0)</f>
        <v>0</v>
      </c>
      <c r="AF17" s="33">
        <f t="shared" si="17"/>
        <v>0</v>
      </c>
      <c r="AG17" s="118">
        <f>IF('Datos Mun'!B17="AMM",0,W17)</f>
        <v>68747</v>
      </c>
      <c r="AH17" s="33">
        <f t="shared" si="18"/>
        <v>7.7651885244142529E-2</v>
      </c>
      <c r="AI17" s="118">
        <f t="shared" si="7"/>
        <v>68747</v>
      </c>
      <c r="AJ17" s="33">
        <f t="shared" si="19"/>
        <v>2.2979918518845358E-2</v>
      </c>
      <c r="AK17" s="90">
        <f>IF('Datos Mun'!B17="AMM",'Art 14 F I'!F19,'Art 14 F I'!M19)</f>
        <v>4.5402667338214672E-2</v>
      </c>
      <c r="AL17" s="35">
        <f>IF('Datos Mun'!D17="Zona de Crec",'Art 14 F I'!T19,0)</f>
        <v>2.0769425479530441E-2</v>
      </c>
    </row>
    <row r="18" spans="1:38">
      <c r="A18" s="17" t="s">
        <v>14</v>
      </c>
      <c r="B18" s="85" t="s">
        <v>91</v>
      </c>
      <c r="C18" s="85" t="s">
        <v>91</v>
      </c>
      <c r="D18" s="85" t="s">
        <v>92</v>
      </c>
      <c r="E18" s="318">
        <v>691812</v>
      </c>
      <c r="F18" s="18">
        <v>6711875</v>
      </c>
      <c r="G18" s="266">
        <v>838434</v>
      </c>
      <c r="H18" s="266">
        <v>7034210</v>
      </c>
      <c r="I18" s="14">
        <f t="shared" si="0"/>
        <v>0.11919376873877806</v>
      </c>
      <c r="J18" s="319">
        <f t="shared" si="1"/>
        <v>0.21193908171584189</v>
      </c>
      <c r="K18" s="8">
        <v>25568</v>
      </c>
      <c r="L18" s="9">
        <v>20948</v>
      </c>
      <c r="M18" s="306">
        <f t="shared" si="8"/>
        <v>1.9476311475943298E-2</v>
      </c>
      <c r="N18" s="288">
        <v>2.5216163224999999</v>
      </c>
      <c r="O18" s="290">
        <f t="shared" si="9"/>
        <v>4.9111784919832688E-2</v>
      </c>
      <c r="P18" s="307">
        <f t="shared" si="10"/>
        <v>2.5472192355379904E-2</v>
      </c>
      <c r="Q18" s="307">
        <f t="shared" si="11"/>
        <v>2.1651363502072918E-2</v>
      </c>
      <c r="R18" s="288">
        <f t="shared" si="12"/>
        <v>1.220546114187512</v>
      </c>
      <c r="S18" s="308">
        <f t="shared" si="13"/>
        <v>1.6218923884827686E-2</v>
      </c>
      <c r="T18" s="14">
        <f t="shared" si="14"/>
        <v>2.4328385827241529E-3</v>
      </c>
      <c r="U18" s="290">
        <f t="shared" si="15"/>
        <v>2.4084202084797071E-2</v>
      </c>
      <c r="V18" s="72">
        <v>5053.7</v>
      </c>
      <c r="W18" s="18">
        <v>36088</v>
      </c>
      <c r="X18" s="70">
        <v>19031636.416049201</v>
      </c>
      <c r="Y18" s="79">
        <f t="shared" si="2"/>
        <v>104735.49825585249</v>
      </c>
      <c r="Z18" s="33">
        <f t="shared" si="3"/>
        <v>5.5336715444014938E-5</v>
      </c>
      <c r="AA18" s="29">
        <f t="shared" si="4"/>
        <v>5.3029834165508102E-3</v>
      </c>
      <c r="AB18" s="29">
        <f t="shared" si="5"/>
        <v>1.1815734673391896E-2</v>
      </c>
      <c r="AC18" s="33">
        <f t="shared" si="16"/>
        <v>1.7118718089942704E-2</v>
      </c>
      <c r="AD18" s="33">
        <f t="shared" si="6"/>
        <v>2.4084202084797071E-2</v>
      </c>
      <c r="AE18" s="118">
        <f>IF('Datos Mun'!B18="AMM",W18,0)</f>
        <v>0</v>
      </c>
      <c r="AF18" s="33">
        <f t="shared" si="17"/>
        <v>0</v>
      </c>
      <c r="AG18" s="118">
        <f>IF('Datos Mun'!B18="AMM",0,W18)</f>
        <v>36088</v>
      </c>
      <c r="AH18" s="33">
        <f t="shared" si="18"/>
        <v>4.0762523960181762E-2</v>
      </c>
      <c r="AI18" s="118">
        <f t="shared" si="7"/>
        <v>0</v>
      </c>
      <c r="AJ18" s="33">
        <f t="shared" si="19"/>
        <v>0</v>
      </c>
      <c r="AK18" s="90">
        <f>IF('Datos Mun'!B18="AMM",'Art 14 F I'!F20,'Art 14 F I'!M20)</f>
        <v>6.6140071675179518E-2</v>
      </c>
      <c r="AL18" s="35">
        <f>IF('Datos Mun'!D18="Zona de Crec",'Art 14 F I'!T20,0)</f>
        <v>0</v>
      </c>
    </row>
    <row r="19" spans="1:38">
      <c r="A19" s="17" t="s">
        <v>15</v>
      </c>
      <c r="B19" s="85" t="s">
        <v>91</v>
      </c>
      <c r="C19" s="85" t="s">
        <v>91</v>
      </c>
      <c r="D19" s="85" t="s">
        <v>92</v>
      </c>
      <c r="E19" s="318">
        <v>329170</v>
      </c>
      <c r="F19" s="18">
        <v>1548836</v>
      </c>
      <c r="G19" s="266">
        <v>363195</v>
      </c>
      <c r="H19" s="266">
        <v>1629962</v>
      </c>
      <c r="I19" s="14">
        <f t="shared" si="0"/>
        <v>0.22282421307981412</v>
      </c>
      <c r="J19" s="319">
        <f t="shared" si="1"/>
        <v>0.10336604186286721</v>
      </c>
      <c r="K19" s="8">
        <v>347</v>
      </c>
      <c r="L19" s="9">
        <v>179</v>
      </c>
      <c r="M19" s="306">
        <f t="shared" si="8"/>
        <v>1.6642446792981908E-4</v>
      </c>
      <c r="N19" s="288">
        <v>1.9685182910000001</v>
      </c>
      <c r="O19" s="290">
        <f t="shared" si="9"/>
        <v>3.2760960918979179E-4</v>
      </c>
      <c r="P19" s="307">
        <f t="shared" si="10"/>
        <v>1.699171593208232E-4</v>
      </c>
      <c r="Q19" s="307">
        <f t="shared" si="11"/>
        <v>1.4442958542269972E-4</v>
      </c>
      <c r="R19" s="288">
        <f t="shared" si="12"/>
        <v>1.9385474860335195</v>
      </c>
      <c r="S19" s="308">
        <f t="shared" si="13"/>
        <v>2.5759906780770288E-2</v>
      </c>
      <c r="T19" s="14">
        <f t="shared" si="14"/>
        <v>3.8639860171155432E-3</v>
      </c>
      <c r="U19" s="290">
        <f t="shared" si="15"/>
        <v>4.0084156025382428E-3</v>
      </c>
      <c r="V19" s="72">
        <v>720.7</v>
      </c>
      <c r="W19" s="18">
        <v>1360</v>
      </c>
      <c r="X19" s="70">
        <v>2627805.8082002974</v>
      </c>
      <c r="Y19" s="79">
        <f t="shared" si="2"/>
        <v>85167.576183017431</v>
      </c>
      <c r="Z19" s="33">
        <f t="shared" si="3"/>
        <v>4.4998057075006551E-5</v>
      </c>
      <c r="AA19" s="29">
        <f t="shared" si="4"/>
        <v>1.9984641560931893E-4</v>
      </c>
      <c r="AB19" s="29">
        <f t="shared" si="5"/>
        <v>1.685022850409312E-3</v>
      </c>
      <c r="AC19" s="33">
        <f t="shared" si="16"/>
        <v>1.8848692660186309E-3</v>
      </c>
      <c r="AD19" s="33">
        <f t="shared" si="6"/>
        <v>4.0084156025382428E-3</v>
      </c>
      <c r="AE19" s="118">
        <f>IF('Datos Mun'!B19="AMM",W19,0)</f>
        <v>0</v>
      </c>
      <c r="AF19" s="33">
        <f t="shared" si="17"/>
        <v>0</v>
      </c>
      <c r="AG19" s="118">
        <f>IF('Datos Mun'!B19="AMM",0,W19)</f>
        <v>1360</v>
      </c>
      <c r="AH19" s="33">
        <f t="shared" si="18"/>
        <v>1.536162507920838E-3</v>
      </c>
      <c r="AI19" s="118">
        <f t="shared" si="7"/>
        <v>0</v>
      </c>
      <c r="AJ19" s="33">
        <f t="shared" si="19"/>
        <v>0</v>
      </c>
      <c r="AK19" s="90">
        <f>IF('Datos Mun'!B19="AMM",'Art 14 F I'!F21,'Art 14 F I'!M21)</f>
        <v>9.5787995793003202E-3</v>
      </c>
      <c r="AL19" s="35">
        <f>IF('Datos Mun'!D19="Zona de Crec",'Art 14 F I'!T21,0)</f>
        <v>0</v>
      </c>
    </row>
    <row r="20" spans="1:38">
      <c r="A20" s="17" t="s">
        <v>16</v>
      </c>
      <c r="B20" s="85" t="s">
        <v>91</v>
      </c>
      <c r="C20" s="85" t="s">
        <v>91</v>
      </c>
      <c r="D20" s="85" t="s">
        <v>92</v>
      </c>
      <c r="E20" s="318">
        <v>632096</v>
      </c>
      <c r="F20" s="18">
        <v>2192867</v>
      </c>
      <c r="G20" s="266">
        <v>1038863</v>
      </c>
      <c r="H20" s="266">
        <v>2243867</v>
      </c>
      <c r="I20" s="14">
        <f t="shared" si="0"/>
        <v>0.46297886639448771</v>
      </c>
      <c r="J20" s="319">
        <f t="shared" si="1"/>
        <v>0.64352092087277879</v>
      </c>
      <c r="K20" s="8">
        <v>355</v>
      </c>
      <c r="L20" s="9">
        <v>468</v>
      </c>
      <c r="M20" s="306">
        <f t="shared" si="8"/>
        <v>4.3512095525785101E-4</v>
      </c>
      <c r="N20" s="288">
        <v>1.9393994637</v>
      </c>
      <c r="O20" s="290">
        <f t="shared" si="9"/>
        <v>8.43873347271708E-4</v>
      </c>
      <c r="P20" s="307">
        <f t="shared" si="10"/>
        <v>4.3768118508360012E-4</v>
      </c>
      <c r="Q20" s="307">
        <f t="shared" si="11"/>
        <v>3.7202900732106011E-4</v>
      </c>
      <c r="R20" s="288">
        <f t="shared" si="12"/>
        <v>0.75854700854700852</v>
      </c>
      <c r="S20" s="308">
        <f t="shared" si="13"/>
        <v>1.0079763518707652E-2</v>
      </c>
      <c r="T20" s="14">
        <f t="shared" si="14"/>
        <v>1.5119645278061477E-3</v>
      </c>
      <c r="U20" s="290">
        <f t="shared" si="15"/>
        <v>1.8839935351272078E-3</v>
      </c>
      <c r="V20" s="72">
        <v>614.70000000000005</v>
      </c>
      <c r="W20" s="18">
        <v>3256</v>
      </c>
      <c r="X20" s="70">
        <v>1318325.5513900062</v>
      </c>
      <c r="Y20" s="79">
        <f t="shared" si="2"/>
        <v>492157.67886014062</v>
      </c>
      <c r="Z20" s="33">
        <f t="shared" si="3"/>
        <v>2.6003017011616368E-4</v>
      </c>
      <c r="AA20" s="29">
        <f t="shared" si="4"/>
        <v>4.7845583031172234E-4</v>
      </c>
      <c r="AB20" s="29">
        <f t="shared" si="5"/>
        <v>1.4371909895193617E-3</v>
      </c>
      <c r="AC20" s="33">
        <f t="shared" si="16"/>
        <v>1.9156468198310841E-3</v>
      </c>
      <c r="AD20" s="33">
        <f t="shared" si="6"/>
        <v>1.8839935351272078E-3</v>
      </c>
      <c r="AE20" s="118">
        <f>IF('Datos Mun'!B20="AMM",W20,0)</f>
        <v>0</v>
      </c>
      <c r="AF20" s="33">
        <f t="shared" si="17"/>
        <v>0</v>
      </c>
      <c r="AG20" s="118">
        <f>IF('Datos Mun'!B20="AMM",0,W20)</f>
        <v>3256</v>
      </c>
      <c r="AH20" s="33">
        <f t="shared" si="18"/>
        <v>3.6777537689634179E-3</v>
      </c>
      <c r="AI20" s="118">
        <f t="shared" si="7"/>
        <v>0</v>
      </c>
      <c r="AJ20" s="33">
        <f t="shared" si="19"/>
        <v>0</v>
      </c>
      <c r="AK20" s="90">
        <f>IF('Datos Mun'!B20="AMM",'Art 14 F I'!F22,'Art 14 F I'!M22)</f>
        <v>6.9155280056855447E-3</v>
      </c>
      <c r="AL20" s="35">
        <f>IF('Datos Mun'!D20="Zona de Crec",'Art 14 F I'!T22,0)</f>
        <v>0</v>
      </c>
    </row>
    <row r="21" spans="1:38">
      <c r="A21" s="17" t="s">
        <v>17</v>
      </c>
      <c r="B21" s="85" t="s">
        <v>91</v>
      </c>
      <c r="C21" s="85" t="s">
        <v>91</v>
      </c>
      <c r="D21" s="85" t="s">
        <v>92</v>
      </c>
      <c r="E21" s="318">
        <v>1193413</v>
      </c>
      <c r="F21" s="18">
        <v>10046865</v>
      </c>
      <c r="G21" s="266">
        <v>1281029</v>
      </c>
      <c r="H21" s="266">
        <v>10409374</v>
      </c>
      <c r="I21" s="14">
        <f t="shared" si="0"/>
        <v>0.12306494127312555</v>
      </c>
      <c r="J21" s="319">
        <f t="shared" si="1"/>
        <v>7.3416327792641775E-2</v>
      </c>
      <c r="K21" s="8">
        <v>23646</v>
      </c>
      <c r="L21" s="9">
        <v>15246</v>
      </c>
      <c r="M21" s="306">
        <f t="shared" si="8"/>
        <v>1.4174901888592301E-2</v>
      </c>
      <c r="N21" s="288">
        <v>2.0430424666000002</v>
      </c>
      <c r="O21" s="290">
        <f t="shared" si="9"/>
        <v>2.8959926518282615E-2</v>
      </c>
      <c r="P21" s="307">
        <f t="shared" si="10"/>
        <v>1.5020281182520606E-2</v>
      </c>
      <c r="Q21" s="307">
        <f t="shared" si="11"/>
        <v>1.2767239005142515E-2</v>
      </c>
      <c r="R21" s="288">
        <f t="shared" si="12"/>
        <v>1.5509641873278237</v>
      </c>
      <c r="S21" s="308">
        <f t="shared" si="13"/>
        <v>2.060960238205228E-2</v>
      </c>
      <c r="T21" s="14">
        <f t="shared" si="14"/>
        <v>3.0914403573078417E-3</v>
      </c>
      <c r="U21" s="290">
        <f t="shared" si="15"/>
        <v>1.5858679362450355E-2</v>
      </c>
      <c r="V21" s="72">
        <v>7068.3</v>
      </c>
      <c r="W21" s="18">
        <v>40903</v>
      </c>
      <c r="X21" s="70">
        <v>13770707.582336763</v>
      </c>
      <c r="Y21" s="79">
        <f t="shared" si="2"/>
        <v>163338.04613090752</v>
      </c>
      <c r="Z21" s="33">
        <f t="shared" si="3"/>
        <v>8.6299212114764997E-5</v>
      </c>
      <c r="AA21" s="29">
        <f t="shared" si="4"/>
        <v>6.0105278953440965E-3</v>
      </c>
      <c r="AB21" s="29">
        <f t="shared" si="5"/>
        <v>1.6525942852155039E-2</v>
      </c>
      <c r="AC21" s="33">
        <f t="shared" si="16"/>
        <v>2.2536470747499135E-2</v>
      </c>
      <c r="AD21" s="33">
        <f t="shared" si="6"/>
        <v>1.5858679362450355E-2</v>
      </c>
      <c r="AE21" s="118">
        <f>IF('Datos Mun'!B21="AMM",W21,0)</f>
        <v>0</v>
      </c>
      <c r="AF21" s="33">
        <f t="shared" si="17"/>
        <v>0</v>
      </c>
      <c r="AG21" s="118">
        <f>IF('Datos Mun'!B21="AMM",0,W21)</f>
        <v>40903</v>
      </c>
      <c r="AH21" s="33">
        <f t="shared" si="18"/>
        <v>4.6201216956975023E-2</v>
      </c>
      <c r="AI21" s="118">
        <f t="shared" si="7"/>
        <v>0</v>
      </c>
      <c r="AJ21" s="33">
        <f t="shared" si="19"/>
        <v>0</v>
      </c>
      <c r="AK21" s="90">
        <f>IF('Datos Mun'!B21="AMM",'Art 14 F I'!F23,'Art 14 F I'!M23)</f>
        <v>6.1744172553738236E-2</v>
      </c>
      <c r="AL21" s="35">
        <f>IF('Datos Mun'!D21="Zona de Crec",'Art 14 F I'!T23,0)</f>
        <v>0</v>
      </c>
    </row>
    <row r="22" spans="1:38">
      <c r="A22" s="17" t="s">
        <v>18</v>
      </c>
      <c r="B22" s="85" t="s">
        <v>93</v>
      </c>
      <c r="C22" s="85" t="s">
        <v>93</v>
      </c>
      <c r="D22" s="85" t="s">
        <v>94</v>
      </c>
      <c r="E22" s="318">
        <v>90011508</v>
      </c>
      <c r="F22" s="18">
        <v>425436337.39000034</v>
      </c>
      <c r="G22" s="266">
        <v>103525907.23999999</v>
      </c>
      <c r="H22" s="266">
        <v>415292639</v>
      </c>
      <c r="I22" s="14">
        <f t="shared" si="0"/>
        <v>0.24928423361724933</v>
      </c>
      <c r="J22" s="319">
        <f t="shared" si="1"/>
        <v>0.15014079355275323</v>
      </c>
      <c r="K22" s="8">
        <v>49018</v>
      </c>
      <c r="L22" s="9">
        <v>87249</v>
      </c>
      <c r="M22" s="306">
        <f t="shared" si="8"/>
        <v>8.1119376549769751E-2</v>
      </c>
      <c r="N22" s="288">
        <v>1.8532766358999999</v>
      </c>
      <c r="O22" s="290">
        <f t="shared" si="9"/>
        <v>0.15033664527846263</v>
      </c>
      <c r="P22" s="307">
        <f t="shared" si="10"/>
        <v>7.7973218705987155E-2</v>
      </c>
      <c r="Q22" s="307">
        <f t="shared" si="11"/>
        <v>6.6277235900089077E-2</v>
      </c>
      <c r="R22" s="288">
        <f t="shared" si="12"/>
        <v>0.56181732741922541</v>
      </c>
      <c r="S22" s="308">
        <f t="shared" si="13"/>
        <v>7.4655700138420563E-3</v>
      </c>
      <c r="T22" s="14">
        <f t="shared" si="14"/>
        <v>1.1198355020763085E-3</v>
      </c>
      <c r="U22" s="290">
        <f t="shared" si="15"/>
        <v>6.7397071402165387E-2</v>
      </c>
      <c r="V22" s="72">
        <v>1032</v>
      </c>
      <c r="W22" s="18">
        <v>397205</v>
      </c>
      <c r="X22" s="70">
        <v>8052108.5615451084</v>
      </c>
      <c r="Y22" s="79">
        <f t="shared" si="2"/>
        <v>25192049.968313295</v>
      </c>
      <c r="Z22" s="33">
        <f t="shared" si="3"/>
        <v>1.3310151035349285E-2</v>
      </c>
      <c r="AA22" s="29">
        <f t="shared" si="4"/>
        <v>5.8367643758896706E-2</v>
      </c>
      <c r="AB22" s="29">
        <f t="shared" si="5"/>
        <v>2.4128535890417784E-3</v>
      </c>
      <c r="AC22" s="33">
        <f t="shared" si="16"/>
        <v>6.0780497347938486E-2</v>
      </c>
      <c r="AD22" s="33">
        <f t="shared" si="6"/>
        <v>6.7397071402165387E-2</v>
      </c>
      <c r="AE22" s="118">
        <f>IF('Datos Mun'!B22="AMM",W22,0)</f>
        <v>397205</v>
      </c>
      <c r="AF22" s="33">
        <f t="shared" si="17"/>
        <v>8.1076822179661279E-2</v>
      </c>
      <c r="AG22" s="118">
        <f>IF('Datos Mun'!B22="AMM",0,W22)</f>
        <v>0</v>
      </c>
      <c r="AH22" s="33">
        <f t="shared" si="18"/>
        <v>0</v>
      </c>
      <c r="AI22" s="118">
        <f t="shared" si="7"/>
        <v>397205</v>
      </c>
      <c r="AJ22" s="33">
        <f t="shared" si="19"/>
        <v>0.13277289969421169</v>
      </c>
      <c r="AK22" s="90">
        <f>IF('Datos Mun'!B22="AMM",'Art 14 F I'!F24,'Art 14 F I'!M24)</f>
        <v>4.5861115026201563E-2</v>
      </c>
      <c r="AL22" s="35">
        <f>IF('Datos Mun'!D22="Zona de Crec",'Art 14 F I'!T24,0)</f>
        <v>0.11336520729951199</v>
      </c>
    </row>
    <row r="23" spans="1:38">
      <c r="A23" s="17" t="s">
        <v>19</v>
      </c>
      <c r="B23" s="85" t="s">
        <v>91</v>
      </c>
      <c r="C23" s="85" t="s">
        <v>91</v>
      </c>
      <c r="D23" s="85" t="s">
        <v>92</v>
      </c>
      <c r="E23" s="318">
        <v>877317</v>
      </c>
      <c r="F23" s="18">
        <v>5541859</v>
      </c>
      <c r="G23" s="266">
        <v>3566422</v>
      </c>
      <c r="H23" s="266">
        <v>4596412</v>
      </c>
      <c r="I23" s="14">
        <f t="shared" si="0"/>
        <v>0.77591434362280842</v>
      </c>
      <c r="J23" s="319">
        <f t="shared" si="1"/>
        <v>3.0651463496090923</v>
      </c>
      <c r="K23" s="8">
        <v>2284</v>
      </c>
      <c r="L23" s="9">
        <v>950</v>
      </c>
      <c r="M23" s="306">
        <f t="shared" si="8"/>
        <v>8.8325834934820178E-4</v>
      </c>
      <c r="N23" s="288">
        <v>2.0503201405999998</v>
      </c>
      <c r="O23" s="290">
        <f t="shared" si="9"/>
        <v>1.8109623830217289E-3</v>
      </c>
      <c r="P23" s="307">
        <f t="shared" si="10"/>
        <v>9.3926910300624043E-4</v>
      </c>
      <c r="Q23" s="307">
        <f t="shared" si="11"/>
        <v>7.9837873755530435E-4</v>
      </c>
      <c r="R23" s="288">
        <f t="shared" si="12"/>
        <v>2.4042105263157896</v>
      </c>
      <c r="S23" s="308">
        <f t="shared" si="13"/>
        <v>3.1947754432346431E-2</v>
      </c>
      <c r="T23" s="14">
        <f t="shared" si="14"/>
        <v>4.7921631648519649E-3</v>
      </c>
      <c r="U23" s="290">
        <f t="shared" si="15"/>
        <v>5.5905419024072697E-3</v>
      </c>
      <c r="V23" s="72">
        <v>1888.6</v>
      </c>
      <c r="W23" s="18">
        <v>5506</v>
      </c>
      <c r="X23" s="70">
        <v>2319885.6734325793</v>
      </c>
      <c r="Y23" s="79">
        <f t="shared" si="2"/>
        <v>2295144.2615346224</v>
      </c>
      <c r="Z23" s="33">
        <f t="shared" si="3"/>
        <v>1.2126332238688545E-3</v>
      </c>
      <c r="AA23" s="29">
        <f t="shared" si="4"/>
        <v>8.090840914300808E-4</v>
      </c>
      <c r="AB23" s="29">
        <f t="shared" si="5"/>
        <v>4.4156155894033936E-3</v>
      </c>
      <c r="AC23" s="33">
        <f t="shared" si="16"/>
        <v>5.224699680833474E-3</v>
      </c>
      <c r="AD23" s="33">
        <f t="shared" si="6"/>
        <v>5.5905419024072697E-3</v>
      </c>
      <c r="AE23" s="118">
        <f>IF('Datos Mun'!B23="AMM",W23,0)</f>
        <v>0</v>
      </c>
      <c r="AF23" s="33">
        <f t="shared" si="17"/>
        <v>0</v>
      </c>
      <c r="AG23" s="118">
        <f>IF('Datos Mun'!B23="AMM",0,W23)</f>
        <v>5506</v>
      </c>
      <c r="AH23" s="33">
        <f t="shared" si="18"/>
        <v>6.219199094567745E-3</v>
      </c>
      <c r="AI23" s="118">
        <f t="shared" si="7"/>
        <v>0</v>
      </c>
      <c r="AJ23" s="33">
        <f t="shared" si="19"/>
        <v>0</v>
      </c>
      <c r="AK23" s="90">
        <f>IF('Datos Mun'!B23="AMM",'Art 14 F I'!F25,'Art 14 F I'!M25)</f>
        <v>2.1197094557889335E-2</v>
      </c>
      <c r="AL23" s="35">
        <f>IF('Datos Mun'!D23="Zona de Crec",'Art 14 F I'!T25,0)</f>
        <v>0</v>
      </c>
    </row>
    <row r="24" spans="1:38">
      <c r="A24" s="17" t="s">
        <v>20</v>
      </c>
      <c r="B24" s="85" t="s">
        <v>93</v>
      </c>
      <c r="C24" s="85" t="s">
        <v>93</v>
      </c>
      <c r="D24" s="85" t="s">
        <v>94</v>
      </c>
      <c r="E24" s="318">
        <v>130662277.23999999</v>
      </c>
      <c r="F24" s="18">
        <v>449264751.14000052</v>
      </c>
      <c r="G24" s="266">
        <v>154603349.85999998</v>
      </c>
      <c r="H24" s="266">
        <v>459479979</v>
      </c>
      <c r="I24" s="14">
        <f t="shared" si="0"/>
        <v>0.33647461679717711</v>
      </c>
      <c r="J24" s="319">
        <f t="shared" si="1"/>
        <v>0.18322864965857832</v>
      </c>
      <c r="K24" s="8">
        <v>95635</v>
      </c>
      <c r="L24" s="9">
        <v>113990</v>
      </c>
      <c r="M24" s="306">
        <f t="shared" si="8"/>
        <v>0.10598170446547529</v>
      </c>
      <c r="N24" s="288">
        <v>1.9916235985999999</v>
      </c>
      <c r="O24" s="290">
        <f t="shared" si="9"/>
        <v>0.21107566363329158</v>
      </c>
      <c r="P24" s="307">
        <f t="shared" si="10"/>
        <v>0.10947596212157762</v>
      </c>
      <c r="Q24" s="307">
        <f t="shared" si="11"/>
        <v>9.3054567803340968E-2</v>
      </c>
      <c r="R24" s="288">
        <f t="shared" si="12"/>
        <v>0.83897710325467145</v>
      </c>
      <c r="S24" s="308">
        <f t="shared" si="13"/>
        <v>1.1148538855378512E-2</v>
      </c>
      <c r="T24" s="14">
        <f t="shared" si="14"/>
        <v>1.6722808283067768E-3</v>
      </c>
      <c r="U24" s="290">
        <f t="shared" si="15"/>
        <v>9.472684863164775E-2</v>
      </c>
      <c r="V24" s="72">
        <v>149.4</v>
      </c>
      <c r="W24" s="18">
        <v>481213</v>
      </c>
      <c r="X24" s="70">
        <v>12262442.592855737</v>
      </c>
      <c r="Y24" s="79">
        <f t="shared" si="2"/>
        <v>53202918.161912769</v>
      </c>
      <c r="Z24" s="33">
        <f t="shared" si="3"/>
        <v>2.8109617008027835E-2</v>
      </c>
      <c r="AA24" s="29">
        <f t="shared" si="4"/>
        <v>7.0712274407799397E-2</v>
      </c>
      <c r="AB24" s="29">
        <f t="shared" si="5"/>
        <v>3.4930264166942025E-4</v>
      </c>
      <c r="AC24" s="33">
        <f t="shared" si="16"/>
        <v>7.1061577049468819E-2</v>
      </c>
      <c r="AD24" s="33">
        <f t="shared" si="6"/>
        <v>9.472684863164775E-2</v>
      </c>
      <c r="AE24" s="118">
        <f>IF('Datos Mun'!B24="AMM",W24,0)</f>
        <v>481213</v>
      </c>
      <c r="AF24" s="33">
        <f t="shared" si="17"/>
        <v>9.8224395039189699E-2</v>
      </c>
      <c r="AG24" s="118">
        <f>IF('Datos Mun'!B24="AMM",0,W24)</f>
        <v>0</v>
      </c>
      <c r="AH24" s="33">
        <f t="shared" si="18"/>
        <v>0</v>
      </c>
      <c r="AI24" s="118">
        <f t="shared" si="7"/>
        <v>481213</v>
      </c>
      <c r="AJ24" s="33">
        <f t="shared" si="19"/>
        <v>0.16085408134477333</v>
      </c>
      <c r="AK24" s="90">
        <f>IF('Datos Mun'!B24="AMM",'Art 14 F I'!F26,'Art 14 F I'!M26)</f>
        <v>6.5772990055245575E-2</v>
      </c>
      <c r="AL24" s="35">
        <f>IF('Datos Mun'!D24="Zona de Crec",'Art 14 F I'!T26,0)</f>
        <v>0.16258585618909727</v>
      </c>
    </row>
    <row r="25" spans="1:38">
      <c r="A25" s="17" t="s">
        <v>21</v>
      </c>
      <c r="B25" s="85" t="s">
        <v>91</v>
      </c>
      <c r="C25" s="85" t="s">
        <v>91</v>
      </c>
      <c r="D25" s="85" t="s">
        <v>92</v>
      </c>
      <c r="E25" s="318">
        <v>3648762.03</v>
      </c>
      <c r="F25" s="18">
        <v>12500507</v>
      </c>
      <c r="G25" s="266">
        <v>4608992</v>
      </c>
      <c r="H25" s="266">
        <v>12996129</v>
      </c>
      <c r="I25" s="14">
        <f t="shared" si="0"/>
        <v>0.35464344806057252</v>
      </c>
      <c r="J25" s="319">
        <f t="shared" si="1"/>
        <v>0.26316596207289522</v>
      </c>
      <c r="K25" s="8">
        <v>5621</v>
      </c>
      <c r="L25" s="9">
        <v>1660</v>
      </c>
      <c r="M25" s="306">
        <f t="shared" si="8"/>
        <v>1.543377747282121E-3</v>
      </c>
      <c r="N25" s="288">
        <v>2.1173054283999999</v>
      </c>
      <c r="O25" s="290">
        <f t="shared" si="9"/>
        <v>3.2678020823921979E-3</v>
      </c>
      <c r="P25" s="307">
        <f t="shared" si="10"/>
        <v>1.6948698435187855E-3</v>
      </c>
      <c r="Q25" s="307">
        <f t="shared" si="11"/>
        <v>1.4406393669909676E-3</v>
      </c>
      <c r="R25" s="288">
        <f t="shared" si="12"/>
        <v>3.3861445783132531</v>
      </c>
      <c r="S25" s="308">
        <f t="shared" si="13"/>
        <v>4.499594119411314E-2</v>
      </c>
      <c r="T25" s="14">
        <f t="shared" si="14"/>
        <v>6.7493911791169708E-3</v>
      </c>
      <c r="U25" s="290">
        <f t="shared" si="15"/>
        <v>8.1900305461079376E-3</v>
      </c>
      <c r="V25" s="72">
        <v>2478.8000000000002</v>
      </c>
      <c r="W25" s="18">
        <v>14109</v>
      </c>
      <c r="X25" s="70">
        <v>5035804.9607381932</v>
      </c>
      <c r="Y25" s="79">
        <f t="shared" si="2"/>
        <v>1699355.6546197687</v>
      </c>
      <c r="Z25" s="33">
        <f t="shared" si="3"/>
        <v>8.9784993496813009E-4</v>
      </c>
      <c r="AA25" s="29">
        <f t="shared" si="4"/>
        <v>2.0732596160528533E-3</v>
      </c>
      <c r="AB25" s="29">
        <f t="shared" si="5"/>
        <v>5.7955246865472486E-3</v>
      </c>
      <c r="AC25" s="33">
        <f t="shared" si="16"/>
        <v>7.8687843026001014E-3</v>
      </c>
      <c r="AD25" s="33">
        <f t="shared" si="6"/>
        <v>8.1900305461079376E-3</v>
      </c>
      <c r="AE25" s="118">
        <f>IF('Datos Mun'!B25="AMM",W25,0)</f>
        <v>0</v>
      </c>
      <c r="AF25" s="33">
        <f t="shared" si="17"/>
        <v>0</v>
      </c>
      <c r="AG25" s="118">
        <f>IF('Datos Mun'!B25="AMM",0,W25)</f>
        <v>14109</v>
      </c>
      <c r="AH25" s="33">
        <f t="shared" si="18"/>
        <v>1.5936556488422869E-2</v>
      </c>
      <c r="AI25" s="118">
        <f t="shared" si="7"/>
        <v>0</v>
      </c>
      <c r="AJ25" s="33">
        <f t="shared" si="19"/>
        <v>0</v>
      </c>
      <c r="AK25" s="90">
        <f>IF('Datos Mun'!B25="AMM",'Art 14 F I'!F27,'Art 14 F I'!M27)</f>
        <v>2.8583785145618934E-2</v>
      </c>
      <c r="AL25" s="35">
        <f>IF('Datos Mun'!D25="Zona de Crec",'Art 14 F I'!T27,0)</f>
        <v>0</v>
      </c>
    </row>
    <row r="26" spans="1:38">
      <c r="A26" s="17" t="s">
        <v>22</v>
      </c>
      <c r="B26" s="85" t="s">
        <v>91</v>
      </c>
      <c r="C26" s="85" t="s">
        <v>91</v>
      </c>
      <c r="D26" s="85" t="s">
        <v>92</v>
      </c>
      <c r="E26" s="318">
        <v>218938</v>
      </c>
      <c r="F26" s="18">
        <v>796636</v>
      </c>
      <c r="G26" s="266">
        <v>246797</v>
      </c>
      <c r="H26" s="266">
        <v>844965</v>
      </c>
      <c r="I26" s="14">
        <f t="shared" si="0"/>
        <v>0.29207955359097715</v>
      </c>
      <c r="J26" s="319">
        <f t="shared" si="1"/>
        <v>0.12724606966355773</v>
      </c>
      <c r="K26" s="8">
        <v>196</v>
      </c>
      <c r="L26" s="9">
        <v>185</v>
      </c>
      <c r="M26" s="306">
        <f t="shared" si="8"/>
        <v>1.7200294171517615E-4</v>
      </c>
      <c r="N26" s="288">
        <v>1.7757863003000001</v>
      </c>
      <c r="O26" s="290">
        <f t="shared" si="9"/>
        <v>3.054404675091092E-4</v>
      </c>
      <c r="P26" s="307">
        <f t="shared" si="10"/>
        <v>1.5841896917835949E-4</v>
      </c>
      <c r="Q26" s="307">
        <f t="shared" si="11"/>
        <v>1.3465612380160556E-4</v>
      </c>
      <c r="R26" s="288">
        <f t="shared" si="12"/>
        <v>1.0594594594594595</v>
      </c>
      <c r="S26" s="308">
        <f t="shared" si="13"/>
        <v>1.4078363883426199E-2</v>
      </c>
      <c r="T26" s="14">
        <f t="shared" si="14"/>
        <v>2.1117545825139299E-3</v>
      </c>
      <c r="U26" s="290">
        <f t="shared" si="15"/>
        <v>2.2464107063155355E-3</v>
      </c>
      <c r="V26" s="72">
        <v>387.9</v>
      </c>
      <c r="W26" s="18">
        <v>1808</v>
      </c>
      <c r="X26" s="70">
        <v>2579267.2832715013</v>
      </c>
      <c r="Y26" s="79">
        <f t="shared" si="2"/>
        <v>76457.452599430602</v>
      </c>
      <c r="Z26" s="33">
        <f t="shared" si="3"/>
        <v>4.0396086986033256E-5</v>
      </c>
      <c r="AA26" s="29">
        <f t="shared" si="4"/>
        <v>2.6567817604532988E-4</v>
      </c>
      <c r="AB26" s="29">
        <f t="shared" si="5"/>
        <v>9.0692432867180801E-4</v>
      </c>
      <c r="AC26" s="33">
        <f t="shared" si="16"/>
        <v>1.1726025047171379E-3</v>
      </c>
      <c r="AD26" s="33">
        <f t="shared" si="6"/>
        <v>2.2464107063155355E-3</v>
      </c>
      <c r="AE26" s="118">
        <f>IF('Datos Mun'!B26="AMM",W26,0)</f>
        <v>0</v>
      </c>
      <c r="AF26" s="33">
        <f t="shared" si="17"/>
        <v>0</v>
      </c>
      <c r="AG26" s="118">
        <f>IF('Datos Mun'!B26="AMM",0,W26)</f>
        <v>1808</v>
      </c>
      <c r="AH26" s="33">
        <f t="shared" si="18"/>
        <v>2.0421925105300553E-3</v>
      </c>
      <c r="AI26" s="118">
        <f t="shared" si="7"/>
        <v>0</v>
      </c>
      <c r="AJ26" s="33">
        <f t="shared" si="19"/>
        <v>0</v>
      </c>
      <c r="AK26" s="90">
        <f>IF('Datos Mun'!B26="AMM",'Art 14 F I'!F28,'Art 14 F I'!M28)</f>
        <v>5.6029349860734576E-3</v>
      </c>
      <c r="AL26" s="35">
        <f>IF('Datos Mun'!D26="Zona de Crec",'Art 14 F I'!T28,0)</f>
        <v>0</v>
      </c>
    </row>
    <row r="27" spans="1:38">
      <c r="A27" s="17" t="s">
        <v>23</v>
      </c>
      <c r="B27" s="85" t="s">
        <v>91</v>
      </c>
      <c r="C27" s="85" t="s">
        <v>91</v>
      </c>
      <c r="D27" s="85" t="s">
        <v>92</v>
      </c>
      <c r="E27" s="318">
        <v>140414</v>
      </c>
      <c r="F27" s="18">
        <v>1746864</v>
      </c>
      <c r="G27" s="266">
        <v>165744</v>
      </c>
      <c r="H27" s="266">
        <v>1658016</v>
      </c>
      <c r="I27" s="14">
        <f t="shared" si="0"/>
        <v>9.996525968386312E-2</v>
      </c>
      <c r="J27" s="319">
        <f t="shared" si="1"/>
        <v>0.18039511729599614</v>
      </c>
      <c r="K27" s="8">
        <v>3611</v>
      </c>
      <c r="L27" s="9">
        <v>3897</v>
      </c>
      <c r="M27" s="306">
        <f t="shared" si="8"/>
        <v>3.6232187235894133E-3</v>
      </c>
      <c r="N27" s="288">
        <v>2.6101222018999999</v>
      </c>
      <c r="O27" s="290">
        <f t="shared" si="9"/>
        <v>9.4570436327805069E-3</v>
      </c>
      <c r="P27" s="307">
        <f t="shared" si="10"/>
        <v>4.9049659856717437E-3</v>
      </c>
      <c r="Q27" s="307">
        <f t="shared" si="11"/>
        <v>4.1692210878209821E-3</v>
      </c>
      <c r="R27" s="288">
        <f t="shared" si="12"/>
        <v>0.92661021298434698</v>
      </c>
      <c r="S27" s="308">
        <f t="shared" si="13"/>
        <v>1.2313029668118099E-2</v>
      </c>
      <c r="T27" s="14">
        <f t="shared" si="14"/>
        <v>1.8469544502177147E-3</v>
      </c>
      <c r="U27" s="290">
        <f t="shared" si="15"/>
        <v>6.0161755380386973E-3</v>
      </c>
      <c r="V27" s="72">
        <v>1306.7</v>
      </c>
      <c r="W27" s="18">
        <v>6282</v>
      </c>
      <c r="X27" s="70">
        <v>4083989.3872715957</v>
      </c>
      <c r="Y27" s="79">
        <f t="shared" si="2"/>
        <v>15725.937185722529</v>
      </c>
      <c r="Z27" s="33">
        <f t="shared" si="3"/>
        <v>8.3087561106642621E-6</v>
      </c>
      <c r="AA27" s="29">
        <f t="shared" si="4"/>
        <v>9.2311410504245699E-4</v>
      </c>
      <c r="AB27" s="29">
        <f t="shared" si="5"/>
        <v>3.0551121945745076E-3</v>
      </c>
      <c r="AC27" s="33">
        <f t="shared" si="16"/>
        <v>3.9782262996169646E-3</v>
      </c>
      <c r="AD27" s="33">
        <f t="shared" si="6"/>
        <v>6.0161755380386973E-3</v>
      </c>
      <c r="AE27" s="118">
        <f>IF('Datos Mun'!B27="AMM",W27,0)</f>
        <v>0</v>
      </c>
      <c r="AF27" s="33">
        <f t="shared" si="17"/>
        <v>0</v>
      </c>
      <c r="AG27" s="118">
        <f>IF('Datos Mun'!B27="AMM",0,W27)</f>
        <v>6282</v>
      </c>
      <c r="AH27" s="33">
        <f t="shared" si="18"/>
        <v>7.0957153490872824E-3</v>
      </c>
      <c r="AI27" s="118">
        <f t="shared" si="7"/>
        <v>0</v>
      </c>
      <c r="AJ27" s="33">
        <f t="shared" si="19"/>
        <v>0</v>
      </c>
      <c r="AK27" s="90">
        <f>IF('Datos Mun'!B27="AMM",'Art 14 F I'!F29,'Art 14 F I'!M29)</f>
        <v>1.602691704001941E-2</v>
      </c>
      <c r="AL27" s="35">
        <f>IF('Datos Mun'!D27="Zona de Crec",'Art 14 F I'!T29,0)</f>
        <v>0</v>
      </c>
    </row>
    <row r="28" spans="1:38">
      <c r="A28" s="17" t="s">
        <v>24</v>
      </c>
      <c r="B28" s="85" t="s">
        <v>91</v>
      </c>
      <c r="C28" s="85" t="s">
        <v>91</v>
      </c>
      <c r="D28" s="85" t="s">
        <v>94</v>
      </c>
      <c r="E28" s="318">
        <v>9156806</v>
      </c>
      <c r="F28" s="18">
        <v>63133792</v>
      </c>
      <c r="G28" s="266">
        <v>12472493</v>
      </c>
      <c r="H28" s="266">
        <v>69984471</v>
      </c>
      <c r="I28" s="14">
        <f t="shared" si="0"/>
        <v>0.17821800782062067</v>
      </c>
      <c r="J28" s="319">
        <f t="shared" si="1"/>
        <v>0.36210082423936907</v>
      </c>
      <c r="K28" s="8">
        <v>12989</v>
      </c>
      <c r="L28" s="9">
        <v>23008</v>
      </c>
      <c r="M28" s="306">
        <f t="shared" si="8"/>
        <v>2.1391587475582556E-2</v>
      </c>
      <c r="N28" s="288">
        <v>1.8972127424</v>
      </c>
      <c r="O28" s="290">
        <f t="shared" si="9"/>
        <v>4.0584392338839474E-2</v>
      </c>
      <c r="P28" s="307">
        <f t="shared" si="10"/>
        <v>2.1049396798927165E-2</v>
      </c>
      <c r="Q28" s="307">
        <f t="shared" si="11"/>
        <v>1.7891987279088091E-2</v>
      </c>
      <c r="R28" s="288">
        <f t="shared" si="12"/>
        <v>0.56454276773296241</v>
      </c>
      <c r="S28" s="308">
        <f t="shared" si="13"/>
        <v>7.5017863505189922E-3</v>
      </c>
      <c r="T28" s="14">
        <f t="shared" si="14"/>
        <v>1.1252679525778487E-3</v>
      </c>
      <c r="U28" s="290">
        <f t="shared" si="15"/>
        <v>1.901725523166594E-2</v>
      </c>
      <c r="V28" s="72">
        <v>184.5</v>
      </c>
      <c r="W28" s="18">
        <v>102149</v>
      </c>
      <c r="X28" s="70">
        <v>5239837.4272957211</v>
      </c>
      <c r="Y28" s="79">
        <f t="shared" si="2"/>
        <v>2464022.4625672572</v>
      </c>
      <c r="Z28" s="33">
        <f t="shared" si="3"/>
        <v>1.301859561747262E-3</v>
      </c>
      <c r="AA28" s="29">
        <f t="shared" si="4"/>
        <v>1.5010376108879646E-2</v>
      </c>
      <c r="AB28" s="29">
        <f t="shared" si="5"/>
        <v>4.3136772013392265E-4</v>
      </c>
      <c r="AC28" s="33">
        <f t="shared" si="16"/>
        <v>1.5441743829013569E-2</v>
      </c>
      <c r="AD28" s="33">
        <f t="shared" si="6"/>
        <v>1.901725523166594E-2</v>
      </c>
      <c r="AE28" s="118">
        <f>IF('Datos Mun'!B28="AMM",W28,0)</f>
        <v>0</v>
      </c>
      <c r="AF28" s="33">
        <f t="shared" si="17"/>
        <v>0</v>
      </c>
      <c r="AG28" s="118">
        <f>IF('Datos Mun'!B28="AMM",0,W28)</f>
        <v>102149</v>
      </c>
      <c r="AH28" s="33">
        <f t="shared" si="18"/>
        <v>0.11538048825118065</v>
      </c>
      <c r="AI28" s="118">
        <f t="shared" si="7"/>
        <v>102149</v>
      </c>
      <c r="AJ28" s="33">
        <f t="shared" si="19"/>
        <v>3.4145136468231842E-2</v>
      </c>
      <c r="AK28" s="90">
        <f>IF('Datos Mun'!B28="AMM",'Art 14 F I'!F30,'Art 14 F I'!M30)</f>
        <v>5.9334727948825182E-2</v>
      </c>
      <c r="AL28" s="35">
        <f>IF('Datos Mun'!D28="Zona de Crec",'Art 14 F I'!T30,0)</f>
        <v>2.7142639028260127E-2</v>
      </c>
    </row>
    <row r="29" spans="1:38">
      <c r="A29" s="17" t="s">
        <v>25</v>
      </c>
      <c r="B29" s="85" t="s">
        <v>93</v>
      </c>
      <c r="C29" s="85" t="s">
        <v>93</v>
      </c>
      <c r="D29" s="85" t="s">
        <v>92</v>
      </c>
      <c r="E29" s="318">
        <v>215375991.11000001</v>
      </c>
      <c r="F29" s="18">
        <v>516795710.3599999</v>
      </c>
      <c r="G29" s="266">
        <v>210861820.23999998</v>
      </c>
      <c r="H29" s="266">
        <v>534177051</v>
      </c>
      <c r="I29" s="14">
        <f t="shared" si="0"/>
        <v>0.39474144358178348</v>
      </c>
      <c r="J29" s="319">
        <f t="shared" si="1"/>
        <v>-2.0959489712548744E-2</v>
      </c>
      <c r="K29" s="8">
        <v>113831</v>
      </c>
      <c r="L29" s="9">
        <v>95688</v>
      </c>
      <c r="M29" s="306">
        <f t="shared" si="8"/>
        <v>8.8965499928874453E-2</v>
      </c>
      <c r="N29" s="288">
        <v>1.8797706219999999</v>
      </c>
      <c r="O29" s="290">
        <f t="shared" si="9"/>
        <v>0.16723473313784129</v>
      </c>
      <c r="P29" s="307">
        <f t="shared" si="10"/>
        <v>8.6737537597976422E-2</v>
      </c>
      <c r="Q29" s="307">
        <f t="shared" si="11"/>
        <v>7.372690695827995E-2</v>
      </c>
      <c r="R29" s="288">
        <f t="shared" si="12"/>
        <v>1.1896058021904523</v>
      </c>
      <c r="S29" s="308">
        <f t="shared" si="13"/>
        <v>1.5807781233665195E-2</v>
      </c>
      <c r="T29" s="14">
        <f t="shared" si="14"/>
        <v>2.3711671850497793E-3</v>
      </c>
      <c r="U29" s="290">
        <f t="shared" si="15"/>
        <v>7.6098074143329725E-2</v>
      </c>
      <c r="V29" s="72">
        <v>118.4</v>
      </c>
      <c r="W29" s="18">
        <v>643143</v>
      </c>
      <c r="X29" s="70">
        <v>19216953.724318821</v>
      </c>
      <c r="Y29" s="79">
        <f t="shared" si="2"/>
        <v>86035364.349199682</v>
      </c>
      <c r="Z29" s="33">
        <f t="shared" si="3"/>
        <v>4.5456550590742772E-2</v>
      </c>
      <c r="AA29" s="29">
        <f t="shared" si="4"/>
        <v>9.4507222995753079E-2</v>
      </c>
      <c r="AB29" s="29">
        <f t="shared" si="5"/>
        <v>2.7682351254122733E-4</v>
      </c>
      <c r="AC29" s="33">
        <f t="shared" si="16"/>
        <v>9.4784046508294306E-2</v>
      </c>
      <c r="AD29" s="33">
        <f t="shared" si="6"/>
        <v>7.6098074143329725E-2</v>
      </c>
      <c r="AE29" s="118">
        <f>IF('Datos Mun'!B29="AMM",W29,0)</f>
        <v>643143</v>
      </c>
      <c r="AF29" s="33">
        <f t="shared" si="17"/>
        <v>0.13127727658789265</v>
      </c>
      <c r="AG29" s="118">
        <f>IF('Datos Mun'!B29="AMM",0,W29)</f>
        <v>0</v>
      </c>
      <c r="AH29" s="33">
        <f t="shared" si="18"/>
        <v>0</v>
      </c>
      <c r="AI29" s="118">
        <f t="shared" si="7"/>
        <v>0</v>
      </c>
      <c r="AJ29" s="33">
        <f t="shared" si="19"/>
        <v>0</v>
      </c>
      <c r="AK29" s="90">
        <f>IF('Datos Mun'!B29="AMM",'Art 14 F I'!F31,'Art 14 F I'!M31)</f>
        <v>7.7560632572891586E-2</v>
      </c>
      <c r="AL29" s="35">
        <f>IF('Datos Mun'!D29="Zona de Crec",'Art 14 F I'!T31,0)</f>
        <v>0</v>
      </c>
    </row>
    <row r="30" spans="1:38">
      <c r="A30" s="17" t="s">
        <v>26</v>
      </c>
      <c r="B30" s="85" t="s">
        <v>91</v>
      </c>
      <c r="C30" s="85" t="s">
        <v>91</v>
      </c>
      <c r="D30" s="85" t="s">
        <v>92</v>
      </c>
      <c r="E30" s="318">
        <v>288216.5</v>
      </c>
      <c r="F30" s="18">
        <v>997290</v>
      </c>
      <c r="G30" s="266">
        <v>297293.69</v>
      </c>
      <c r="H30" s="266">
        <v>1059673</v>
      </c>
      <c r="I30" s="14">
        <f t="shared" si="0"/>
        <v>0.28055229301869539</v>
      </c>
      <c r="J30" s="319">
        <f t="shared" si="1"/>
        <v>3.149434539660291E-2</v>
      </c>
      <c r="K30" s="8">
        <v>188</v>
      </c>
      <c r="L30" s="9">
        <v>192</v>
      </c>
      <c r="M30" s="306">
        <f t="shared" si="8"/>
        <v>1.7851116113142606E-4</v>
      </c>
      <c r="N30" s="288">
        <v>1.9505591721</v>
      </c>
      <c r="O30" s="290">
        <f t="shared" si="9"/>
        <v>3.4819658266712413E-4</v>
      </c>
      <c r="P30" s="307">
        <f t="shared" si="10"/>
        <v>1.8059474616246836E-4</v>
      </c>
      <c r="Q30" s="307">
        <f t="shared" si="11"/>
        <v>1.5350553423809811E-4</v>
      </c>
      <c r="R30" s="288">
        <f t="shared" si="12"/>
        <v>0.97916666666666663</v>
      </c>
      <c r="S30" s="308">
        <f t="shared" si="13"/>
        <v>1.3011413049148681E-2</v>
      </c>
      <c r="T30" s="14">
        <f t="shared" si="14"/>
        <v>1.9517119573723022E-3</v>
      </c>
      <c r="U30" s="290">
        <f t="shared" si="15"/>
        <v>2.1052174916104003E-3</v>
      </c>
      <c r="V30" s="72">
        <v>496.6</v>
      </c>
      <c r="W30" s="18">
        <v>1959</v>
      </c>
      <c r="X30" s="70">
        <v>2416180.5686493958</v>
      </c>
      <c r="Y30" s="79">
        <f t="shared" si="2"/>
        <v>88623.708363481142</v>
      </c>
      <c r="Z30" s="33">
        <f t="shared" si="3"/>
        <v>4.6824095105971246E-5</v>
      </c>
      <c r="AA30" s="29">
        <f t="shared" si="4"/>
        <v>2.8786700601371744E-4</v>
      </c>
      <c r="AB30" s="29">
        <f t="shared" si="5"/>
        <v>1.1610688879051814E-3</v>
      </c>
      <c r="AC30" s="33">
        <f t="shared" si="16"/>
        <v>1.4489358939188987E-3</v>
      </c>
      <c r="AD30" s="33">
        <f t="shared" si="6"/>
        <v>2.1052174916104003E-3</v>
      </c>
      <c r="AE30" s="118">
        <f>IF('Datos Mun'!B30="AMM",W30,0)</f>
        <v>0</v>
      </c>
      <c r="AF30" s="33">
        <f t="shared" si="17"/>
        <v>0</v>
      </c>
      <c r="AG30" s="118">
        <f>IF('Datos Mun'!B30="AMM",0,W30)</f>
        <v>1959</v>
      </c>
      <c r="AH30" s="33">
        <f t="shared" si="18"/>
        <v>2.2127517301595012E-3</v>
      </c>
      <c r="AI30" s="118">
        <f t="shared" si="7"/>
        <v>0</v>
      </c>
      <c r="AJ30" s="33">
        <f t="shared" si="19"/>
        <v>0</v>
      </c>
      <c r="AK30" s="90">
        <f>IF('Datos Mun'!B30="AMM",'Art 14 F I'!F32,'Art 14 F I'!M32)</f>
        <v>5.8398661704290198E-3</v>
      </c>
      <c r="AL30" s="35">
        <f>IF('Datos Mun'!D30="Zona de Crec",'Art 14 F I'!T32,0)</f>
        <v>0</v>
      </c>
    </row>
    <row r="31" spans="1:38">
      <c r="A31" s="17" t="s">
        <v>27</v>
      </c>
      <c r="B31" s="85" t="s">
        <v>91</v>
      </c>
      <c r="C31" s="85" t="s">
        <v>91</v>
      </c>
      <c r="D31" s="85" t="s">
        <v>92</v>
      </c>
      <c r="E31" s="318">
        <v>518824</v>
      </c>
      <c r="F31" s="18">
        <v>2347113</v>
      </c>
      <c r="G31" s="266">
        <v>539788</v>
      </c>
      <c r="H31" s="266">
        <v>2387896</v>
      </c>
      <c r="I31" s="14">
        <f t="shared" si="0"/>
        <v>0.22605172084546396</v>
      </c>
      <c r="J31" s="319">
        <f t="shared" si="1"/>
        <v>4.0406766070960477E-2</v>
      </c>
      <c r="K31" s="8">
        <v>3006</v>
      </c>
      <c r="L31" s="9">
        <v>3272</v>
      </c>
      <c r="M31" s="306">
        <f t="shared" si="8"/>
        <v>3.0421277042813858E-3</v>
      </c>
      <c r="N31" s="288">
        <v>1.6415123341</v>
      </c>
      <c r="O31" s="290">
        <f t="shared" si="9"/>
        <v>4.9936901484852123E-3</v>
      </c>
      <c r="P31" s="307">
        <f t="shared" si="10"/>
        <v>2.5900145195906737E-3</v>
      </c>
      <c r="Q31" s="307">
        <f t="shared" si="11"/>
        <v>2.2015123416520726E-3</v>
      </c>
      <c r="R31" s="288">
        <f t="shared" si="12"/>
        <v>0.91870415647921755</v>
      </c>
      <c r="S31" s="308">
        <f t="shared" si="13"/>
        <v>1.2207971999919139E-2</v>
      </c>
      <c r="T31" s="14">
        <f t="shared" si="14"/>
        <v>1.8311957999878707E-3</v>
      </c>
      <c r="U31" s="290">
        <f t="shared" si="15"/>
        <v>4.0327081416399431E-3</v>
      </c>
      <c r="V31" s="72">
        <v>170.6</v>
      </c>
      <c r="W31" s="18">
        <v>16086</v>
      </c>
      <c r="X31" s="70">
        <v>2523675.0481478907</v>
      </c>
      <c r="Y31" s="79">
        <f t="shared" si="2"/>
        <v>124140.20328122251</v>
      </c>
      <c r="Z31" s="33">
        <f t="shared" si="3"/>
        <v>6.5589138530224345E-5</v>
      </c>
      <c r="AA31" s="29">
        <f t="shared" si="4"/>
        <v>2.3637716481555177E-3</v>
      </c>
      <c r="AB31" s="29">
        <f t="shared" si="5"/>
        <v>3.988690138474103E-4</v>
      </c>
      <c r="AC31" s="33">
        <f t="shared" si="16"/>
        <v>2.762640662002928E-3</v>
      </c>
      <c r="AD31" s="33">
        <f t="shared" si="6"/>
        <v>4.0327081416399431E-3</v>
      </c>
      <c r="AE31" s="118">
        <f>IF('Datos Mun'!B31="AMM",W31,0)</f>
        <v>0</v>
      </c>
      <c r="AF31" s="33">
        <f t="shared" si="17"/>
        <v>0</v>
      </c>
      <c r="AG31" s="118">
        <f>IF('Datos Mun'!B31="AMM",0,W31)</f>
        <v>16086</v>
      </c>
      <c r="AH31" s="33">
        <f t="shared" si="18"/>
        <v>1.8169639781187207E-2</v>
      </c>
      <c r="AI31" s="118">
        <f t="shared" si="7"/>
        <v>0</v>
      </c>
      <c r="AJ31" s="33">
        <f t="shared" si="19"/>
        <v>0</v>
      </c>
      <c r="AK31" s="90">
        <f>IF('Datos Mun'!B31="AMM",'Art 14 F I'!F33,'Art 14 F I'!M33)</f>
        <v>1.1088868277858635E-2</v>
      </c>
      <c r="AL31" s="35">
        <f>IF('Datos Mun'!D31="Zona de Crec",'Art 14 F I'!T33,0)</f>
        <v>0</v>
      </c>
    </row>
    <row r="32" spans="1:38">
      <c r="A32" s="17" t="s">
        <v>28</v>
      </c>
      <c r="B32" s="85" t="s">
        <v>91</v>
      </c>
      <c r="C32" s="85" t="s">
        <v>91</v>
      </c>
      <c r="D32" s="85" t="s">
        <v>92</v>
      </c>
      <c r="E32" s="318">
        <v>336929</v>
      </c>
      <c r="F32" s="18">
        <v>702996</v>
      </c>
      <c r="G32" s="266">
        <v>419888</v>
      </c>
      <c r="H32" s="266">
        <v>708159</v>
      </c>
      <c r="I32" s="14">
        <f t="shared" si="0"/>
        <v>0.5929289891112024</v>
      </c>
      <c r="J32" s="319">
        <f t="shared" si="1"/>
        <v>0.24622101392281459</v>
      </c>
      <c r="K32" s="8">
        <v>237</v>
      </c>
      <c r="L32" s="9">
        <v>131</v>
      </c>
      <c r="M32" s="306">
        <f t="shared" si="8"/>
        <v>1.2179667764696256E-4</v>
      </c>
      <c r="N32" s="288">
        <v>2.2584083591000002</v>
      </c>
      <c r="O32" s="290">
        <f t="shared" si="9"/>
        <v>2.7506663490850839E-4</v>
      </c>
      <c r="P32" s="307">
        <f t="shared" si="10"/>
        <v>1.426653550949875E-4</v>
      </c>
      <c r="Q32" s="307">
        <f t="shared" si="11"/>
        <v>1.2126555183073937E-4</v>
      </c>
      <c r="R32" s="288">
        <f t="shared" si="12"/>
        <v>1.8091603053435115</v>
      </c>
      <c r="S32" s="308">
        <f t="shared" si="13"/>
        <v>2.4040577366755789E-2</v>
      </c>
      <c r="T32" s="14">
        <f t="shared" si="14"/>
        <v>3.6060866050133681E-3</v>
      </c>
      <c r="U32" s="290">
        <f t="shared" si="15"/>
        <v>3.7273521568441073E-3</v>
      </c>
      <c r="V32" s="72">
        <v>443.2</v>
      </c>
      <c r="W32" s="18">
        <v>1386</v>
      </c>
      <c r="X32" s="70">
        <v>2212342.7648131964</v>
      </c>
      <c r="Y32" s="79">
        <f t="shared" si="2"/>
        <v>250792.22718763692</v>
      </c>
      <c r="Z32" s="33">
        <f t="shared" si="3"/>
        <v>1.3250539065132603E-4</v>
      </c>
      <c r="AA32" s="29">
        <f t="shared" si="4"/>
        <v>2.0366700884890884E-4</v>
      </c>
      <c r="AB32" s="29">
        <f t="shared" si="5"/>
        <v>1.0362177428908102E-3</v>
      </c>
      <c r="AC32" s="33">
        <f t="shared" si="16"/>
        <v>1.239884751739719E-3</v>
      </c>
      <c r="AD32" s="33">
        <f t="shared" si="6"/>
        <v>3.7273521568441073E-3</v>
      </c>
      <c r="AE32" s="118">
        <f>IF('Datos Mun'!B32="AMM",W32,0)</f>
        <v>0</v>
      </c>
      <c r="AF32" s="33">
        <f t="shared" si="17"/>
        <v>0</v>
      </c>
      <c r="AG32" s="118">
        <f>IF('Datos Mun'!B32="AMM",0,W32)</f>
        <v>1386</v>
      </c>
      <c r="AH32" s="33">
        <f t="shared" si="18"/>
        <v>1.5655303205722657E-3</v>
      </c>
      <c r="AI32" s="118">
        <f t="shared" si="7"/>
        <v>0</v>
      </c>
      <c r="AJ32" s="33">
        <f t="shared" si="19"/>
        <v>0</v>
      </c>
      <c r="AK32" s="90">
        <f>IF('Datos Mun'!B32="AMM",'Art 14 F I'!F34,'Art 14 F I'!M34)</f>
        <v>8.3764496629081201E-3</v>
      </c>
      <c r="AL32" s="35">
        <f>IF('Datos Mun'!D32="Zona de Crec",'Art 14 F I'!T34,0)</f>
        <v>0</v>
      </c>
    </row>
    <row r="33" spans="1:38">
      <c r="A33" s="17" t="s">
        <v>29</v>
      </c>
      <c r="B33" s="85" t="s">
        <v>91</v>
      </c>
      <c r="C33" s="85" t="s">
        <v>91</v>
      </c>
      <c r="D33" s="85" t="s">
        <v>92</v>
      </c>
      <c r="E33" s="318">
        <v>629171</v>
      </c>
      <c r="F33" s="18">
        <v>1978005</v>
      </c>
      <c r="G33" s="266">
        <v>656691</v>
      </c>
      <c r="H33" s="266">
        <v>2080067</v>
      </c>
      <c r="I33" s="14">
        <f t="shared" si="0"/>
        <v>0.31570665752593546</v>
      </c>
      <c r="J33" s="319">
        <f t="shared" si="1"/>
        <v>4.3740096094702391E-2</v>
      </c>
      <c r="K33" s="8">
        <v>2843</v>
      </c>
      <c r="L33" s="9">
        <v>1571</v>
      </c>
      <c r="M33" s="306">
        <f t="shared" si="8"/>
        <v>1.4606303861326581E-3</v>
      </c>
      <c r="N33" s="288">
        <v>1.4705313694</v>
      </c>
      <c r="O33" s="290">
        <f t="shared" si="9"/>
        <v>2.1479028019069082E-3</v>
      </c>
      <c r="P33" s="307">
        <f t="shared" si="10"/>
        <v>1.1140257561426585E-3</v>
      </c>
      <c r="Q33" s="307">
        <f t="shared" si="11"/>
        <v>9.4692189272125974E-4</v>
      </c>
      <c r="R33" s="288">
        <f t="shared" si="12"/>
        <v>1.8096753660089115</v>
      </c>
      <c r="S33" s="308">
        <f t="shared" si="13"/>
        <v>2.4047421622479592E-2</v>
      </c>
      <c r="T33" s="14">
        <f t="shared" si="14"/>
        <v>3.6071132433719384E-3</v>
      </c>
      <c r="U33" s="290">
        <f t="shared" si="15"/>
        <v>4.554035136093198E-3</v>
      </c>
      <c r="V33" s="72">
        <v>127.8</v>
      </c>
      <c r="W33" s="18">
        <v>7026</v>
      </c>
      <c r="X33" s="70">
        <v>1837459.5037223247</v>
      </c>
      <c r="Y33" s="79">
        <f t="shared" si="2"/>
        <v>218019.2009024244</v>
      </c>
      <c r="Z33" s="33">
        <f t="shared" si="3"/>
        <v>1.1518985141214846E-4</v>
      </c>
      <c r="AA33" s="29">
        <f t="shared" si="4"/>
        <v>1.0324418500522608E-3</v>
      </c>
      <c r="AB33" s="29">
        <f t="shared" si="5"/>
        <v>2.9880105492203417E-4</v>
      </c>
      <c r="AC33" s="33">
        <f t="shared" si="16"/>
        <v>1.331242904974295E-3</v>
      </c>
      <c r="AD33" s="33">
        <f t="shared" si="6"/>
        <v>4.554035136093198E-3</v>
      </c>
      <c r="AE33" s="118">
        <f>IF('Datos Mun'!B33="AMM",W33,0)</f>
        <v>0</v>
      </c>
      <c r="AF33" s="33">
        <f t="shared" si="17"/>
        <v>0</v>
      </c>
      <c r="AG33" s="118">
        <f>IF('Datos Mun'!B33="AMM",0,W33)</f>
        <v>7026</v>
      </c>
      <c r="AH33" s="33">
        <f t="shared" si="18"/>
        <v>7.9360866034204457E-3</v>
      </c>
      <c r="AI33" s="118">
        <f t="shared" si="7"/>
        <v>0</v>
      </c>
      <c r="AJ33" s="33">
        <f t="shared" si="19"/>
        <v>0</v>
      </c>
      <c r="AK33" s="90">
        <f>IF('Datos Mun'!B33="AMM",'Art 14 F I'!F35,'Art 14 F I'!M35)</f>
        <v>9.7907251880109819E-3</v>
      </c>
      <c r="AL33" s="35">
        <f>IF('Datos Mun'!D33="Zona de Crec",'Art 14 F I'!T35,0)</f>
        <v>0</v>
      </c>
    </row>
    <row r="34" spans="1:38">
      <c r="A34" s="17" t="s">
        <v>30</v>
      </c>
      <c r="B34" s="85" t="s">
        <v>91</v>
      </c>
      <c r="C34" s="85" t="s">
        <v>91</v>
      </c>
      <c r="D34" s="85" t="s">
        <v>92</v>
      </c>
      <c r="E34" s="318">
        <v>112915</v>
      </c>
      <c r="F34" s="18">
        <v>579083</v>
      </c>
      <c r="G34" s="266">
        <v>129046</v>
      </c>
      <c r="H34" s="266">
        <v>619036</v>
      </c>
      <c r="I34" s="14">
        <f t="shared" si="0"/>
        <v>0.20846283576399435</v>
      </c>
      <c r="J34" s="319">
        <f t="shared" si="1"/>
        <v>0.14285967320550857</v>
      </c>
      <c r="K34" s="8">
        <v>2022</v>
      </c>
      <c r="L34" s="9">
        <v>1144</v>
      </c>
      <c r="M34" s="306">
        <f t="shared" si="8"/>
        <v>1.0636290017414136E-3</v>
      </c>
      <c r="N34" s="288">
        <v>2.2004042460000002</v>
      </c>
      <c r="O34" s="290">
        <f t="shared" si="9"/>
        <v>2.3404137716005482E-3</v>
      </c>
      <c r="P34" s="307">
        <f t="shared" si="10"/>
        <v>1.2138730017388346E-3</v>
      </c>
      <c r="Q34" s="307">
        <f t="shared" si="11"/>
        <v>1.0317920514780095E-3</v>
      </c>
      <c r="R34" s="288">
        <f t="shared" si="12"/>
        <v>1.7674825174825175</v>
      </c>
      <c r="S34" s="308">
        <f t="shared" si="13"/>
        <v>2.3486752434499599E-2</v>
      </c>
      <c r="T34" s="14">
        <f t="shared" si="14"/>
        <v>3.5230128651749398E-3</v>
      </c>
      <c r="U34" s="290">
        <f t="shared" si="15"/>
        <v>4.5548049166529488E-3</v>
      </c>
      <c r="V34" s="72">
        <v>560.5</v>
      </c>
      <c r="W34" s="18">
        <v>3298</v>
      </c>
      <c r="X34" s="70">
        <v>2411932.7114348505</v>
      </c>
      <c r="Y34" s="79">
        <f t="shared" si="2"/>
        <v>28757.311328427877</v>
      </c>
      <c r="Z34" s="33">
        <f t="shared" si="3"/>
        <v>1.5193847171364735E-5</v>
      </c>
      <c r="AA34" s="29">
        <f t="shared" si="4"/>
        <v>4.8462755785259838E-4</v>
      </c>
      <c r="AB34" s="29">
        <f t="shared" si="5"/>
        <v>1.3104694153661986E-3</v>
      </c>
      <c r="AC34" s="33">
        <f t="shared" si="16"/>
        <v>1.7950969732187969E-3</v>
      </c>
      <c r="AD34" s="33">
        <f t="shared" si="6"/>
        <v>4.5548049166529488E-3</v>
      </c>
      <c r="AE34" s="118">
        <f>IF('Datos Mun'!B34="AMM",W34,0)</f>
        <v>0</v>
      </c>
      <c r="AF34" s="33">
        <f t="shared" si="17"/>
        <v>0</v>
      </c>
      <c r="AG34" s="118">
        <f>IF('Datos Mun'!B34="AMM",0,W34)</f>
        <v>3298</v>
      </c>
      <c r="AH34" s="33">
        <f t="shared" si="18"/>
        <v>3.7251940817080321E-3</v>
      </c>
      <c r="AI34" s="118">
        <f t="shared" si="7"/>
        <v>0</v>
      </c>
      <c r="AJ34" s="33">
        <f t="shared" si="19"/>
        <v>0</v>
      </c>
      <c r="AK34" s="90">
        <f>IF('Datos Mun'!B34="AMM",'Art 14 F I'!F36,'Art 14 F I'!M36)</f>
        <v>1.0214381601286366E-2</v>
      </c>
      <c r="AL34" s="35">
        <f>IF('Datos Mun'!D34="Zona de Crec",'Art 14 F I'!T36,0)</f>
        <v>0</v>
      </c>
    </row>
    <row r="35" spans="1:38">
      <c r="A35" s="17" t="s">
        <v>31</v>
      </c>
      <c r="B35" s="85" t="s">
        <v>93</v>
      </c>
      <c r="C35" s="85" t="s">
        <v>93</v>
      </c>
      <c r="D35" s="85" t="s">
        <v>94</v>
      </c>
      <c r="E35" s="318">
        <v>99086847.890000001</v>
      </c>
      <c r="F35" s="18">
        <v>512545762.94000041</v>
      </c>
      <c r="G35" s="266">
        <v>116809127.09999999</v>
      </c>
      <c r="H35" s="266">
        <v>593222877</v>
      </c>
      <c r="I35" s="14">
        <f t="shared" si="0"/>
        <v>0.19690597181740177</v>
      </c>
      <c r="J35" s="319">
        <f t="shared" si="1"/>
        <v>0.17885601961699454</v>
      </c>
      <c r="K35" s="8">
        <v>78885</v>
      </c>
      <c r="L35" s="9">
        <v>113737</v>
      </c>
      <c r="M35" s="306">
        <f t="shared" si="8"/>
        <v>0.1057464788208594</v>
      </c>
      <c r="N35" s="288">
        <v>1.9568038190999999</v>
      </c>
      <c r="O35" s="290">
        <f t="shared" si="9"/>
        <v>0.20692511361303492</v>
      </c>
      <c r="P35" s="307">
        <f t="shared" si="10"/>
        <v>0.10732324849756292</v>
      </c>
      <c r="Q35" s="307">
        <f t="shared" si="11"/>
        <v>9.1224761222928483E-2</v>
      </c>
      <c r="R35" s="288">
        <f t="shared" si="12"/>
        <v>0.69357377106834184</v>
      </c>
      <c r="S35" s="308">
        <f t="shared" si="13"/>
        <v>9.216382790222178E-3</v>
      </c>
      <c r="T35" s="14">
        <f t="shared" si="14"/>
        <v>1.3824574185333266E-3</v>
      </c>
      <c r="U35" s="290">
        <f t="shared" si="15"/>
        <v>9.2607218641461805E-2</v>
      </c>
      <c r="V35" s="72">
        <v>247.3</v>
      </c>
      <c r="W35" s="18">
        <v>471523</v>
      </c>
      <c r="X35" s="70">
        <v>9399530.3955752458</v>
      </c>
      <c r="Y35" s="79">
        <f t="shared" si="2"/>
        <v>26620788.152844779</v>
      </c>
      <c r="Z35" s="33">
        <f t="shared" si="3"/>
        <v>1.4065020966538059E-2</v>
      </c>
      <c r="AA35" s="29">
        <f t="shared" si="4"/>
        <v>6.9288368696583003E-2</v>
      </c>
      <c r="AB35" s="29">
        <f t="shared" si="5"/>
        <v>5.7819640752910064E-4</v>
      </c>
      <c r="AC35" s="33">
        <f t="shared" si="16"/>
        <v>6.9866565104112099E-2</v>
      </c>
      <c r="AD35" s="33">
        <f t="shared" si="6"/>
        <v>9.2607218641461805E-2</v>
      </c>
      <c r="AE35" s="118">
        <f>IF('Datos Mun'!B35="AMM",W35,0)</f>
        <v>471523</v>
      </c>
      <c r="AF35" s="33">
        <f t="shared" si="17"/>
        <v>9.6246488399240757E-2</v>
      </c>
      <c r="AG35" s="118">
        <f>IF('Datos Mun'!B35="AMM",0,W35)</f>
        <v>0</v>
      </c>
      <c r="AH35" s="33">
        <f t="shared" si="18"/>
        <v>0</v>
      </c>
      <c r="AI35" s="118">
        <f t="shared" si="7"/>
        <v>471523</v>
      </c>
      <c r="AJ35" s="33">
        <f t="shared" si="19"/>
        <v>0.15761502494307417</v>
      </c>
      <c r="AK35" s="90">
        <f>IF('Datos Mun'!B35="AMM",'Art 14 F I'!F37,'Art 14 F I'!M37)</f>
        <v>5.6469148622863001E-2</v>
      </c>
      <c r="AL35" s="35">
        <f>IF('Datos Mun'!D35="Zona de Crec",'Art 14 F I'!T37,0)</f>
        <v>0.13958746393323421</v>
      </c>
    </row>
    <row r="36" spans="1:38">
      <c r="A36" s="17" t="s">
        <v>32</v>
      </c>
      <c r="B36" s="85" t="s">
        <v>91</v>
      </c>
      <c r="C36" s="85" t="s">
        <v>91</v>
      </c>
      <c r="D36" s="85" t="s">
        <v>92</v>
      </c>
      <c r="E36" s="318">
        <v>1194083</v>
      </c>
      <c r="F36" s="18">
        <v>3788861</v>
      </c>
      <c r="G36" s="266">
        <v>1176027</v>
      </c>
      <c r="H36" s="266">
        <v>3907034</v>
      </c>
      <c r="I36" s="14">
        <f t="shared" si="0"/>
        <v>0.3010024995943214</v>
      </c>
      <c r="J36" s="319">
        <f t="shared" si="1"/>
        <v>-1.5121226916386885E-2</v>
      </c>
      <c r="K36" s="8">
        <v>2081</v>
      </c>
      <c r="L36" s="9">
        <v>764</v>
      </c>
      <c r="M36" s="306">
        <f t="shared" si="8"/>
        <v>7.1032566200213284E-4</v>
      </c>
      <c r="N36" s="288">
        <v>1.7755281664</v>
      </c>
      <c r="O36" s="290">
        <f t="shared" si="9"/>
        <v>1.2612032202015131E-3</v>
      </c>
      <c r="P36" s="307">
        <f t="shared" si="10"/>
        <v>6.5413242619134164E-4</v>
      </c>
      <c r="Q36" s="307">
        <f t="shared" si="11"/>
        <v>5.5601256226264035E-4</v>
      </c>
      <c r="R36" s="288">
        <f t="shared" si="12"/>
        <v>2.7238219895287958</v>
      </c>
      <c r="S36" s="308">
        <f t="shared" si="13"/>
        <v>3.6194831977647418E-2</v>
      </c>
      <c r="T36" s="14">
        <f t="shared" si="14"/>
        <v>5.4292247966471127E-3</v>
      </c>
      <c r="U36" s="290">
        <f t="shared" si="15"/>
        <v>5.9852373589097535E-3</v>
      </c>
      <c r="V36" s="72">
        <v>3428</v>
      </c>
      <c r="W36" s="18">
        <v>5351</v>
      </c>
      <c r="X36" s="70">
        <v>4879372.4781305455</v>
      </c>
      <c r="Y36" s="79">
        <f t="shared" si="2"/>
        <v>365027.77608600585</v>
      </c>
      <c r="Z36" s="33">
        <f t="shared" si="3"/>
        <v>1.9286143199594876E-4</v>
      </c>
      <c r="AA36" s="29">
        <f t="shared" si="4"/>
        <v>7.8630747788637162E-4</v>
      </c>
      <c r="AB36" s="29">
        <f t="shared" si="5"/>
        <v>8.0147888597240455E-3</v>
      </c>
      <c r="AC36" s="33">
        <f t="shared" si="16"/>
        <v>8.8010963376104166E-3</v>
      </c>
      <c r="AD36" s="33">
        <f t="shared" si="6"/>
        <v>5.9852373589097535E-3</v>
      </c>
      <c r="AE36" s="118">
        <f>IF('Datos Mun'!B36="AMM",W36,0)</f>
        <v>0</v>
      </c>
      <c r="AF36" s="33">
        <f t="shared" si="17"/>
        <v>0</v>
      </c>
      <c r="AG36" s="118">
        <f>IF('Datos Mun'!B36="AMM",0,W36)</f>
        <v>5351</v>
      </c>
      <c r="AH36" s="33">
        <f t="shared" si="18"/>
        <v>6.0441217499150029E-3</v>
      </c>
      <c r="AI36" s="118">
        <f t="shared" si="7"/>
        <v>0</v>
      </c>
      <c r="AJ36" s="33">
        <f t="shared" si="19"/>
        <v>0</v>
      </c>
      <c r="AK36" s="90">
        <f>IF('Datos Mun'!B36="AMM",'Art 14 F I'!F38,'Art 14 F I'!M38)</f>
        <v>2.4289363882290062E-2</v>
      </c>
      <c r="AL36" s="35">
        <f>IF('Datos Mun'!D36="Zona de Crec",'Art 14 F I'!T38,0)</f>
        <v>0</v>
      </c>
    </row>
    <row r="37" spans="1:38">
      <c r="A37" s="17" t="s">
        <v>33</v>
      </c>
      <c r="B37" s="85" t="s">
        <v>91</v>
      </c>
      <c r="C37" s="85" t="s">
        <v>91</v>
      </c>
      <c r="D37" s="85" t="s">
        <v>92</v>
      </c>
      <c r="E37" s="318">
        <v>10280239</v>
      </c>
      <c r="F37" s="18">
        <v>39384069</v>
      </c>
      <c r="G37" s="266">
        <v>12032960</v>
      </c>
      <c r="H37" s="266">
        <v>40511812</v>
      </c>
      <c r="I37" s="14">
        <f t="shared" si="0"/>
        <v>0.2970234952709595</v>
      </c>
      <c r="J37" s="319">
        <f t="shared" ref="J37:J55" si="20">(G37-E37)/E37</f>
        <v>0.17049418792695384</v>
      </c>
      <c r="K37" s="8">
        <v>25760</v>
      </c>
      <c r="L37" s="9">
        <v>21267</v>
      </c>
      <c r="M37" s="306">
        <f t="shared" si="8"/>
        <v>1.9772900332198112E-2</v>
      </c>
      <c r="N37" s="288">
        <v>2.0486592371999999</v>
      </c>
      <c r="O37" s="290">
        <f t="shared" si="9"/>
        <v>4.0507934911792609E-2</v>
      </c>
      <c r="P37" s="307">
        <f t="shared" si="10"/>
        <v>2.1009741585989696E-2</v>
      </c>
      <c r="Q37" s="307">
        <f t="shared" si="11"/>
        <v>1.7858280348091241E-2</v>
      </c>
      <c r="R37" s="288">
        <f t="shared" si="12"/>
        <v>1.2112662810927728</v>
      </c>
      <c r="S37" s="308">
        <f t="shared" si="13"/>
        <v>1.6095611127629923E-2</v>
      </c>
      <c r="T37" s="14">
        <f t="shared" si="14"/>
        <v>2.4143416691444885E-3</v>
      </c>
      <c r="U37" s="290">
        <f t="shared" si="15"/>
        <v>2.0272622017235731E-2</v>
      </c>
      <c r="V37" s="72">
        <v>2509.1999999999998</v>
      </c>
      <c r="W37" s="18">
        <v>84666</v>
      </c>
      <c r="X37" s="70">
        <v>14166911.147800261</v>
      </c>
      <c r="Y37" s="79">
        <f t="shared" ref="Y37:Y55" si="21">(G37/F37)*G37</f>
        <v>3676413.5864580167</v>
      </c>
      <c r="Z37" s="33">
        <f t="shared" ref="Z37:Z55" si="22">Y37/$Y$56</f>
        <v>1.9424231122800778E-3</v>
      </c>
      <c r="AA37" s="29">
        <f t="shared" ref="AA37:AA55" si="23">0.85*W37/$W$56</f>
        <v>1.2441321047043085E-2</v>
      </c>
      <c r="AB37" s="29">
        <f t="shared" ref="AB37:AB55" si="24">0.15*V37/$V$56</f>
        <v>5.8666009938213469E-3</v>
      </c>
      <c r="AC37" s="33">
        <f t="shared" si="16"/>
        <v>1.8307922040864431E-2</v>
      </c>
      <c r="AD37" s="33">
        <f t="shared" ref="AD37:AD55" si="25">U37</f>
        <v>2.0272622017235731E-2</v>
      </c>
      <c r="AE37" s="118">
        <f>IF('Datos Mun'!B37="AMM",W37,0)</f>
        <v>0</v>
      </c>
      <c r="AF37" s="33">
        <f t="shared" si="17"/>
        <v>0</v>
      </c>
      <c r="AG37" s="118">
        <f>IF('Datos Mun'!B37="AMM",0,W37)</f>
        <v>84666</v>
      </c>
      <c r="AH37" s="33">
        <f t="shared" si="18"/>
        <v>9.5632893305607106E-2</v>
      </c>
      <c r="AI37" s="118">
        <f t="shared" ref="AI37:AI55" si="26">IF(D37="Zona de Crec",W37,0)</f>
        <v>0</v>
      </c>
      <c r="AJ37" s="33">
        <f t="shared" si="19"/>
        <v>0</v>
      </c>
      <c r="AK37" s="90">
        <f>IF('Datos Mun'!B37="AMM",'Art 14 F I'!F39,'Art 14 F I'!M39)</f>
        <v>6.7984014748768404E-2</v>
      </c>
      <c r="AL37" s="35">
        <f>IF('Datos Mun'!D37="Zona de Crec",'Art 14 F I'!T39,0)</f>
        <v>0</v>
      </c>
    </row>
    <row r="38" spans="1:38">
      <c r="A38" s="17" t="s">
        <v>34</v>
      </c>
      <c r="B38" s="85" t="s">
        <v>91</v>
      </c>
      <c r="C38" s="85" t="s">
        <v>91</v>
      </c>
      <c r="D38" s="85" t="s">
        <v>92</v>
      </c>
      <c r="E38" s="318">
        <v>940947</v>
      </c>
      <c r="F38" s="18">
        <v>2191945</v>
      </c>
      <c r="G38" s="266">
        <v>947940</v>
      </c>
      <c r="H38" s="266">
        <v>2187206</v>
      </c>
      <c r="I38" s="14">
        <f t="shared" si="0"/>
        <v>0.43340224926230086</v>
      </c>
      <c r="J38" s="319">
        <f t="shared" si="20"/>
        <v>7.4318744838976049E-3</v>
      </c>
      <c r="K38" s="8">
        <v>1318</v>
      </c>
      <c r="L38" s="9">
        <v>475</v>
      </c>
      <c r="M38" s="306">
        <f t="shared" si="8"/>
        <v>4.4162917467410089E-4</v>
      </c>
      <c r="N38" s="288">
        <v>2.0058388967999998</v>
      </c>
      <c r="O38" s="290">
        <f t="shared" si="9"/>
        <v>8.8583697652299298E-4</v>
      </c>
      <c r="P38" s="307">
        <f t="shared" si="10"/>
        <v>4.5944593336068676E-4</v>
      </c>
      <c r="Q38" s="307">
        <f t="shared" si="11"/>
        <v>3.9052904335658376E-4</v>
      </c>
      <c r="R38" s="288">
        <f t="shared" si="12"/>
        <v>2.7747368421052632</v>
      </c>
      <c r="S38" s="308">
        <f t="shared" si="13"/>
        <v>3.6871401350116108E-2</v>
      </c>
      <c r="T38" s="14">
        <f t="shared" si="14"/>
        <v>5.5307102025174163E-3</v>
      </c>
      <c r="U38" s="290">
        <f t="shared" si="15"/>
        <v>5.921239245874E-3</v>
      </c>
      <c r="V38" s="72">
        <v>264.89999999999998</v>
      </c>
      <c r="W38" s="18">
        <v>5119</v>
      </c>
      <c r="X38" s="70">
        <v>3175363.842931075</v>
      </c>
      <c r="Y38" s="79">
        <f t="shared" si="21"/>
        <v>409951.09074360901</v>
      </c>
      <c r="Z38" s="33">
        <f t="shared" si="22"/>
        <v>2.1659654302713939E-4</v>
      </c>
      <c r="AA38" s="29">
        <f t="shared" si="23"/>
        <v>7.5221603051772322E-4</v>
      </c>
      <c r="AB38" s="29">
        <f t="shared" si="24"/>
        <v>6.1934584858252617E-4</v>
      </c>
      <c r="AC38" s="33">
        <f t="shared" si="16"/>
        <v>1.3715618791002495E-3</v>
      </c>
      <c r="AD38" s="33">
        <f t="shared" si="25"/>
        <v>5.921239245874E-3</v>
      </c>
      <c r="AE38" s="118">
        <f>IF('Datos Mun'!B38="AMM",W38,0)</f>
        <v>0</v>
      </c>
      <c r="AF38" s="33">
        <f t="shared" si="17"/>
        <v>0</v>
      </c>
      <c r="AG38" s="118">
        <f>IF('Datos Mun'!B38="AMM",0,W38)</f>
        <v>5119</v>
      </c>
      <c r="AH38" s="33">
        <f t="shared" si="18"/>
        <v>5.7820704985638008E-3</v>
      </c>
      <c r="AI38" s="118">
        <f t="shared" si="26"/>
        <v>0</v>
      </c>
      <c r="AJ38" s="33">
        <f t="shared" si="19"/>
        <v>0</v>
      </c>
      <c r="AK38" s="90">
        <f>IF('Datos Mun'!B38="AMM",'Art 14 F I'!F40,'Art 14 F I'!M40)</f>
        <v>1.2368757260802409E-2</v>
      </c>
      <c r="AL38" s="35">
        <f>IF('Datos Mun'!D38="Zona de Crec",'Art 14 F I'!T40,0)</f>
        <v>0</v>
      </c>
    </row>
    <row r="39" spans="1:38">
      <c r="A39" s="17" t="s">
        <v>35</v>
      </c>
      <c r="B39" s="85" t="s">
        <v>91</v>
      </c>
      <c r="C39" s="85" t="s">
        <v>91</v>
      </c>
      <c r="D39" s="85" t="s">
        <v>92</v>
      </c>
      <c r="E39" s="318">
        <v>301669</v>
      </c>
      <c r="F39" s="18">
        <v>739738</v>
      </c>
      <c r="G39" s="266">
        <v>296637</v>
      </c>
      <c r="H39" s="266">
        <v>769899</v>
      </c>
      <c r="I39" s="14">
        <f t="shared" si="0"/>
        <v>0.38529339562721865</v>
      </c>
      <c r="J39" s="319">
        <f t="shared" si="20"/>
        <v>-1.668053396272073E-2</v>
      </c>
      <c r="K39" s="8">
        <v>35</v>
      </c>
      <c r="L39" s="9">
        <v>141</v>
      </c>
      <c r="M39" s="306">
        <f t="shared" si="8"/>
        <v>1.3109413395589101E-4</v>
      </c>
      <c r="N39" s="288">
        <v>1.5774653305999999</v>
      </c>
      <c r="O39" s="290">
        <f t="shared" si="9"/>
        <v>2.0679645136045029E-4</v>
      </c>
      <c r="P39" s="307">
        <f t="shared" si="10"/>
        <v>1.072565168637593E-4</v>
      </c>
      <c r="Q39" s="307">
        <f t="shared" si="11"/>
        <v>9.1168039334195411E-5</v>
      </c>
      <c r="R39" s="288">
        <f t="shared" si="12"/>
        <v>0.24822695035460993</v>
      </c>
      <c r="S39" s="308">
        <f t="shared" si="13"/>
        <v>3.2985021763346587E-3</v>
      </c>
      <c r="T39" s="14">
        <f t="shared" si="14"/>
        <v>4.9477532645019883E-4</v>
      </c>
      <c r="U39" s="290">
        <f t="shared" si="15"/>
        <v>5.8594336578439421E-4</v>
      </c>
      <c r="V39" s="72">
        <v>207.9</v>
      </c>
      <c r="W39" s="18">
        <v>1483</v>
      </c>
      <c r="X39" s="70">
        <v>3099472.9192519165</v>
      </c>
      <c r="Y39" s="79">
        <f t="shared" si="21"/>
        <v>118952.26386774777</v>
      </c>
      <c r="Z39" s="33">
        <f t="shared" si="22"/>
        <v>6.2848104861172214E-5</v>
      </c>
      <c r="AA39" s="29">
        <f t="shared" si="23"/>
        <v>2.1792076055045584E-4</v>
      </c>
      <c r="AB39" s="29">
        <f t="shared" si="24"/>
        <v>4.8607777244359082E-4</v>
      </c>
      <c r="AC39" s="33">
        <f t="shared" si="16"/>
        <v>7.0399853299404663E-4</v>
      </c>
      <c r="AD39" s="33">
        <f t="shared" si="25"/>
        <v>5.8594336578439421E-4</v>
      </c>
      <c r="AE39" s="118">
        <f>IF('Datos Mun'!B39="AMM",W39,0)</f>
        <v>0</v>
      </c>
      <c r="AF39" s="33">
        <f t="shared" si="17"/>
        <v>0</v>
      </c>
      <c r="AG39" s="118">
        <f>IF('Datos Mun'!B39="AMM",0,W39)</f>
        <v>1483</v>
      </c>
      <c r="AH39" s="33">
        <f t="shared" si="18"/>
        <v>1.6750948523872079E-3</v>
      </c>
      <c r="AI39" s="118">
        <f t="shared" si="26"/>
        <v>0</v>
      </c>
      <c r="AJ39" s="33">
        <f t="shared" si="19"/>
        <v>0</v>
      </c>
      <c r="AK39" s="90">
        <f>IF('Datos Mun'!B39="AMM",'Art 14 F I'!F41,'Art 14 F I'!M41)</f>
        <v>2.266334099525126E-3</v>
      </c>
      <c r="AL39" s="35">
        <f>IF('Datos Mun'!D39="Zona de Crec",'Art 14 F I'!T41,0)</f>
        <v>0</v>
      </c>
    </row>
    <row r="40" spans="1:38">
      <c r="A40" s="17" t="s">
        <v>36</v>
      </c>
      <c r="B40" s="85" t="s">
        <v>91</v>
      </c>
      <c r="C40" s="85" t="s">
        <v>91</v>
      </c>
      <c r="D40" s="85" t="s">
        <v>92</v>
      </c>
      <c r="E40" s="318">
        <v>64774</v>
      </c>
      <c r="F40" s="18">
        <v>841795</v>
      </c>
      <c r="G40" s="266">
        <v>101056</v>
      </c>
      <c r="H40" s="266">
        <v>847487</v>
      </c>
      <c r="I40" s="14">
        <f t="shared" si="0"/>
        <v>0.11924194707411441</v>
      </c>
      <c r="J40" s="319">
        <f t="shared" si="20"/>
        <v>0.5601321517892982</v>
      </c>
      <c r="K40" s="8">
        <v>5295</v>
      </c>
      <c r="L40" s="9">
        <v>4705</v>
      </c>
      <c r="M40" s="306">
        <f t="shared" si="8"/>
        <v>4.3744531933508314E-3</v>
      </c>
      <c r="N40" s="288">
        <v>2.7540316573000001</v>
      </c>
      <c r="O40" s="290">
        <f t="shared" si="9"/>
        <v>1.2047382577865268E-2</v>
      </c>
      <c r="P40" s="307">
        <f t="shared" si="10"/>
        <v>6.2484645366312659E-3</v>
      </c>
      <c r="Q40" s="307">
        <f t="shared" si="11"/>
        <v>5.3111948561365757E-3</v>
      </c>
      <c r="R40" s="288">
        <f t="shared" si="12"/>
        <v>1.1253985122210415</v>
      </c>
      <c r="S40" s="308">
        <f t="shared" si="13"/>
        <v>1.4954578608413996E-2</v>
      </c>
      <c r="T40" s="14">
        <f t="shared" si="14"/>
        <v>2.2431867912620991E-3</v>
      </c>
      <c r="U40" s="290">
        <f t="shared" si="15"/>
        <v>7.5543816473986752E-3</v>
      </c>
      <c r="V40" s="72">
        <v>997.9</v>
      </c>
      <c r="W40" s="18">
        <v>7652</v>
      </c>
      <c r="X40" s="70">
        <v>4009447.7515494265</v>
      </c>
      <c r="Y40" s="79">
        <f t="shared" si="21"/>
        <v>12131.593958148955</v>
      </c>
      <c r="Z40" s="33">
        <f t="shared" si="22"/>
        <v>6.4096946491292108E-6</v>
      </c>
      <c r="AA40" s="29">
        <f t="shared" si="23"/>
        <v>1.1244299795900798E-3</v>
      </c>
      <c r="AB40" s="29">
        <f t="shared" si="24"/>
        <v>2.3331265470007663E-3</v>
      </c>
      <c r="AC40" s="33">
        <f t="shared" si="16"/>
        <v>3.4575565265908461E-3</v>
      </c>
      <c r="AD40" s="33">
        <f t="shared" si="25"/>
        <v>7.5543816473986752E-3</v>
      </c>
      <c r="AE40" s="118">
        <f>IF('Datos Mun'!B40="AMM",W40,0)</f>
        <v>0</v>
      </c>
      <c r="AF40" s="33">
        <f t="shared" si="17"/>
        <v>0</v>
      </c>
      <c r="AG40" s="118">
        <f>IF('Datos Mun'!B40="AMM",0,W40)</f>
        <v>7652</v>
      </c>
      <c r="AH40" s="33">
        <f t="shared" si="18"/>
        <v>8.6431731695663615E-3</v>
      </c>
      <c r="AI40" s="118">
        <f t="shared" si="26"/>
        <v>0</v>
      </c>
      <c r="AJ40" s="33">
        <f t="shared" si="19"/>
        <v>0</v>
      </c>
      <c r="AK40" s="90">
        <f>IF('Datos Mun'!B40="AMM",'Art 14 F I'!F42,'Art 14 F I'!M42)</f>
        <v>1.7649838510731763E-2</v>
      </c>
      <c r="AL40" s="35">
        <f>IF('Datos Mun'!D40="Zona de Crec",'Art 14 F I'!T42,0)</f>
        <v>0</v>
      </c>
    </row>
    <row r="41" spans="1:38">
      <c r="A41" s="17" t="s">
        <v>37</v>
      </c>
      <c r="B41" s="85" t="s">
        <v>91</v>
      </c>
      <c r="C41" s="85" t="s">
        <v>91</v>
      </c>
      <c r="D41" s="85" t="s">
        <v>92</v>
      </c>
      <c r="E41" s="318">
        <v>1105076</v>
      </c>
      <c r="F41" s="18">
        <v>4742394</v>
      </c>
      <c r="G41" s="266">
        <v>933845.6</v>
      </c>
      <c r="H41" s="266">
        <v>4772320</v>
      </c>
      <c r="I41" s="14">
        <f t="shared" si="0"/>
        <v>0.19567958561035304</v>
      </c>
      <c r="J41" s="319">
        <f t="shared" si="20"/>
        <v>-0.15494898088457268</v>
      </c>
      <c r="K41" s="8">
        <v>1618</v>
      </c>
      <c r="L41" s="9">
        <v>916</v>
      </c>
      <c r="M41" s="306">
        <f t="shared" si="8"/>
        <v>8.5164699789784515E-4</v>
      </c>
      <c r="N41" s="288">
        <v>2.0422796606000002</v>
      </c>
      <c r="O41" s="290">
        <f t="shared" si="9"/>
        <v>1.7393013418178203E-3</v>
      </c>
      <c r="P41" s="307">
        <f t="shared" si="10"/>
        <v>9.0210157124349997E-4</v>
      </c>
      <c r="Q41" s="307">
        <f t="shared" si="11"/>
        <v>7.6678633555697499E-4</v>
      </c>
      <c r="R41" s="288">
        <f t="shared" si="12"/>
        <v>1.7663755458515285</v>
      </c>
      <c r="S41" s="308">
        <f t="shared" si="13"/>
        <v>2.3472042716925653E-2</v>
      </c>
      <c r="T41" s="14">
        <f t="shared" si="14"/>
        <v>3.5208064075388477E-3</v>
      </c>
      <c r="U41" s="290">
        <f t="shared" si="15"/>
        <v>4.2875927430958225E-3</v>
      </c>
      <c r="V41" s="72">
        <v>3860</v>
      </c>
      <c r="W41" s="18">
        <v>6048</v>
      </c>
      <c r="X41" s="70">
        <v>3822980.5102342176</v>
      </c>
      <c r="Y41" s="79">
        <f t="shared" si="21"/>
        <v>183887.63241505451</v>
      </c>
      <c r="Z41" s="33">
        <f t="shared" si="22"/>
        <v>9.7156530098016511E-5</v>
      </c>
      <c r="AA41" s="29">
        <f t="shared" si="23"/>
        <v>8.8872876588614778E-4</v>
      </c>
      <c r="AB41" s="29">
        <f t="shared" si="24"/>
        <v>9.0248205946717678E-3</v>
      </c>
      <c r="AC41" s="33">
        <f t="shared" si="16"/>
        <v>9.9135493605579158E-3</v>
      </c>
      <c r="AD41" s="33">
        <f t="shared" si="25"/>
        <v>4.2875927430958225E-3</v>
      </c>
      <c r="AE41" s="118">
        <f>IF('Datos Mun'!B41="AMM",W41,0)</f>
        <v>0</v>
      </c>
      <c r="AF41" s="33">
        <f t="shared" si="17"/>
        <v>0</v>
      </c>
      <c r="AG41" s="118">
        <f>IF('Datos Mun'!B41="AMM",0,W41)</f>
        <v>6048</v>
      </c>
      <c r="AH41" s="33">
        <f t="shared" si="18"/>
        <v>6.8314050352244323E-3</v>
      </c>
      <c r="AI41" s="118">
        <f t="shared" si="26"/>
        <v>0</v>
      </c>
      <c r="AJ41" s="33">
        <f t="shared" si="19"/>
        <v>0</v>
      </c>
      <c r="AK41" s="90">
        <f>IF('Datos Mun'!B41="AMM",'Art 14 F I'!F43,'Art 14 F I'!M43)</f>
        <v>2.3046081283138679E-2</v>
      </c>
      <c r="AL41" s="35">
        <f>IF('Datos Mun'!D41="Zona de Crec",'Art 14 F I'!T43,0)</f>
        <v>0</v>
      </c>
    </row>
    <row r="42" spans="1:38">
      <c r="A42" s="17" t="s">
        <v>38</v>
      </c>
      <c r="B42" s="85" t="s">
        <v>91</v>
      </c>
      <c r="C42" s="85" t="s">
        <v>91</v>
      </c>
      <c r="D42" s="85" t="s">
        <v>92</v>
      </c>
      <c r="E42" s="318">
        <v>16891683.199999999</v>
      </c>
      <c r="F42" s="18">
        <v>59084249</v>
      </c>
      <c r="G42" s="266">
        <v>20840679</v>
      </c>
      <c r="H42" s="266">
        <v>62554222</v>
      </c>
      <c r="I42" s="14">
        <f t="shared" si="0"/>
        <v>0.33316182878911033</v>
      </c>
      <c r="J42" s="319">
        <f t="shared" si="20"/>
        <v>0.23378343965153223</v>
      </c>
      <c r="K42" s="8">
        <v>15090</v>
      </c>
      <c r="L42" s="9">
        <v>11157</v>
      </c>
      <c r="M42" s="306">
        <f t="shared" si="8"/>
        <v>1.037317200387146E-2</v>
      </c>
      <c r="N42" s="288">
        <v>1.7986407321</v>
      </c>
      <c r="O42" s="290">
        <f t="shared" si="9"/>
        <v>1.8657609687242588E-2</v>
      </c>
      <c r="P42" s="307">
        <f t="shared" si="10"/>
        <v>9.6769079686436638E-3</v>
      </c>
      <c r="Q42" s="307">
        <f t="shared" si="11"/>
        <v>8.2253717733471142E-3</v>
      </c>
      <c r="R42" s="288">
        <f t="shared" si="12"/>
        <v>1.352514116698037</v>
      </c>
      <c r="S42" s="308">
        <f t="shared" si="13"/>
        <v>1.7972547908591634E-2</v>
      </c>
      <c r="T42" s="14">
        <f t="shared" si="14"/>
        <v>2.695882186288745E-3</v>
      </c>
      <c r="U42" s="290">
        <f t="shared" si="15"/>
        <v>1.0921253959635859E-2</v>
      </c>
      <c r="V42" s="72">
        <v>1869</v>
      </c>
      <c r="W42" s="18">
        <v>67428</v>
      </c>
      <c r="X42" s="70">
        <v>17905596.968442116</v>
      </c>
      <c r="Y42" s="79">
        <f t="shared" si="21"/>
        <v>7351094.5561995888</v>
      </c>
      <c r="Z42" s="33">
        <f t="shared" si="22"/>
        <v>3.8839308012336995E-3</v>
      </c>
      <c r="AA42" s="29">
        <f t="shared" si="23"/>
        <v>9.9082677291949667E-3</v>
      </c>
      <c r="AB42" s="29">
        <f t="shared" si="24"/>
        <v>4.3697900755029877E-3</v>
      </c>
      <c r="AC42" s="33">
        <f t="shared" si="16"/>
        <v>1.4278057804697954E-2</v>
      </c>
      <c r="AD42" s="33">
        <f t="shared" si="25"/>
        <v>1.0921253959635859E-2</v>
      </c>
      <c r="AE42" s="118">
        <f>IF('Datos Mun'!B42="AMM",W42,0)</f>
        <v>0</v>
      </c>
      <c r="AF42" s="33">
        <f t="shared" si="17"/>
        <v>0</v>
      </c>
      <c r="AG42" s="118">
        <f>IF('Datos Mun'!B42="AMM",0,W42)</f>
        <v>67428</v>
      </c>
      <c r="AH42" s="33">
        <f t="shared" si="18"/>
        <v>7.616203351771049E-2</v>
      </c>
      <c r="AI42" s="118">
        <f t="shared" si="26"/>
        <v>0</v>
      </c>
      <c r="AJ42" s="33">
        <f t="shared" si="19"/>
        <v>0</v>
      </c>
      <c r="AK42" s="90">
        <f>IF('Datos Mun'!B42="AMM",'Art 14 F I'!F44,'Art 14 F I'!M44)</f>
        <v>5.277805727147581E-2</v>
      </c>
      <c r="AL42" s="35">
        <f>IF('Datos Mun'!D42="Zona de Crec",'Art 14 F I'!T44,0)</f>
        <v>0</v>
      </c>
    </row>
    <row r="43" spans="1:38">
      <c r="A43" s="17" t="s">
        <v>39</v>
      </c>
      <c r="B43" s="85" t="s">
        <v>93</v>
      </c>
      <c r="C43" s="85" t="s">
        <v>93</v>
      </c>
      <c r="D43" s="85" t="s">
        <v>92</v>
      </c>
      <c r="E43" s="318">
        <v>1205887491.6800001</v>
      </c>
      <c r="F43" s="18">
        <v>2540450510.1400013</v>
      </c>
      <c r="G43" s="266">
        <v>1376062053.8600001</v>
      </c>
      <c r="H43" s="266">
        <v>2616832733</v>
      </c>
      <c r="I43" s="14">
        <f t="shared" si="0"/>
        <v>0.52585021446229374</v>
      </c>
      <c r="J43" s="319">
        <f t="shared" si="20"/>
        <v>0.14111976727026071</v>
      </c>
      <c r="K43" s="8">
        <v>182930</v>
      </c>
      <c r="L43" s="9">
        <v>207064</v>
      </c>
      <c r="M43" s="306">
        <f t="shared" si="8"/>
        <v>0.19251684931519586</v>
      </c>
      <c r="N43" s="288">
        <v>1.9809358914999999</v>
      </c>
      <c r="O43" s="290">
        <f t="shared" si="9"/>
        <v>0.38136353652696864</v>
      </c>
      <c r="P43" s="307">
        <f t="shared" si="10"/>
        <v>0.19779703335156221</v>
      </c>
      <c r="Q43" s="307">
        <f t="shared" si="11"/>
        <v>0.16812747834882788</v>
      </c>
      <c r="R43" s="288">
        <f t="shared" si="12"/>
        <v>0.8834466638334042</v>
      </c>
      <c r="S43" s="308">
        <f t="shared" si="13"/>
        <v>1.1739461565986884E-2</v>
      </c>
      <c r="T43" s="14">
        <f t="shared" si="14"/>
        <v>1.7609192348980326E-3</v>
      </c>
      <c r="U43" s="290">
        <f t="shared" si="15"/>
        <v>0.16988839758372593</v>
      </c>
      <c r="V43" s="72">
        <v>324.39999999999998</v>
      </c>
      <c r="W43" s="18">
        <v>1142994</v>
      </c>
      <c r="X43" s="70">
        <v>72944316.912798315</v>
      </c>
      <c r="Y43" s="79">
        <f t="shared" si="21"/>
        <v>745358655.2918328</v>
      </c>
      <c r="Z43" s="33">
        <f t="shared" si="22"/>
        <v>0.39380821687467371</v>
      </c>
      <c r="AA43" s="29">
        <f t="shared" si="23"/>
        <v>0.16795827497276314</v>
      </c>
      <c r="AB43" s="29">
        <f t="shared" si="24"/>
        <v>7.584590157801869E-4</v>
      </c>
      <c r="AC43" s="33">
        <f t="shared" si="16"/>
        <v>0.16871673398854334</v>
      </c>
      <c r="AD43" s="33">
        <f t="shared" si="25"/>
        <v>0.16988839758372593</v>
      </c>
      <c r="AE43" s="118">
        <f>IF('Datos Mun'!B43="AMM",W43,0)</f>
        <v>1142994</v>
      </c>
      <c r="AF43" s="33">
        <f t="shared" si="17"/>
        <v>0.23330602910441653</v>
      </c>
      <c r="AG43" s="118">
        <f>IF('Datos Mun'!B43="AMM",0,W43)</f>
        <v>0</v>
      </c>
      <c r="AH43" s="33">
        <f t="shared" si="18"/>
        <v>0</v>
      </c>
      <c r="AI43" s="118">
        <f t="shared" si="26"/>
        <v>0</v>
      </c>
      <c r="AJ43" s="33">
        <f t="shared" si="19"/>
        <v>0</v>
      </c>
      <c r="AK43" s="90">
        <f>IF('Datos Mun'!B43="AMM",'Art 14 F I'!F45,'Art 14 F I'!M45)</f>
        <v>0.33365947786190425</v>
      </c>
      <c r="AL43" s="35">
        <f>IF('Datos Mun'!D43="Zona de Crec",'Art 14 F I'!T45,0)</f>
        <v>0</v>
      </c>
    </row>
    <row r="44" spans="1:38">
      <c r="A44" s="17" t="s">
        <v>40</v>
      </c>
      <c r="B44" s="85" t="s">
        <v>91</v>
      </c>
      <c r="C44" s="85" t="s">
        <v>91</v>
      </c>
      <c r="D44" s="85" t="s">
        <v>92</v>
      </c>
      <c r="E44" s="318">
        <v>451420</v>
      </c>
      <c r="F44" s="18">
        <v>1346236</v>
      </c>
      <c r="G44" s="266">
        <v>378540</v>
      </c>
      <c r="H44" s="266">
        <v>1399134</v>
      </c>
      <c r="I44" s="14">
        <f t="shared" si="0"/>
        <v>0.27055307068515239</v>
      </c>
      <c r="J44" s="319">
        <f t="shared" si="20"/>
        <v>-0.16144610340702673</v>
      </c>
      <c r="K44" s="8">
        <v>133</v>
      </c>
      <c r="L44" s="9">
        <v>63</v>
      </c>
      <c r="M44" s="306">
        <f t="shared" si="8"/>
        <v>5.8573974746249173E-5</v>
      </c>
      <c r="N44" s="288">
        <v>1.7977681072</v>
      </c>
      <c r="O44" s="290">
        <f t="shared" si="9"/>
        <v>1.0530242371074497E-4</v>
      </c>
      <c r="P44" s="307">
        <f t="shared" si="10"/>
        <v>5.4615884896592997E-5</v>
      </c>
      <c r="Q44" s="307">
        <f t="shared" si="11"/>
        <v>4.6423502162104046E-5</v>
      </c>
      <c r="R44" s="288">
        <f t="shared" si="12"/>
        <v>2.1111111111111112</v>
      </c>
      <c r="S44" s="308">
        <f t="shared" si="13"/>
        <v>2.8052975652065243E-2</v>
      </c>
      <c r="T44" s="14">
        <f t="shared" si="14"/>
        <v>4.2079463478097859E-3</v>
      </c>
      <c r="U44" s="290">
        <f t="shared" si="15"/>
        <v>4.2543698499718898E-3</v>
      </c>
      <c r="V44" s="72">
        <v>1171.2</v>
      </c>
      <c r="W44" s="18">
        <v>906</v>
      </c>
      <c r="X44" s="70">
        <v>3555590.977330958</v>
      </c>
      <c r="Y44" s="79">
        <f t="shared" si="21"/>
        <v>106439.38477354638</v>
      </c>
      <c r="Z44" s="33">
        <f t="shared" si="22"/>
        <v>5.6236959248156589E-5</v>
      </c>
      <c r="AA44" s="29">
        <f t="shared" si="23"/>
        <v>1.331329798103257E-4</v>
      </c>
      <c r="AB44" s="29">
        <f t="shared" si="24"/>
        <v>2.7383082591916001E-3</v>
      </c>
      <c r="AC44" s="33">
        <f t="shared" si="16"/>
        <v>2.8714412390019256E-3</v>
      </c>
      <c r="AD44" s="33">
        <f t="shared" si="25"/>
        <v>4.2543698499718898E-3</v>
      </c>
      <c r="AE44" s="118">
        <f>IF('Datos Mun'!B44="AMM",W44,0)</f>
        <v>0</v>
      </c>
      <c r="AF44" s="33">
        <f t="shared" si="17"/>
        <v>0</v>
      </c>
      <c r="AG44" s="118">
        <f>IF('Datos Mun'!B44="AMM",0,W44)</f>
        <v>906</v>
      </c>
      <c r="AH44" s="33">
        <f t="shared" si="18"/>
        <v>1.0233553177766759E-3</v>
      </c>
      <c r="AI44" s="118">
        <f t="shared" si="26"/>
        <v>0</v>
      </c>
      <c r="AJ44" s="33">
        <f t="shared" si="19"/>
        <v>0</v>
      </c>
      <c r="AK44" s="90">
        <f>IF('Datos Mun'!B44="AMM",'Art 14 F I'!F46,'Art 14 F I'!M46)</f>
        <v>1.1587970142937089E-2</v>
      </c>
      <c r="AL44" s="35">
        <f>IF('Datos Mun'!D44="Zona de Crec",'Art 14 F I'!T46,0)</f>
        <v>0</v>
      </c>
    </row>
    <row r="45" spans="1:38">
      <c r="A45" s="17" t="s">
        <v>41</v>
      </c>
      <c r="B45" s="85" t="s">
        <v>91</v>
      </c>
      <c r="C45" s="85" t="s">
        <v>91</v>
      </c>
      <c r="D45" s="85" t="s">
        <v>94</v>
      </c>
      <c r="E45" s="318">
        <v>17252658</v>
      </c>
      <c r="F45" s="18">
        <v>105243330.84</v>
      </c>
      <c r="G45" s="266">
        <v>21534368.5</v>
      </c>
      <c r="H45" s="266">
        <v>110604359</v>
      </c>
      <c r="I45" s="14">
        <f t="shared" si="0"/>
        <v>0.19469728584566906</v>
      </c>
      <c r="J45" s="319">
        <f t="shared" si="20"/>
        <v>0.24817686063214145</v>
      </c>
      <c r="K45" s="8">
        <v>19678</v>
      </c>
      <c r="L45" s="9">
        <v>32877</v>
      </c>
      <c r="M45" s="306">
        <f t="shared" si="8"/>
        <v>3.0567247106864034E-2</v>
      </c>
      <c r="N45" s="288">
        <v>1.8363293522999999</v>
      </c>
      <c r="O45" s="290">
        <f t="shared" si="9"/>
        <v>5.6131533081341681E-2</v>
      </c>
      <c r="P45" s="307">
        <f t="shared" si="10"/>
        <v>2.9113036925540778E-2</v>
      </c>
      <c r="Q45" s="307">
        <f t="shared" si="11"/>
        <v>2.474608138670966E-2</v>
      </c>
      <c r="R45" s="288">
        <f t="shared" si="12"/>
        <v>0.59853392949478357</v>
      </c>
      <c r="S45" s="308">
        <f t="shared" si="13"/>
        <v>7.953469461024678E-3</v>
      </c>
      <c r="T45" s="14">
        <f t="shared" si="14"/>
        <v>1.1930204191537017E-3</v>
      </c>
      <c r="U45" s="290">
        <f t="shared" si="15"/>
        <v>2.5939101805863361E-2</v>
      </c>
      <c r="V45" s="72">
        <v>322.8</v>
      </c>
      <c r="W45" s="18">
        <v>147624</v>
      </c>
      <c r="X45" s="70">
        <v>6379069.1452513868</v>
      </c>
      <c r="Y45" s="79">
        <f t="shared" si="21"/>
        <v>4406255.7027845606</v>
      </c>
      <c r="Z45" s="33">
        <f t="shared" si="22"/>
        <v>2.3280332080239325E-3</v>
      </c>
      <c r="AA45" s="29">
        <f t="shared" si="23"/>
        <v>2.1692740630816248E-2</v>
      </c>
      <c r="AB45" s="29">
        <f t="shared" si="24"/>
        <v>7.547181575026029E-4</v>
      </c>
      <c r="AC45" s="33">
        <f t="shared" si="16"/>
        <v>2.2447458788318851E-2</v>
      </c>
      <c r="AD45" s="33">
        <f t="shared" si="25"/>
        <v>2.5939101805863361E-2</v>
      </c>
      <c r="AE45" s="118">
        <f>IF('Datos Mun'!B45="AMM",W45,0)</f>
        <v>0</v>
      </c>
      <c r="AF45" s="33">
        <f t="shared" si="17"/>
        <v>0</v>
      </c>
      <c r="AG45" s="118">
        <f>IF('Datos Mun'!B45="AMM",0,W45)</f>
        <v>147624</v>
      </c>
      <c r="AH45" s="33">
        <f t="shared" si="18"/>
        <v>0.16674592210978367</v>
      </c>
      <c r="AI45" s="118">
        <f t="shared" si="26"/>
        <v>147624</v>
      </c>
      <c r="AJ45" s="33">
        <f t="shared" si="19"/>
        <v>4.9345971335855048E-2</v>
      </c>
      <c r="AK45" s="90">
        <f>IF('Datos Mun'!B45="AMM",'Art 14 F I'!F47,'Art 14 F I'!M47)</f>
        <v>8.4917404808342117E-2</v>
      </c>
      <c r="AL45" s="35">
        <f>IF('Datos Mun'!D45="Zona de Crec",'Art 14 F I'!T47,0)</f>
        <v>3.8845420643326752E-2</v>
      </c>
    </row>
    <row r="46" spans="1:38">
      <c r="A46" s="17" t="s">
        <v>42</v>
      </c>
      <c r="B46" s="85" t="s">
        <v>91</v>
      </c>
      <c r="C46" s="85" t="s">
        <v>91</v>
      </c>
      <c r="D46" s="85" t="s">
        <v>92</v>
      </c>
      <c r="E46" s="318">
        <v>1075933</v>
      </c>
      <c r="F46" s="18">
        <v>7778604</v>
      </c>
      <c r="G46" s="266">
        <v>1244367</v>
      </c>
      <c r="H46" s="266">
        <v>8051951</v>
      </c>
      <c r="I46" s="14">
        <f t="shared" si="0"/>
        <v>0.15454229664338495</v>
      </c>
      <c r="J46" s="319">
        <f t="shared" si="20"/>
        <v>0.15654692253142158</v>
      </c>
      <c r="K46" s="8">
        <v>1611</v>
      </c>
      <c r="L46" s="9">
        <v>1054</v>
      </c>
      <c r="M46" s="306">
        <f t="shared" si="8"/>
        <v>9.7995189496105769E-4</v>
      </c>
      <c r="N46" s="288">
        <v>2.1403267704000002</v>
      </c>
      <c r="O46" s="290">
        <f t="shared" si="9"/>
        <v>2.0974172744893608E-3</v>
      </c>
      <c r="P46" s="307">
        <f t="shared" si="10"/>
        <v>1.0878410620281658E-3</v>
      </c>
      <c r="Q46" s="307">
        <f t="shared" si="11"/>
        <v>9.2466490272394091E-4</v>
      </c>
      <c r="R46" s="288">
        <f t="shared" si="12"/>
        <v>1.5284629981024669</v>
      </c>
      <c r="S46" s="308">
        <f t="shared" si="13"/>
        <v>2.0310600917771596E-2</v>
      </c>
      <c r="T46" s="14">
        <f t="shared" si="14"/>
        <v>3.0465901376657395E-3</v>
      </c>
      <c r="U46" s="290">
        <f t="shared" si="15"/>
        <v>3.9712550403896802E-3</v>
      </c>
      <c r="V46" s="72">
        <v>1341</v>
      </c>
      <c r="W46" s="18">
        <v>5389</v>
      </c>
      <c r="X46" s="70">
        <v>2047968.1588161185</v>
      </c>
      <c r="Y46" s="79">
        <f t="shared" si="21"/>
        <v>199065.18324997649</v>
      </c>
      <c r="Z46" s="33">
        <f t="shared" si="22"/>
        <v>1.0517554777278292E-4</v>
      </c>
      <c r="AA46" s="29">
        <f t="shared" si="23"/>
        <v>7.9189142185192619E-4</v>
      </c>
      <c r="AB46" s="29">
        <f t="shared" si="24"/>
        <v>3.135306843900218E-3</v>
      </c>
      <c r="AC46" s="33">
        <f t="shared" si="16"/>
        <v>3.927198265752144E-3</v>
      </c>
      <c r="AD46" s="33">
        <f t="shared" si="25"/>
        <v>3.9712550403896802E-3</v>
      </c>
      <c r="AE46" s="118">
        <f>IF('Datos Mun'!B46="AMM",W46,0)</f>
        <v>0</v>
      </c>
      <c r="AF46" s="33">
        <f t="shared" si="17"/>
        <v>0</v>
      </c>
      <c r="AG46" s="118">
        <f>IF('Datos Mun'!B46="AMM",0,W46)</f>
        <v>5389</v>
      </c>
      <c r="AH46" s="33">
        <f t="shared" si="18"/>
        <v>6.0870439376363205E-3</v>
      </c>
      <c r="AI46" s="118">
        <f t="shared" si="26"/>
        <v>0</v>
      </c>
      <c r="AJ46" s="33">
        <f t="shared" si="19"/>
        <v>0</v>
      </c>
      <c r="AK46" s="90">
        <f>IF('Datos Mun'!B46="AMM",'Art 14 F I'!F48,'Art 14 F I'!M48)</f>
        <v>1.2981608655185037E-2</v>
      </c>
      <c r="AL46" s="35">
        <f>IF('Datos Mun'!D46="Zona de Crec",'Art 14 F I'!T48,0)</f>
        <v>0</v>
      </c>
    </row>
    <row r="47" spans="1:38">
      <c r="A47" s="17" t="s">
        <v>43</v>
      </c>
      <c r="B47" s="85" t="s">
        <v>91</v>
      </c>
      <c r="C47" s="85" t="s">
        <v>91</v>
      </c>
      <c r="D47" s="85" t="s">
        <v>92</v>
      </c>
      <c r="E47" s="318">
        <v>222448</v>
      </c>
      <c r="F47" s="18">
        <v>938475</v>
      </c>
      <c r="G47" s="266">
        <v>290271</v>
      </c>
      <c r="H47" s="266">
        <v>1112166</v>
      </c>
      <c r="I47" s="14">
        <f t="shared" si="0"/>
        <v>0.26099611029288794</v>
      </c>
      <c r="J47" s="319">
        <f t="shared" si="20"/>
        <v>0.30489372797238007</v>
      </c>
      <c r="K47" s="8">
        <v>1875</v>
      </c>
      <c r="L47" s="9">
        <v>790</v>
      </c>
      <c r="M47" s="306">
        <f t="shared" si="8"/>
        <v>7.3449904840534679E-4</v>
      </c>
      <c r="N47" s="288">
        <v>2.1956719391999999</v>
      </c>
      <c r="O47" s="290">
        <f t="shared" si="9"/>
        <v>1.6127189499527224E-3</v>
      </c>
      <c r="P47" s="307">
        <f t="shared" si="10"/>
        <v>8.3644867266416574E-4</v>
      </c>
      <c r="Q47" s="307">
        <f t="shared" si="11"/>
        <v>7.1098137176454088E-4</v>
      </c>
      <c r="R47" s="288">
        <f t="shared" si="12"/>
        <v>2.3734177215189876</v>
      </c>
      <c r="S47" s="308">
        <f t="shared" si="13"/>
        <v>3.1538571893977414E-2</v>
      </c>
      <c r="T47" s="14">
        <f t="shared" si="14"/>
        <v>4.7307857840966118E-3</v>
      </c>
      <c r="U47" s="290">
        <f t="shared" si="15"/>
        <v>5.4417671558611522E-3</v>
      </c>
      <c r="V47" s="72">
        <v>683.1</v>
      </c>
      <c r="W47" s="18">
        <v>2377</v>
      </c>
      <c r="X47" s="70">
        <v>2582856.5578415152</v>
      </c>
      <c r="Y47" s="79">
        <f t="shared" si="21"/>
        <v>89781.031397746337</v>
      </c>
      <c r="Z47" s="33">
        <f t="shared" si="22"/>
        <v>4.7435563581229667E-5</v>
      </c>
      <c r="AA47" s="29">
        <f t="shared" si="23"/>
        <v>3.4929038963481696E-4</v>
      </c>
      <c r="AB47" s="29">
        <f t="shared" si="24"/>
        <v>1.5971126808860842E-3</v>
      </c>
      <c r="AC47" s="33">
        <f t="shared" si="16"/>
        <v>1.9464030705209012E-3</v>
      </c>
      <c r="AD47" s="33">
        <f t="shared" si="25"/>
        <v>5.4417671558611522E-3</v>
      </c>
      <c r="AE47" s="118">
        <f>IF('Datos Mun'!B47="AMM",W47,0)</f>
        <v>0</v>
      </c>
      <c r="AF47" s="33">
        <f t="shared" si="17"/>
        <v>0</v>
      </c>
      <c r="AG47" s="118">
        <f>IF('Datos Mun'!B47="AMM",0,W47)</f>
        <v>2377</v>
      </c>
      <c r="AH47" s="33">
        <f t="shared" si="18"/>
        <v>2.6848957950939938E-3</v>
      </c>
      <c r="AI47" s="118">
        <f t="shared" si="26"/>
        <v>0</v>
      </c>
      <c r="AJ47" s="33">
        <f t="shared" si="19"/>
        <v>0</v>
      </c>
      <c r="AK47" s="90">
        <f>IF('Datos Mun'!B47="AMM",'Art 14 F I'!F49,'Art 14 F I'!M49)</f>
        <v>1.197980732918732E-2</v>
      </c>
      <c r="AL47" s="35">
        <f>IF('Datos Mun'!D47="Zona de Crec",'Art 14 F I'!T49,0)</f>
        <v>0</v>
      </c>
    </row>
    <row r="48" spans="1:38">
      <c r="A48" s="17" t="s">
        <v>44</v>
      </c>
      <c r="B48" s="85" t="s">
        <v>91</v>
      </c>
      <c r="C48" s="85" t="s">
        <v>91</v>
      </c>
      <c r="D48" s="85" t="s">
        <v>92</v>
      </c>
      <c r="E48" s="318">
        <v>7881801</v>
      </c>
      <c r="F48" s="18">
        <v>19310735</v>
      </c>
      <c r="G48" s="266">
        <v>7908079.6500000004</v>
      </c>
      <c r="H48" s="266">
        <v>18582885</v>
      </c>
      <c r="I48" s="14">
        <f t="shared" si="0"/>
        <v>0.42555715380039216</v>
      </c>
      <c r="J48" s="319">
        <f t="shared" si="20"/>
        <v>3.3340920431764736E-3</v>
      </c>
      <c r="K48" s="8">
        <v>9838</v>
      </c>
      <c r="L48" s="9">
        <v>7575</v>
      </c>
      <c r="M48" s="306">
        <f t="shared" si="8"/>
        <v>7.0428231540132936E-3</v>
      </c>
      <c r="N48" s="288">
        <v>1.6303971907999999</v>
      </c>
      <c r="O48" s="290">
        <f t="shared" si="9"/>
        <v>1.1482599085604469E-2</v>
      </c>
      <c r="P48" s="307">
        <f t="shared" si="10"/>
        <v>5.9555353796581761E-3</v>
      </c>
      <c r="Q48" s="307">
        <f t="shared" si="11"/>
        <v>5.0622050727094497E-3</v>
      </c>
      <c r="R48" s="288">
        <f t="shared" si="12"/>
        <v>1.2987458745874587</v>
      </c>
      <c r="S48" s="308">
        <f t="shared" si="13"/>
        <v>1.7258061978010494E-2</v>
      </c>
      <c r="T48" s="14">
        <f t="shared" si="14"/>
        <v>2.5887092967015741E-3</v>
      </c>
      <c r="U48" s="290">
        <f t="shared" si="15"/>
        <v>7.6509143694110243E-3</v>
      </c>
      <c r="V48" s="72">
        <v>1541.5</v>
      </c>
      <c r="W48" s="18">
        <v>34709</v>
      </c>
      <c r="X48" s="70">
        <v>4652120.7671424607</v>
      </c>
      <c r="Y48" s="79">
        <f t="shared" si="21"/>
        <v>3238495.2592816446</v>
      </c>
      <c r="Z48" s="33">
        <f t="shared" si="22"/>
        <v>1.7110501560023449E-3</v>
      </c>
      <c r="AA48" s="29">
        <f t="shared" si="23"/>
        <v>5.1003450289587131E-3</v>
      </c>
      <c r="AB48" s="29">
        <f t="shared" si="24"/>
        <v>3.6040831468099823E-3</v>
      </c>
      <c r="AC48" s="33">
        <f t="shared" si="16"/>
        <v>8.7044281757686949E-3</v>
      </c>
      <c r="AD48" s="33">
        <f t="shared" si="25"/>
        <v>7.6509143694110243E-3</v>
      </c>
      <c r="AE48" s="118">
        <f>IF('Datos Mun'!B48="AMM",W48,0)</f>
        <v>0</v>
      </c>
      <c r="AF48" s="33">
        <f t="shared" si="17"/>
        <v>0</v>
      </c>
      <c r="AG48" s="118">
        <f>IF('Datos Mun'!B48="AMM",0,W48)</f>
        <v>34709</v>
      </c>
      <c r="AH48" s="33">
        <f t="shared" si="18"/>
        <v>3.9204900358400269E-2</v>
      </c>
      <c r="AI48" s="118">
        <f t="shared" si="26"/>
        <v>0</v>
      </c>
      <c r="AJ48" s="33">
        <f t="shared" si="19"/>
        <v>0</v>
      </c>
      <c r="AK48" s="90">
        <f>IF('Datos Mun'!B48="AMM",'Art 14 F I'!F50,'Art 14 F I'!M50)</f>
        <v>3.1662253848277068E-2</v>
      </c>
      <c r="AL48" s="35">
        <f>IF('Datos Mun'!D48="Zona de Crec",'Art 14 F I'!T50,0)</f>
        <v>0</v>
      </c>
    </row>
    <row r="49" spans="1:38">
      <c r="A49" s="17" t="s">
        <v>45</v>
      </c>
      <c r="B49" s="85" t="s">
        <v>93</v>
      </c>
      <c r="C49" s="85" t="s">
        <v>91</v>
      </c>
      <c r="D49" s="85" t="s">
        <v>94</v>
      </c>
      <c r="E49" s="318">
        <v>19038713.890000001</v>
      </c>
      <c r="F49" s="18">
        <v>125378961.84</v>
      </c>
      <c r="G49" s="266">
        <v>23883804.280000001</v>
      </c>
      <c r="H49" s="266">
        <v>126915948</v>
      </c>
      <c r="I49" s="14">
        <f t="shared" si="0"/>
        <v>0.18818599755485418</v>
      </c>
      <c r="J49" s="319">
        <f t="shared" si="20"/>
        <v>0.25448622307123714</v>
      </c>
      <c r="K49" s="8">
        <v>13606</v>
      </c>
      <c r="L49" s="9">
        <v>22970</v>
      </c>
      <c r="M49" s="306">
        <f t="shared" si="8"/>
        <v>2.1356257141608628E-2</v>
      </c>
      <c r="N49" s="288">
        <v>1.9100372027999999</v>
      </c>
      <c r="O49" s="290">
        <f t="shared" si="9"/>
        <v>4.0791245653035664E-2</v>
      </c>
      <c r="P49" s="307">
        <f t="shared" si="10"/>
        <v>2.1156682808123412E-2</v>
      </c>
      <c r="Q49" s="307">
        <f t="shared" si="11"/>
        <v>1.7983180386904898E-2</v>
      </c>
      <c r="R49" s="288">
        <f t="shared" si="12"/>
        <v>0.59233783195472356</v>
      </c>
      <c r="S49" s="308">
        <f t="shared" si="13"/>
        <v>7.8711341578214088E-3</v>
      </c>
      <c r="T49" s="14">
        <f t="shared" si="14"/>
        <v>1.1806701236732112E-3</v>
      </c>
      <c r="U49" s="290">
        <f t="shared" si="15"/>
        <v>1.9163850510578111E-2</v>
      </c>
      <c r="V49" s="72">
        <v>1667.4</v>
      </c>
      <c r="W49" s="18">
        <v>86766</v>
      </c>
      <c r="X49" s="70">
        <v>2640599.7003082009</v>
      </c>
      <c r="Y49" s="79">
        <f t="shared" si="21"/>
        <v>4549695.5670545241</v>
      </c>
      <c r="Z49" s="33">
        <f t="shared" si="22"/>
        <v>2.4038192699095125E-3</v>
      </c>
      <c r="AA49" s="29">
        <f t="shared" si="23"/>
        <v>1.2749907424086885E-2</v>
      </c>
      <c r="AB49" s="29">
        <f t="shared" si="24"/>
        <v>3.8984419325273855E-3</v>
      </c>
      <c r="AC49" s="33">
        <f t="shared" si="16"/>
        <v>1.6648349356614269E-2</v>
      </c>
      <c r="AD49" s="33">
        <f t="shared" si="25"/>
        <v>1.9163850510578111E-2</v>
      </c>
      <c r="AE49" s="118">
        <f>IF('Datos Mun'!B49="AMM",W49,0)</f>
        <v>86766</v>
      </c>
      <c r="AF49" s="33">
        <f t="shared" si="17"/>
        <v>1.7710531220000984E-2</v>
      </c>
      <c r="AG49" s="118">
        <f>IF('Datos Mun'!B49="AMM",0,W49)</f>
        <v>0</v>
      </c>
      <c r="AH49" s="33">
        <f t="shared" si="18"/>
        <v>0</v>
      </c>
      <c r="AI49" s="118">
        <f t="shared" si="26"/>
        <v>86766</v>
      </c>
      <c r="AJ49" s="33">
        <f t="shared" si="19"/>
        <v>2.9003092647041127E-2</v>
      </c>
      <c r="AK49" s="90">
        <f>IF('Datos Mun'!B49="AMM",'Art 14 F I'!F51,'Art 14 F I'!M51)</f>
        <v>1.2034216437551473E-2</v>
      </c>
      <c r="AL49" s="35">
        <f>IF('Datos Mun'!D49="Zona de Crec",'Art 14 F I'!T51,0)</f>
        <v>2.9747672736495433E-2</v>
      </c>
    </row>
    <row r="50" spans="1:38">
      <c r="A50" s="17" t="s">
        <v>46</v>
      </c>
      <c r="B50" s="85" t="s">
        <v>93</v>
      </c>
      <c r="C50" s="85" t="s">
        <v>93</v>
      </c>
      <c r="D50" s="85" t="s">
        <v>92</v>
      </c>
      <c r="E50" s="318">
        <v>306694612.58999997</v>
      </c>
      <c r="F50" s="18">
        <v>658439418</v>
      </c>
      <c r="G50" s="266">
        <v>330884619.5</v>
      </c>
      <c r="H50" s="266">
        <v>649205075</v>
      </c>
      <c r="I50" s="14">
        <f t="shared" si="0"/>
        <v>0.50967657561826674</v>
      </c>
      <c r="J50" s="319">
        <f t="shared" si="20"/>
        <v>7.88732697510343E-2</v>
      </c>
      <c r="K50" s="8">
        <v>47668</v>
      </c>
      <c r="L50" s="9">
        <v>40796</v>
      </c>
      <c r="M50" s="306">
        <f t="shared" si="8"/>
        <v>3.7929902757904463E-2</v>
      </c>
      <c r="N50" s="288">
        <v>1.7340616191</v>
      </c>
      <c r="O50" s="290">
        <f t="shared" si="9"/>
        <v>6.5772788588677369E-2</v>
      </c>
      <c r="P50" s="307">
        <f t="shared" si="10"/>
        <v>3.4113545769418024E-2</v>
      </c>
      <c r="Q50" s="307">
        <f t="shared" si="11"/>
        <v>2.899651390400532E-2</v>
      </c>
      <c r="R50" s="288">
        <f t="shared" si="12"/>
        <v>1.1684478870477497</v>
      </c>
      <c r="S50" s="308">
        <f t="shared" si="13"/>
        <v>1.5526629533395704E-2</v>
      </c>
      <c r="T50" s="14">
        <f t="shared" si="14"/>
        <v>2.3289944300093554E-3</v>
      </c>
      <c r="U50" s="290">
        <f t="shared" si="15"/>
        <v>3.1325508334014679E-2</v>
      </c>
      <c r="V50" s="72">
        <v>60.1</v>
      </c>
      <c r="W50" s="18">
        <v>412199</v>
      </c>
      <c r="X50" s="70">
        <v>18802603.882779483</v>
      </c>
      <c r="Y50" s="79">
        <f t="shared" si="21"/>
        <v>166278974.84360477</v>
      </c>
      <c r="Z50" s="33">
        <f t="shared" si="22"/>
        <v>8.785304379576879E-2</v>
      </c>
      <c r="AA50" s="29">
        <f t="shared" si="23"/>
        <v>6.0570950490989442E-2</v>
      </c>
      <c r="AB50" s="29">
        <f t="shared" si="24"/>
        <v>1.4051598905175474E-4</v>
      </c>
      <c r="AC50" s="33">
        <f t="shared" si="16"/>
        <v>6.07114664800412E-2</v>
      </c>
      <c r="AD50" s="33">
        <f t="shared" si="25"/>
        <v>3.1325508334014679E-2</v>
      </c>
      <c r="AE50" s="118">
        <f>IF('Datos Mun'!B50="AMM",W50,0)</f>
        <v>412199</v>
      </c>
      <c r="AF50" s="33">
        <f t="shared" si="17"/>
        <v>8.4137372454108586E-2</v>
      </c>
      <c r="AG50" s="118">
        <f>IF('Datos Mun'!B50="AMM",0,W50)</f>
        <v>0</v>
      </c>
      <c r="AH50" s="33">
        <f t="shared" si="18"/>
        <v>0</v>
      </c>
      <c r="AI50" s="118">
        <f t="shared" si="26"/>
        <v>0</v>
      </c>
      <c r="AJ50" s="33">
        <f t="shared" si="19"/>
        <v>0</v>
      </c>
      <c r="AK50" s="90">
        <f>IF('Datos Mun'!B50="AMM",'Art 14 F I'!F52,'Art 14 F I'!M52)</f>
        <v>7.9322766633300998E-2</v>
      </c>
      <c r="AL50" s="35">
        <f>IF('Datos Mun'!D50="Zona de Crec",'Art 14 F I'!T52,0)</f>
        <v>0</v>
      </c>
    </row>
    <row r="51" spans="1:38">
      <c r="A51" s="17" t="s">
        <v>47</v>
      </c>
      <c r="B51" s="85" t="s">
        <v>93</v>
      </c>
      <c r="C51" s="85" t="s">
        <v>93</v>
      </c>
      <c r="D51" s="85" t="s">
        <v>92</v>
      </c>
      <c r="E51" s="318">
        <v>671271036.40999997</v>
      </c>
      <c r="F51" s="18">
        <v>1139151243</v>
      </c>
      <c r="G51" s="266">
        <v>722790593.91000009</v>
      </c>
      <c r="H51" s="266">
        <v>1187612062</v>
      </c>
      <c r="I51" s="14">
        <f t="shared" si="0"/>
        <v>0.60860833014173288</v>
      </c>
      <c r="J51" s="319">
        <f t="shared" si="20"/>
        <v>7.674926327155418E-2</v>
      </c>
      <c r="K51" s="8">
        <v>4761</v>
      </c>
      <c r="L51" s="9">
        <v>6438</v>
      </c>
      <c r="M51" s="306">
        <f t="shared" si="8"/>
        <v>5.9857023716881298E-3</v>
      </c>
      <c r="N51" s="288">
        <v>1.903799258</v>
      </c>
      <c r="O51" s="290">
        <f t="shared" si="9"/>
        <v>1.1395575733828702E-2</v>
      </c>
      <c r="P51" s="307">
        <f t="shared" si="10"/>
        <v>5.91040007131089E-3</v>
      </c>
      <c r="Q51" s="307">
        <f t="shared" si="11"/>
        <v>5.0238400606142566E-3</v>
      </c>
      <c r="R51" s="288">
        <f t="shared" si="12"/>
        <v>0.73951537744641194</v>
      </c>
      <c r="S51" s="308">
        <f t="shared" si="13"/>
        <v>9.8268664158151723E-3</v>
      </c>
      <c r="T51" s="14">
        <f t="shared" si="14"/>
        <v>1.4740299623722758E-3</v>
      </c>
      <c r="U51" s="290">
        <f t="shared" si="15"/>
        <v>6.4978700229865322E-3</v>
      </c>
      <c r="V51" s="72">
        <v>70.8</v>
      </c>
      <c r="W51" s="18">
        <v>132169</v>
      </c>
      <c r="X51" s="70">
        <v>37957810.446233124</v>
      </c>
      <c r="Y51" s="79">
        <f t="shared" si="21"/>
        <v>458610079.96527344</v>
      </c>
      <c r="Z51" s="33">
        <f t="shared" si="22"/>
        <v>0.2423053875468357</v>
      </c>
      <c r="AA51" s="29">
        <f t="shared" si="23"/>
        <v>1.9421691841667699E-2</v>
      </c>
      <c r="AB51" s="29">
        <f t="shared" si="24"/>
        <v>1.6553297878309876E-4</v>
      </c>
      <c r="AC51" s="33">
        <f t="shared" si="16"/>
        <v>1.9587224820450798E-2</v>
      </c>
      <c r="AD51" s="33">
        <f t="shared" si="25"/>
        <v>6.4978700229865322E-3</v>
      </c>
      <c r="AE51" s="118">
        <f>IF('Datos Mun'!B51="AMM",W51,0)</f>
        <v>132169</v>
      </c>
      <c r="AF51" s="33">
        <f t="shared" si="17"/>
        <v>2.6978115861239542E-2</v>
      </c>
      <c r="AG51" s="118">
        <f>IF('Datos Mun'!B51="AMM",0,W51)</f>
        <v>0</v>
      </c>
      <c r="AH51" s="33">
        <f t="shared" si="18"/>
        <v>0</v>
      </c>
      <c r="AI51" s="118">
        <f t="shared" si="26"/>
        <v>0</v>
      </c>
      <c r="AJ51" s="33">
        <f t="shared" si="19"/>
        <v>0</v>
      </c>
      <c r="AK51" s="90">
        <f>IF('Datos Mun'!B51="AMM",'Art 14 F I'!F53,'Art 14 F I'!M53)</f>
        <v>0.15130106060505571</v>
      </c>
      <c r="AL51" s="35">
        <f>IF('Datos Mun'!D51="Zona de Crec",'Art 14 F I'!T53,0)</f>
        <v>0</v>
      </c>
    </row>
    <row r="52" spans="1:38">
      <c r="A52" s="17" t="s">
        <v>48</v>
      </c>
      <c r="B52" s="85" t="s">
        <v>93</v>
      </c>
      <c r="C52" s="85" t="s">
        <v>93</v>
      </c>
      <c r="D52" s="85" t="s">
        <v>94</v>
      </c>
      <c r="E52" s="318">
        <v>112141719.38</v>
      </c>
      <c r="F52" s="18">
        <v>289861941.84000015</v>
      </c>
      <c r="G52" s="266">
        <v>126817695.59999999</v>
      </c>
      <c r="H52" s="266">
        <v>308328957</v>
      </c>
      <c r="I52" s="14">
        <f t="shared" si="0"/>
        <v>0.41130647226235062</v>
      </c>
      <c r="J52" s="319">
        <f t="shared" si="20"/>
        <v>0.13086990551901059</v>
      </c>
      <c r="K52" s="8">
        <v>43432</v>
      </c>
      <c r="L52" s="9">
        <v>47092</v>
      </c>
      <c r="M52" s="306">
        <f t="shared" si="8"/>
        <v>4.378358125000581E-2</v>
      </c>
      <c r="N52" s="288">
        <v>1.8493369051999999</v>
      </c>
      <c r="O52" s="290">
        <f t="shared" si="9"/>
        <v>8.0970592647458484E-2</v>
      </c>
      <c r="P52" s="307">
        <f t="shared" si="10"/>
        <v>4.1995999827981793E-2</v>
      </c>
      <c r="Q52" s="307">
        <f t="shared" si="11"/>
        <v>3.5696599853784525E-2</v>
      </c>
      <c r="R52" s="288">
        <f t="shared" si="12"/>
        <v>0.92227979274611394</v>
      </c>
      <c r="S52" s="308">
        <f t="shared" si="13"/>
        <v>1.2255485954351926E-2</v>
      </c>
      <c r="T52" s="14">
        <f t="shared" si="14"/>
        <v>1.8383228931527888E-3</v>
      </c>
      <c r="U52" s="290">
        <f t="shared" si="15"/>
        <v>3.7534922746937316E-2</v>
      </c>
      <c r="V52" s="72">
        <v>915.8</v>
      </c>
      <c r="W52" s="18">
        <v>306322</v>
      </c>
      <c r="X52" s="70">
        <v>9810871.836344054</v>
      </c>
      <c r="Y52" s="79">
        <f t="shared" si="21"/>
        <v>55484096.37775664</v>
      </c>
      <c r="Z52" s="33">
        <f t="shared" si="22"/>
        <v>2.9314871309667485E-2</v>
      </c>
      <c r="AA52" s="29">
        <f t="shared" si="23"/>
        <v>4.5012760089910141E-2</v>
      </c>
      <c r="AB52" s="29">
        <f t="shared" si="24"/>
        <v>2.1411737566322292E-3</v>
      </c>
      <c r="AC52" s="33">
        <f t="shared" si="16"/>
        <v>4.7153933846542373E-2</v>
      </c>
      <c r="AD52" s="33">
        <f t="shared" si="25"/>
        <v>3.7534922746937316E-2</v>
      </c>
      <c r="AE52" s="118">
        <f>IF('Datos Mun'!B52="AMM",W52,0)</f>
        <v>306322</v>
      </c>
      <c r="AF52" s="33">
        <f t="shared" si="17"/>
        <v>6.252593578559737E-2</v>
      </c>
      <c r="AG52" s="118">
        <f>IF('Datos Mun'!B52="AMM",0,W52)</f>
        <v>0</v>
      </c>
      <c r="AH52" s="33">
        <f t="shared" si="18"/>
        <v>0</v>
      </c>
      <c r="AI52" s="118">
        <f t="shared" si="26"/>
        <v>306322</v>
      </c>
      <c r="AJ52" s="33">
        <f t="shared" si="19"/>
        <v>0.10239362591138156</v>
      </c>
      <c r="AK52" s="90">
        <f>IF('Datos Mun'!B52="AMM",'Art 14 F I'!F54,'Art 14 F I'!M54)</f>
        <v>4.2460214271950424E-2</v>
      </c>
      <c r="AL52" s="35">
        <f>IF('Datos Mun'!D52="Zona de Crec",'Art 14 F I'!T54,0)</f>
        <v>0.10495843788733182</v>
      </c>
    </row>
    <row r="53" spans="1:38">
      <c r="A53" s="17" t="s">
        <v>49</v>
      </c>
      <c r="B53" s="85" t="s">
        <v>93</v>
      </c>
      <c r="C53" s="85" t="s">
        <v>91</v>
      </c>
      <c r="D53" s="85" t="s">
        <v>94</v>
      </c>
      <c r="E53" s="318">
        <v>85362095.170000002</v>
      </c>
      <c r="F53" s="18">
        <v>198838484.40000001</v>
      </c>
      <c r="G53" s="266">
        <v>94615002.859999999</v>
      </c>
      <c r="H53" s="266">
        <v>208470911</v>
      </c>
      <c r="I53" s="14">
        <f t="shared" si="0"/>
        <v>0.45385230201253352</v>
      </c>
      <c r="J53" s="319">
        <f t="shared" si="20"/>
        <v>0.10839597682756827</v>
      </c>
      <c r="K53" s="8">
        <v>7735</v>
      </c>
      <c r="L53" s="9">
        <v>5334</v>
      </c>
      <c r="M53" s="306">
        <f t="shared" si="8"/>
        <v>4.9592631951824303E-3</v>
      </c>
      <c r="N53" s="288">
        <v>2.0438860060000001</v>
      </c>
      <c r="O53" s="290">
        <f t="shared" si="9"/>
        <v>1.0136168644704216E-2</v>
      </c>
      <c r="P53" s="307">
        <f t="shared" si="10"/>
        <v>5.2571992218554417E-3</v>
      </c>
      <c r="Q53" s="307">
        <f t="shared" si="11"/>
        <v>4.4686193385771256E-3</v>
      </c>
      <c r="R53" s="288">
        <f t="shared" si="12"/>
        <v>1.4501312335958005</v>
      </c>
      <c r="S53" s="308">
        <f t="shared" si="13"/>
        <v>1.9269708720803205E-2</v>
      </c>
      <c r="T53" s="14">
        <f t="shared" si="14"/>
        <v>2.8904563081204805E-3</v>
      </c>
      <c r="U53" s="290">
        <f t="shared" si="15"/>
        <v>7.3590756466976066E-3</v>
      </c>
      <c r="V53" s="72">
        <v>739.2</v>
      </c>
      <c r="W53" s="18">
        <v>46784</v>
      </c>
      <c r="X53" s="70">
        <v>4869932.0790867042</v>
      </c>
      <c r="Y53" s="79">
        <f t="shared" si="21"/>
        <v>45021459.468526341</v>
      </c>
      <c r="Z53" s="33">
        <f t="shared" si="22"/>
        <v>2.3786965574920355E-2</v>
      </c>
      <c r="AA53" s="29">
        <f t="shared" si="23"/>
        <v>6.8747166969605712E-3</v>
      </c>
      <c r="AB53" s="29">
        <f t="shared" si="24"/>
        <v>1.7282765242438787E-3</v>
      </c>
      <c r="AC53" s="33">
        <f t="shared" si="16"/>
        <v>8.6029932212044503E-3</v>
      </c>
      <c r="AD53" s="33">
        <f t="shared" si="25"/>
        <v>7.3590756466976066E-3</v>
      </c>
      <c r="AE53" s="118">
        <f>IF('Datos Mun'!B53="AMM",W53,0)</f>
        <v>46784</v>
      </c>
      <c r="AF53" s="33">
        <f t="shared" si="17"/>
        <v>9.5494720581394323E-3</v>
      </c>
      <c r="AG53" s="118">
        <f>IF('Datos Mun'!B53="AMM",0,W53)</f>
        <v>0</v>
      </c>
      <c r="AH53" s="33">
        <f t="shared" si="18"/>
        <v>0</v>
      </c>
      <c r="AI53" s="118">
        <f t="shared" si="26"/>
        <v>46784</v>
      </c>
      <c r="AJ53" s="33">
        <f t="shared" si="19"/>
        <v>1.5638391609607127E-2</v>
      </c>
      <c r="AK53" s="90">
        <f>IF('Datos Mun'!B53="AMM",'Art 14 F I'!F55,'Art 14 F I'!M55)</f>
        <v>1.8823461780631101E-2</v>
      </c>
      <c r="AL53" s="35">
        <f>IF('Datos Mun'!D53="Zona de Crec",'Art 14 F I'!T55,0)</f>
        <v>4.6530173669709574E-2</v>
      </c>
    </row>
    <row r="54" spans="1:38">
      <c r="A54" s="17" t="s">
        <v>50</v>
      </c>
      <c r="B54" s="85" t="s">
        <v>91</v>
      </c>
      <c r="C54" s="85" t="s">
        <v>91</v>
      </c>
      <c r="D54" s="85" t="s">
        <v>92</v>
      </c>
      <c r="E54" s="318">
        <v>1456869</v>
      </c>
      <c r="F54" s="18">
        <v>4541705</v>
      </c>
      <c r="G54" s="266">
        <v>1178778</v>
      </c>
      <c r="H54" s="266">
        <v>4538835</v>
      </c>
      <c r="I54" s="14">
        <f t="shared" si="0"/>
        <v>0.25970937476246658</v>
      </c>
      <c r="J54" s="319">
        <f t="shared" si="20"/>
        <v>-0.19088263941370157</v>
      </c>
      <c r="K54" s="8">
        <v>549</v>
      </c>
      <c r="L54" s="9">
        <v>170</v>
      </c>
      <c r="M54" s="306">
        <f t="shared" si="8"/>
        <v>1.5805675725178347E-4</v>
      </c>
      <c r="N54" s="288">
        <v>2.1071899398</v>
      </c>
      <c r="O54" s="290">
        <f t="shared" si="9"/>
        <v>3.3305560879836883E-4</v>
      </c>
      <c r="P54" s="307">
        <f t="shared" si="10"/>
        <v>1.7274176750444833E-4</v>
      </c>
      <c r="Q54" s="307">
        <f t="shared" si="11"/>
        <v>1.4683050237878107E-4</v>
      </c>
      <c r="R54" s="288">
        <f t="shared" si="12"/>
        <v>3.2294117647058824</v>
      </c>
      <c r="S54" s="308">
        <f t="shared" si="13"/>
        <v>4.2913236129057078E-2</v>
      </c>
      <c r="T54" s="14">
        <f t="shared" si="14"/>
        <v>6.4369854193585619E-3</v>
      </c>
      <c r="U54" s="290">
        <f t="shared" si="15"/>
        <v>6.5838159217373425E-3</v>
      </c>
      <c r="V54" s="72">
        <v>1764.9</v>
      </c>
      <c r="W54" s="18">
        <v>1552</v>
      </c>
      <c r="X54" s="70">
        <v>2111646.2918677796</v>
      </c>
      <c r="Y54" s="79">
        <f t="shared" si="21"/>
        <v>305946.24117682676</v>
      </c>
      <c r="Z54" s="33">
        <f t="shared" si="22"/>
        <v>1.6164586382938219E-4</v>
      </c>
      <c r="AA54" s="29">
        <f t="shared" si="23"/>
        <v>2.2806002722475219E-4</v>
      </c>
      <c r="AB54" s="29">
        <f t="shared" si="24"/>
        <v>4.1264004838176696E-3</v>
      </c>
      <c r="AC54" s="33">
        <f t="shared" si="16"/>
        <v>4.354460511042422E-3</v>
      </c>
      <c r="AD54" s="33">
        <f t="shared" si="25"/>
        <v>6.5838159217373425E-3</v>
      </c>
      <c r="AE54" s="118">
        <f>IF('Datos Mun'!B54="AMM",W54,0)</f>
        <v>0</v>
      </c>
      <c r="AF54" s="33">
        <f t="shared" si="17"/>
        <v>0</v>
      </c>
      <c r="AG54" s="118">
        <f>IF('Datos Mun'!B54="AMM",0,W54)</f>
        <v>1552</v>
      </c>
      <c r="AH54" s="33">
        <f t="shared" si="18"/>
        <v>1.7530325090390738E-3</v>
      </c>
      <c r="AI54" s="118">
        <f t="shared" si="26"/>
        <v>0</v>
      </c>
      <c r="AJ54" s="33">
        <f t="shared" si="19"/>
        <v>0</v>
      </c>
      <c r="AK54" s="90">
        <f>IF('Datos Mun'!B54="AMM",'Art 14 F I'!F56,'Art 14 F I'!M56)</f>
        <v>1.8028955128339654E-2</v>
      </c>
      <c r="AL54" s="35">
        <f>IF('Datos Mun'!D54="Zona de Crec",'Art 14 F I'!T56,0)</f>
        <v>0</v>
      </c>
    </row>
    <row r="55" spans="1:38">
      <c r="A55" s="17" t="s">
        <v>51</v>
      </c>
      <c r="B55" s="85" t="s">
        <v>91</v>
      </c>
      <c r="C55" s="85" t="s">
        <v>91</v>
      </c>
      <c r="D55" s="85" t="s">
        <v>92</v>
      </c>
      <c r="E55" s="318">
        <v>668168</v>
      </c>
      <c r="F55" s="18">
        <v>3020813</v>
      </c>
      <c r="G55" s="266">
        <v>668727</v>
      </c>
      <c r="H55" s="266">
        <v>3120510</v>
      </c>
      <c r="I55" s="14">
        <f t="shared" si="0"/>
        <v>0.2143005470259669</v>
      </c>
      <c r="J55" s="319">
        <f t="shared" si="20"/>
        <v>8.3661594090109074E-4</v>
      </c>
      <c r="K55" s="309">
        <v>1377</v>
      </c>
      <c r="L55" s="310">
        <v>417</v>
      </c>
      <c r="M55" s="311">
        <f t="shared" si="8"/>
        <v>3.8770392808231595E-4</v>
      </c>
      <c r="N55" s="312">
        <v>1.7545098130000001</v>
      </c>
      <c r="O55" s="313">
        <f t="shared" si="9"/>
        <v>6.8023034635906966E-4</v>
      </c>
      <c r="P55" s="314">
        <f t="shared" si="10"/>
        <v>3.5280652610587192E-4</v>
      </c>
      <c r="Q55" s="314">
        <f t="shared" si="11"/>
        <v>2.9988554718999113E-4</v>
      </c>
      <c r="R55" s="312">
        <f t="shared" si="12"/>
        <v>3.3021582733812949</v>
      </c>
      <c r="S55" s="315">
        <f t="shared" si="13"/>
        <v>4.3879910041151653E-2</v>
      </c>
      <c r="T55" s="14">
        <f t="shared" si="14"/>
        <v>6.5819865061727476E-3</v>
      </c>
      <c r="U55" s="290">
        <f t="shared" si="15"/>
        <v>6.8818720533627385E-3</v>
      </c>
      <c r="V55" s="72">
        <v>879.3</v>
      </c>
      <c r="W55" s="18">
        <v>3573</v>
      </c>
      <c r="X55" s="70">
        <v>3547664.2987005333</v>
      </c>
      <c r="Y55" s="79">
        <f t="shared" si="21"/>
        <v>148038.22697035532</v>
      </c>
      <c r="Z55" s="33">
        <f t="shared" si="22"/>
        <v>7.8215594302930553E-5</v>
      </c>
      <c r="AA55" s="29">
        <f t="shared" si="23"/>
        <v>5.2503767865595327E-4</v>
      </c>
      <c r="AB55" s="29">
        <f t="shared" si="24"/>
        <v>2.0558354271748409E-3</v>
      </c>
      <c r="AC55" s="33">
        <f t="shared" si="16"/>
        <v>2.5808731058307942E-3</v>
      </c>
      <c r="AD55" s="33">
        <f t="shared" si="25"/>
        <v>6.8818720533627385E-3</v>
      </c>
      <c r="AE55" s="118">
        <f>IF('Datos Mun'!B55="AMM",W55,0)</f>
        <v>0</v>
      </c>
      <c r="AF55" s="33">
        <f t="shared" si="17"/>
        <v>0</v>
      </c>
      <c r="AG55" s="118">
        <f>IF('Datos Mun'!B55="AMM",0,W55)</f>
        <v>3573</v>
      </c>
      <c r="AH55" s="33">
        <f t="shared" si="18"/>
        <v>4.0358151770596724E-3</v>
      </c>
      <c r="AI55" s="118">
        <f t="shared" si="26"/>
        <v>0</v>
      </c>
      <c r="AJ55" s="33">
        <f t="shared" si="19"/>
        <v>0</v>
      </c>
      <c r="AK55" s="90">
        <f>IF('Datos Mun'!B55="AMM",'Art 14 F I'!F57,'Art 14 F I'!M57)</f>
        <v>1.5399604768658455E-2</v>
      </c>
      <c r="AL55" s="35">
        <f>IF('Datos Mun'!D55="Zona de Crec",'Art 14 F I'!T57,0)</f>
        <v>0</v>
      </c>
    </row>
    <row r="56" spans="1:38" ht="13.8" thickBot="1">
      <c r="A56" s="10" t="s">
        <v>52</v>
      </c>
      <c r="B56" s="86"/>
      <c r="C56" s="86"/>
      <c r="D56" s="86"/>
      <c r="E56" s="320">
        <f t="shared" ref="E56:K56" si="27">SUM(E5:E55)</f>
        <v>3390132264.2400002</v>
      </c>
      <c r="F56" s="19">
        <f t="shared" si="27"/>
        <v>8177497337.8300028</v>
      </c>
      <c r="G56" s="19">
        <f t="shared" si="27"/>
        <v>3783530876.1500006</v>
      </c>
      <c r="H56" s="19">
        <f t="shared" si="27"/>
        <v>8468114430</v>
      </c>
      <c r="I56" s="21">
        <f t="shared" si="27"/>
        <v>16.245173657148317</v>
      </c>
      <c r="J56" s="321">
        <f t="shared" si="27"/>
        <v>9.6396694021154801</v>
      </c>
      <c r="K56" s="11">
        <f t="shared" si="27"/>
        <v>964355</v>
      </c>
      <c r="L56" s="12">
        <f t="shared" ref="L56:T56" si="28">SUM(L5:L55)</f>
        <v>1075563</v>
      </c>
      <c r="M56" s="12">
        <f t="shared" si="28"/>
        <v>0.99999999999999989</v>
      </c>
      <c r="N56" s="289">
        <f t="shared" si="28"/>
        <v>98.366423307599987</v>
      </c>
      <c r="O56" s="291">
        <f t="shared" si="28"/>
        <v>1.9280548856824229</v>
      </c>
      <c r="P56" s="294">
        <f t="shared" si="28"/>
        <v>1</v>
      </c>
      <c r="Q56" s="294">
        <f t="shared" si="28"/>
        <v>0.85</v>
      </c>
      <c r="R56" s="289">
        <f t="shared" si="28"/>
        <v>75.254444922162563</v>
      </c>
      <c r="S56" s="292">
        <f t="shared" si="28"/>
        <v>1</v>
      </c>
      <c r="T56" s="21">
        <f t="shared" si="28"/>
        <v>0.15</v>
      </c>
      <c r="U56" s="21">
        <f t="shared" ref="U56:V56" si="29">SUM(U5:U55)</f>
        <v>0.99999999999999989</v>
      </c>
      <c r="V56" s="73">
        <f t="shared" si="29"/>
        <v>64156.400000000016</v>
      </c>
      <c r="W56" s="19">
        <f>SUM(W5:W55)</f>
        <v>5784442</v>
      </c>
      <c r="X56" s="224">
        <f t="shared" ref="X56:AC56" si="30">SUM(X5:X55)</f>
        <v>415851323.55687177</v>
      </c>
      <c r="Y56" s="80">
        <f t="shared" si="30"/>
        <v>1892694523.2558141</v>
      </c>
      <c r="Z56" s="34">
        <f t="shared" si="30"/>
        <v>1</v>
      </c>
      <c r="AA56" s="30">
        <f t="shared" si="30"/>
        <v>0.8500000000000002</v>
      </c>
      <c r="AB56" s="30">
        <f t="shared" si="30"/>
        <v>0.14999999999999997</v>
      </c>
      <c r="AC56" s="34">
        <f t="shared" si="30"/>
        <v>1.0000000000000002</v>
      </c>
      <c r="AD56" s="34">
        <f t="shared" ref="AD56:AJ56" si="31">SUM(AD5:AD55)</f>
        <v>0.99999999999999989</v>
      </c>
      <c r="AE56" s="119">
        <f t="shared" si="31"/>
        <v>4899119</v>
      </c>
      <c r="AF56" s="34">
        <f t="shared" si="31"/>
        <v>1</v>
      </c>
      <c r="AG56" s="119">
        <f t="shared" si="31"/>
        <v>885323</v>
      </c>
      <c r="AH56" s="34">
        <f t="shared" si="31"/>
        <v>0.99999999999999989</v>
      </c>
      <c r="AI56" s="119">
        <f t="shared" si="31"/>
        <v>2991612</v>
      </c>
      <c r="AJ56" s="34">
        <f t="shared" si="31"/>
        <v>1</v>
      </c>
      <c r="AK56" s="91">
        <f>SUM(AK5:AK55)</f>
        <v>1.9999999999999998</v>
      </c>
      <c r="AL56" s="36">
        <f>SUM(AL5:AL55)</f>
        <v>0.99999999999999989</v>
      </c>
    </row>
    <row r="57" spans="1:38" ht="13.8" thickTop="1"/>
    <row r="61" spans="1:38">
      <c r="AB61" s="87"/>
    </row>
  </sheetData>
  <mergeCells count="6">
    <mergeCell ref="AK3:AL3"/>
    <mergeCell ref="Y3:AJ3"/>
    <mergeCell ref="A2:W2"/>
    <mergeCell ref="E3:J3"/>
    <mergeCell ref="V3:W3"/>
    <mergeCell ref="K3:U3"/>
  </mergeCells>
  <pageMargins left="0.7" right="0.7" top="0.75" bottom="0.75" header="0.3" footer="0.3"/>
  <pageSetup scal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8</vt:i4>
      </vt:variant>
    </vt:vector>
  </HeadingPairs>
  <TitlesOfParts>
    <vt:vector size="18" baseType="lpstr">
      <vt:lpstr>Part. 2022 Mes</vt:lpstr>
      <vt:lpstr>Distribución Mes</vt:lpstr>
      <vt:lpstr>Descentralizados</vt:lpstr>
      <vt:lpstr>Ultracrecimiento</vt:lpstr>
      <vt:lpstr>Desarrollo</vt:lpstr>
      <vt:lpstr>Seguridad</vt:lpstr>
      <vt:lpstr>Participación 2022</vt:lpstr>
      <vt:lpstr>Distribución 2022</vt:lpstr>
      <vt:lpstr>Datos Mun</vt:lpstr>
      <vt:lpstr>Art 14 F I</vt:lpstr>
      <vt:lpstr>Desarrollo!Área_de_impresión</vt:lpstr>
      <vt:lpstr>'Distribución 2022'!Área_de_impresión</vt:lpstr>
      <vt:lpstr>'Distribución Mes'!Área_de_impresión</vt:lpstr>
      <vt:lpstr>'Part. 2022 Mes'!Área_de_impresión</vt:lpstr>
      <vt:lpstr>'Participación 2022'!Área_de_impresión</vt:lpstr>
      <vt:lpstr>Seguridad!Área_de_impresión</vt:lpstr>
      <vt:lpstr>Desarrollo!Títulos_a_imprimir</vt:lpstr>
      <vt:lpstr>Seguridad!Títulos_a_imprimir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Juan Luis Jimenez Herrera</cp:lastModifiedBy>
  <cp:lastPrinted>2021-01-27T21:03:18Z</cp:lastPrinted>
  <dcterms:created xsi:type="dcterms:W3CDTF">2009-12-17T23:31:03Z</dcterms:created>
  <dcterms:modified xsi:type="dcterms:W3CDTF">2022-06-27T18:39:36Z</dcterms:modified>
</cp:coreProperties>
</file>