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y Planeación Hacendaria\Participaciones y Aportaciones\APORTACIONES 2021\12.Diciembre\"/>
    </mc:Choice>
  </mc:AlternateContent>
  <bookViews>
    <workbookView xWindow="-120" yWindow="-120" windowWidth="29040" windowHeight="15840" tabRatio="908"/>
  </bookViews>
  <sheets>
    <sheet name="Distribución Mes" sheetId="114" r:id="rId1"/>
    <sheet name="Participación 2021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1" sheetId="103" r:id="rId7"/>
    <sheet name="Distribución 2021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0">#REF!</definedName>
    <definedName name="A_impresión_IM" localSheetId="6">#REF!</definedName>
    <definedName name="A_impresión_IM" localSheetId="1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2021'!$I$5:$N$59</definedName>
    <definedName name="_xlnm.Print_Area" localSheetId="0">'Distribución Mes'!$I$5:$N$59</definedName>
    <definedName name="_xlnm.Print_Area" localSheetId="6">'Participación 2021'!$A$1:$D$14</definedName>
    <definedName name="_xlnm.Print_Area" localSheetId="1">'Participación 2021 Mes'!$A$1:$D$15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0">#REF!</definedName>
    <definedName name="_xlnm.Database" localSheetId="6">#REF!</definedName>
    <definedName name="_xlnm.Database" localSheetId="1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0">'[1]deuda c sadm'!#REF!</definedName>
    <definedName name="cierre_2001" localSheetId="6">'[1]deuda c sadm'!#REF!</definedName>
    <definedName name="cierre_2001" localSheetId="1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0">'[1]deuda c sadm'!#REF!</definedName>
    <definedName name="deuda" localSheetId="6">'[1]deuda c sadm'!#REF!</definedName>
    <definedName name="deuda" localSheetId="1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0">'[1]deuda c sadm'!#REF!</definedName>
    <definedName name="Deuda_ingTot" localSheetId="6">'[1]deuda c sadm'!#REF!</definedName>
    <definedName name="Deuda_ingTot" localSheetId="1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0">#REF!</definedName>
    <definedName name="ENERO" localSheetId="6">#REF!</definedName>
    <definedName name="ENERO" localSheetId="1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0">#REF!</definedName>
    <definedName name="ENEROAJUSTE" localSheetId="6">#REF!</definedName>
    <definedName name="ENEROAJUSTE" localSheetId="1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0">#REF!</definedName>
    <definedName name="Estado1" localSheetId="6">#REF!</definedName>
    <definedName name="Estado1" localSheetId="1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0">#REF!</definedName>
    <definedName name="Fto_1" localSheetId="6">#REF!</definedName>
    <definedName name="Fto_1" localSheetId="1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6" hidden="1">{"'beneficiarios'!$A$1:$C$7"}</definedName>
    <definedName name="MUNICIPIOS" localSheetId="1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0">#REF!</definedName>
    <definedName name="Notas_Fto_1" localSheetId="6">#REF!</definedName>
    <definedName name="Notas_Fto_1" localSheetId="1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0">#REF!</definedName>
    <definedName name="t" localSheetId="6">#REF!</definedName>
    <definedName name="t" localSheetId="1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0">#REF!</definedName>
    <definedName name="TOT" localSheetId="6">#REF!</definedName>
    <definedName name="TOT" localSheetId="1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0">#REF!</definedName>
    <definedName name="TOTAL" localSheetId="6">#REF!</definedName>
    <definedName name="TOTAL" localSheetId="1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0">#REF!</definedName>
    <definedName name="UNO" localSheetId="6">#REF!</definedName>
    <definedName name="UNO" localSheetId="1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E3" i="111" l="1"/>
  <c r="G4" i="111" l="1"/>
  <c r="H4" i="111" s="1"/>
  <c r="G5" i="111"/>
  <c r="H5" i="111" s="1"/>
  <c r="G6" i="111"/>
  <c r="H6" i="111" s="1"/>
  <c r="G7" i="111"/>
  <c r="H7" i="111" s="1"/>
  <c r="G8" i="111"/>
  <c r="H8" i="111" s="1"/>
  <c r="G9" i="111"/>
  <c r="H9" i="111" s="1"/>
  <c r="G10" i="111"/>
  <c r="H10" i="111" s="1"/>
  <c r="G11" i="111"/>
  <c r="H11" i="111" s="1"/>
  <c r="G12" i="111"/>
  <c r="H12" i="111" s="1"/>
  <c r="G3" i="111"/>
  <c r="H3" i="111" s="1"/>
  <c r="Y57" i="91" l="1"/>
  <c r="D13" i="111" l="1"/>
  <c r="E13" i="111"/>
  <c r="AB5" i="91" l="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B13" i="111" l="1"/>
  <c r="G13" i="111" l="1"/>
  <c r="B45" i="103" l="1"/>
  <c r="E41" i="103"/>
  <c r="B5" i="104" l="1"/>
  <c r="D56" i="114"/>
  <c r="K57" i="114" s="1"/>
  <c r="D55" i="114"/>
  <c r="D52" i="114"/>
  <c r="K15" i="114" s="1"/>
  <c r="D51" i="114"/>
  <c r="K14" i="114" s="1"/>
  <c r="D49" i="114"/>
  <c r="K55" i="114" s="1"/>
  <c r="D48" i="114"/>
  <c r="K54" i="114" s="1"/>
  <c r="D47" i="114"/>
  <c r="K53" i="114" s="1"/>
  <c r="D45" i="114"/>
  <c r="K51" i="114" s="1"/>
  <c r="D44" i="114"/>
  <c r="K12" i="114" s="1"/>
  <c r="D43" i="114"/>
  <c r="K50" i="114" s="1"/>
  <c r="D42" i="114"/>
  <c r="K49" i="114" s="1"/>
  <c r="D41" i="114"/>
  <c r="K48" i="114" s="1"/>
  <c r="D40" i="114"/>
  <c r="K47" i="114" s="1"/>
  <c r="D39" i="114"/>
  <c r="K46" i="114" s="1"/>
  <c r="D38" i="114"/>
  <c r="K45" i="114" s="1"/>
  <c r="D37" i="114"/>
  <c r="K44" i="114" s="1"/>
  <c r="D35" i="114"/>
  <c r="K43" i="114" s="1"/>
  <c r="D34" i="114"/>
  <c r="K42" i="114" s="1"/>
  <c r="D33" i="114"/>
  <c r="K41" i="114" s="1"/>
  <c r="D32" i="114"/>
  <c r="K40" i="114" s="1"/>
  <c r="D31" i="114"/>
  <c r="K39" i="114" s="1"/>
  <c r="D30" i="114"/>
  <c r="K10" i="114" s="1"/>
  <c r="D28" i="114"/>
  <c r="K37" i="114" s="1"/>
  <c r="D27" i="114"/>
  <c r="K36" i="114" s="1"/>
  <c r="D26" i="114"/>
  <c r="K35" i="114" s="1"/>
  <c r="D24" i="114"/>
  <c r="K34" i="114" s="1"/>
  <c r="D22" i="114"/>
  <c r="K33" i="114" s="1"/>
  <c r="D21" i="114"/>
  <c r="K32" i="114" s="1"/>
  <c r="D20" i="114"/>
  <c r="K31" i="114" s="1"/>
  <c r="D19" i="114"/>
  <c r="K30" i="114" s="1"/>
  <c r="D17" i="114"/>
  <c r="K28" i="114" s="1"/>
  <c r="D16" i="114"/>
  <c r="K27" i="114" s="1"/>
  <c r="D13" i="114"/>
  <c r="K25" i="114" s="1"/>
  <c r="D12" i="114"/>
  <c r="K24" i="114" s="1"/>
  <c r="D10" i="114"/>
  <c r="K23" i="114" s="1"/>
  <c r="D9" i="114"/>
  <c r="K22" i="114" s="1"/>
  <c r="D8" i="114"/>
  <c r="K21" i="114" s="1"/>
  <c r="D7" i="114"/>
  <c r="K20" i="114" s="1"/>
  <c r="D6" i="114"/>
  <c r="K19" i="114" l="1"/>
  <c r="K56" i="114"/>
  <c r="C39" i="111" l="1"/>
  <c r="C41" i="111" s="1"/>
  <c r="C20" i="111"/>
  <c r="D4" i="104" s="1"/>
  <c r="H13" i="111"/>
  <c r="D5" i="104" l="1"/>
  <c r="D7" i="104"/>
  <c r="C17" i="103"/>
  <c r="B18" i="111" l="1"/>
  <c r="B20" i="111" s="1"/>
  <c r="B34" i="111"/>
  <c r="B36" i="111" s="1"/>
  <c r="B21" i="107" s="1"/>
  <c r="B29" i="111"/>
  <c r="B31" i="111" s="1"/>
  <c r="B39" i="111"/>
  <c r="B41" i="111" s="1"/>
  <c r="B44" i="111" s="1"/>
  <c r="B46" i="111" s="1"/>
  <c r="Q58" i="100"/>
  <c r="R58" i="100"/>
  <c r="U21" i="100"/>
  <c r="U22" i="100"/>
  <c r="U23" i="100"/>
  <c r="U24" i="100"/>
  <c r="U25" i="100"/>
  <c r="U26" i="100"/>
  <c r="U28" i="100"/>
  <c r="U29" i="100"/>
  <c r="U32" i="100"/>
  <c r="U36" i="100"/>
  <c r="U37" i="100"/>
  <c r="U39" i="100"/>
  <c r="U40" i="100"/>
  <c r="U41" i="100"/>
  <c r="U43" i="100"/>
  <c r="U44" i="100"/>
  <c r="U45" i="100"/>
  <c r="U46" i="100"/>
  <c r="U47" i="100"/>
  <c r="U49" i="100"/>
  <c r="U50" i="100"/>
  <c r="U51" i="100"/>
  <c r="U52" i="100"/>
  <c r="U53" i="100"/>
  <c r="U56" i="100"/>
  <c r="U57" i="100"/>
  <c r="U31" i="100"/>
  <c r="U35" i="100"/>
  <c r="U55" i="100"/>
  <c r="U27" i="100"/>
  <c r="U30" i="100"/>
  <c r="U33" i="100"/>
  <c r="U34" i="100"/>
  <c r="U38" i="100"/>
  <c r="U42" i="100"/>
  <c r="U54" i="100"/>
  <c r="U7" i="100"/>
  <c r="U9" i="100"/>
  <c r="U10" i="100"/>
  <c r="U12" i="100"/>
  <c r="U13" i="100"/>
  <c r="U14" i="100"/>
  <c r="U15" i="100"/>
  <c r="U16" i="100"/>
  <c r="U17" i="100"/>
  <c r="U8" i="100"/>
  <c r="U11" i="100"/>
  <c r="U48" i="100"/>
  <c r="B23" i="111" l="1"/>
  <c r="B25" i="111" s="1"/>
  <c r="B4" i="104"/>
  <c r="B27" i="105"/>
  <c r="B9" i="105"/>
  <c r="Q59" i="100"/>
  <c r="R59" i="100"/>
  <c r="U20" i="100"/>
  <c r="T58" i="100"/>
  <c r="T59" i="100" s="1"/>
  <c r="S58" i="100"/>
  <c r="U19" i="100"/>
  <c r="Q18" i="100"/>
  <c r="R18" i="100"/>
  <c r="T18" i="100"/>
  <c r="S18" i="100"/>
  <c r="U6" i="100"/>
  <c r="U18" i="100" s="1"/>
  <c r="D11" i="103"/>
  <c r="E11" i="103" s="1"/>
  <c r="D10" i="103"/>
  <c r="E10" i="103" s="1"/>
  <c r="D9" i="103"/>
  <c r="E9" i="103" s="1"/>
  <c r="D8" i="103"/>
  <c r="E8" i="103" s="1"/>
  <c r="D7" i="103"/>
  <c r="U58" i="100" l="1"/>
  <c r="S59" i="100"/>
  <c r="U59" i="100"/>
  <c r="B12" i="103"/>
  <c r="D11" i="110" l="1"/>
  <c r="D23" i="110"/>
  <c r="D25" i="110"/>
  <c r="D30" i="110"/>
  <c r="D36" i="110"/>
  <c r="D44" i="110"/>
  <c r="D51" i="110"/>
  <c r="D52" i="110"/>
  <c r="D53" i="110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B57" i="110" s="1"/>
  <c r="C40" i="103" l="1"/>
  <c r="K20" i="100" l="1"/>
  <c r="Y20" i="100" s="1"/>
  <c r="K21" i="100"/>
  <c r="Y21" i="100" s="1"/>
  <c r="K22" i="100"/>
  <c r="Y22" i="100" s="1"/>
  <c r="K23" i="100"/>
  <c r="Y23" i="100" s="1"/>
  <c r="K24" i="100"/>
  <c r="Y24" i="100" s="1"/>
  <c r="K25" i="100"/>
  <c r="Y25" i="100" s="1"/>
  <c r="K27" i="100"/>
  <c r="Y27" i="100" s="1"/>
  <c r="K28" i="100"/>
  <c r="Y28" i="100" s="1"/>
  <c r="K30" i="100"/>
  <c r="Y30" i="100" s="1"/>
  <c r="K31" i="100"/>
  <c r="Y31" i="100" s="1"/>
  <c r="K32" i="100"/>
  <c r="Y32" i="100" s="1"/>
  <c r="K33" i="100"/>
  <c r="Y33" i="100" s="1"/>
  <c r="K34" i="100"/>
  <c r="Y34" i="100" s="1"/>
  <c r="K35" i="100"/>
  <c r="Y35" i="100" s="1"/>
  <c r="K36" i="100"/>
  <c r="Y36" i="100" s="1"/>
  <c r="K37" i="100"/>
  <c r="Y37" i="100" s="1"/>
  <c r="K10" i="100"/>
  <c r="Y10" i="100" s="1"/>
  <c r="K39" i="100"/>
  <c r="Y39" i="100" s="1"/>
  <c r="K40" i="100"/>
  <c r="Y40" i="100" s="1"/>
  <c r="K41" i="100"/>
  <c r="Y41" i="100" s="1"/>
  <c r="K42" i="100"/>
  <c r="Y42" i="100" s="1"/>
  <c r="K43" i="100"/>
  <c r="Y43" i="100" s="1"/>
  <c r="K44" i="100"/>
  <c r="Y44" i="100" s="1"/>
  <c r="K45" i="100"/>
  <c r="Y45" i="100" s="1"/>
  <c r="K46" i="100"/>
  <c r="Y46" i="100" s="1"/>
  <c r="K47" i="100"/>
  <c r="Y47" i="100" s="1"/>
  <c r="K48" i="100"/>
  <c r="Y48" i="100" s="1"/>
  <c r="K49" i="100"/>
  <c r="Y49" i="100" s="1"/>
  <c r="K50" i="100"/>
  <c r="Y50" i="100" s="1"/>
  <c r="K12" i="100"/>
  <c r="Y12" i="100" s="1"/>
  <c r="K51" i="100"/>
  <c r="Y51" i="100" s="1"/>
  <c r="K53" i="100"/>
  <c r="Y53" i="100" s="1"/>
  <c r="K54" i="100"/>
  <c r="Y54" i="100" s="1"/>
  <c r="K55" i="100"/>
  <c r="Y55" i="100" s="1"/>
  <c r="K14" i="100"/>
  <c r="Y14" i="100" s="1"/>
  <c r="K15" i="100"/>
  <c r="Y15" i="100" s="1"/>
  <c r="K56" i="100"/>
  <c r="Y56" i="100" s="1"/>
  <c r="K57" i="100"/>
  <c r="Y57" i="100" s="1"/>
  <c r="K19" i="100"/>
  <c r="Y19" i="100" s="1"/>
  <c r="AQ6" i="91"/>
  <c r="AQ7" i="91"/>
  <c r="AQ8" i="91"/>
  <c r="AQ9" i="91"/>
  <c r="AQ11" i="91"/>
  <c r="AQ12" i="91"/>
  <c r="AQ15" i="91"/>
  <c r="AQ16" i="91"/>
  <c r="AQ18" i="91"/>
  <c r="AQ19" i="91"/>
  <c r="AQ20" i="91"/>
  <c r="AQ21" i="91"/>
  <c r="AQ23" i="91"/>
  <c r="AQ25" i="91"/>
  <c r="AQ26" i="91"/>
  <c r="AQ27" i="91"/>
  <c r="AQ29" i="91"/>
  <c r="AQ30" i="91"/>
  <c r="AQ31" i="91"/>
  <c r="AQ32" i="91"/>
  <c r="AQ33" i="91"/>
  <c r="AQ34" i="91"/>
  <c r="AQ36" i="91"/>
  <c r="AQ37" i="91"/>
  <c r="AQ38" i="91"/>
  <c r="AQ39" i="91"/>
  <c r="AQ40" i="91"/>
  <c r="AQ41" i="91"/>
  <c r="AQ42" i="91"/>
  <c r="AQ43" i="91"/>
  <c r="AQ44" i="91"/>
  <c r="AQ46" i="91"/>
  <c r="AQ47" i="91"/>
  <c r="AQ48" i="91"/>
  <c r="AQ50" i="91"/>
  <c r="AQ51" i="91"/>
  <c r="AQ54" i="91"/>
  <c r="AQ55" i="91"/>
  <c r="AQ5" i="91"/>
  <c r="B62" i="104" l="1"/>
  <c r="B46" i="104"/>
  <c r="B38" i="104"/>
  <c r="B30" i="104"/>
  <c r="B19" i="104"/>
  <c r="B17" i="104"/>
  <c r="B15" i="104"/>
  <c r="B66" i="104"/>
  <c r="AL6" i="91"/>
  <c r="AL7" i="91"/>
  <c r="AL8" i="91"/>
  <c r="AL9" i="91"/>
  <c r="AL10" i="91"/>
  <c r="AL11" i="91"/>
  <c r="AL12" i="91"/>
  <c r="AL13" i="91"/>
  <c r="AL14" i="91"/>
  <c r="AL15" i="91"/>
  <c r="AL16" i="91"/>
  <c r="AL17" i="91"/>
  <c r="AL18" i="91"/>
  <c r="AL19" i="91"/>
  <c r="AL20" i="91"/>
  <c r="AL21" i="91"/>
  <c r="AL22" i="91"/>
  <c r="AL23" i="91"/>
  <c r="AL24" i="91"/>
  <c r="AL25" i="91"/>
  <c r="AL26" i="91"/>
  <c r="AL27" i="91"/>
  <c r="AL28" i="91"/>
  <c r="AL29" i="91"/>
  <c r="AL30" i="91"/>
  <c r="AL31" i="91"/>
  <c r="AL32" i="91"/>
  <c r="AL33" i="91"/>
  <c r="AL34" i="91"/>
  <c r="AL35" i="91"/>
  <c r="AL36" i="91"/>
  <c r="AL37" i="91"/>
  <c r="AL38" i="91"/>
  <c r="AL39" i="91"/>
  <c r="AL40" i="91"/>
  <c r="AL41" i="91"/>
  <c r="AL42" i="91"/>
  <c r="AL43" i="91"/>
  <c r="AL44" i="91"/>
  <c r="AL45" i="91"/>
  <c r="AL46" i="91"/>
  <c r="AL47" i="91"/>
  <c r="AL48" i="91"/>
  <c r="AL49" i="91"/>
  <c r="AL50" i="91"/>
  <c r="AL51" i="91"/>
  <c r="AL52" i="91"/>
  <c r="AL53" i="91"/>
  <c r="AL54" i="91"/>
  <c r="AL55" i="91"/>
  <c r="AL5" i="91"/>
  <c r="AJ6" i="91"/>
  <c r="AJ7" i="91"/>
  <c r="AJ8" i="91"/>
  <c r="AJ9" i="91"/>
  <c r="AJ10" i="91"/>
  <c r="AJ11" i="91"/>
  <c r="AJ12" i="91"/>
  <c r="AJ13" i="91"/>
  <c r="AJ14" i="91"/>
  <c r="AJ15" i="91"/>
  <c r="AJ16" i="91"/>
  <c r="AJ17" i="91"/>
  <c r="AJ18" i="91"/>
  <c r="AJ19" i="91"/>
  <c r="AJ20" i="91"/>
  <c r="AJ21" i="91"/>
  <c r="AJ22" i="91"/>
  <c r="AJ23" i="91"/>
  <c r="AJ24" i="91"/>
  <c r="AJ25" i="91"/>
  <c r="AJ26" i="91"/>
  <c r="AJ27" i="91"/>
  <c r="AJ28" i="91"/>
  <c r="AJ29" i="91"/>
  <c r="AJ30" i="91"/>
  <c r="AJ31" i="91"/>
  <c r="AJ32" i="91"/>
  <c r="AJ33" i="91"/>
  <c r="AJ34" i="91"/>
  <c r="AJ35" i="91"/>
  <c r="AJ36" i="91"/>
  <c r="AJ37" i="91"/>
  <c r="AJ38" i="91"/>
  <c r="AJ39" i="91"/>
  <c r="AJ40" i="91"/>
  <c r="AJ41" i="91"/>
  <c r="AJ42" i="91"/>
  <c r="AJ43" i="91"/>
  <c r="AJ44" i="91"/>
  <c r="AJ45" i="91"/>
  <c r="AJ46" i="91"/>
  <c r="AJ47" i="91"/>
  <c r="AJ48" i="91"/>
  <c r="AJ49" i="91"/>
  <c r="AJ50" i="91"/>
  <c r="AJ51" i="91"/>
  <c r="AJ52" i="91"/>
  <c r="AJ53" i="91"/>
  <c r="AJ54" i="91"/>
  <c r="AJ55" i="91"/>
  <c r="AJ5" i="91"/>
  <c r="AN6" i="91"/>
  <c r="AN56" i="91" s="1"/>
  <c r="AN7" i="91"/>
  <c r="AN8" i="91"/>
  <c r="AN9" i="91"/>
  <c r="AN10" i="91"/>
  <c r="AN11" i="91"/>
  <c r="AO11" i="91" s="1"/>
  <c r="AN12" i="91"/>
  <c r="AN13" i="91"/>
  <c r="AN14" i="91"/>
  <c r="AN15" i="91"/>
  <c r="AN16" i="91"/>
  <c r="AN17" i="91"/>
  <c r="AN18" i="91"/>
  <c r="AN19" i="91"/>
  <c r="AN20" i="91"/>
  <c r="AN21" i="91"/>
  <c r="AN22" i="91"/>
  <c r="AN23" i="91"/>
  <c r="AN24" i="91"/>
  <c r="AN25" i="91"/>
  <c r="AN26" i="91"/>
  <c r="AN27" i="91"/>
  <c r="AN28" i="91"/>
  <c r="AN29" i="91"/>
  <c r="AN30" i="91"/>
  <c r="AN31" i="91"/>
  <c r="AO31" i="91" s="1"/>
  <c r="AN32" i="91"/>
  <c r="AN33" i="91"/>
  <c r="AN34" i="91"/>
  <c r="AN35" i="91"/>
  <c r="AO35" i="91" s="1"/>
  <c r="AN36" i="91"/>
  <c r="AN37" i="91"/>
  <c r="AN38" i="91"/>
  <c r="AO38" i="91" s="1"/>
  <c r="AN39" i="91"/>
  <c r="AN40" i="91"/>
  <c r="AN41" i="91"/>
  <c r="AN42" i="91"/>
  <c r="AN43" i="91"/>
  <c r="AO43" i="91" s="1"/>
  <c r="AN44" i="91"/>
  <c r="AN45" i="91"/>
  <c r="AN46" i="91"/>
  <c r="AO46" i="91" s="1"/>
  <c r="AN47" i="91"/>
  <c r="AN48" i="91"/>
  <c r="AN49" i="91"/>
  <c r="AN50" i="91"/>
  <c r="AN51" i="91"/>
  <c r="AN52" i="91"/>
  <c r="AN53" i="91"/>
  <c r="AN54" i="91"/>
  <c r="AN55" i="91"/>
  <c r="AO55" i="91" s="1"/>
  <c r="AN5" i="91"/>
  <c r="C19" i="103"/>
  <c r="AO19" i="91" l="1"/>
  <c r="AO30" i="91"/>
  <c r="AO37" i="91"/>
  <c r="AO23" i="91"/>
  <c r="AO47" i="91"/>
  <c r="AO22" i="91"/>
  <c r="AO27" i="91"/>
  <c r="AO7" i="91"/>
  <c r="AO54" i="91"/>
  <c r="AO51" i="91"/>
  <c r="AO39" i="91"/>
  <c r="AO15" i="91"/>
  <c r="AJ56" i="91"/>
  <c r="AK54" i="91" s="1"/>
  <c r="AL56" i="91"/>
  <c r="AM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O50" i="91"/>
  <c r="AO42" i="91"/>
  <c r="AO34" i="91"/>
  <c r="AO26" i="91"/>
  <c r="AO18" i="91"/>
  <c r="AO53" i="91"/>
  <c r="AO49" i="91"/>
  <c r="AO45" i="91"/>
  <c r="AO41" i="91"/>
  <c r="AO33" i="91"/>
  <c r="AO29" i="91"/>
  <c r="AO25" i="91"/>
  <c r="AO21" i="91"/>
  <c r="AO17" i="91"/>
  <c r="AO13" i="91"/>
  <c r="AO9" i="91"/>
  <c r="AO5" i="91"/>
  <c r="AO52" i="91"/>
  <c r="AO48" i="91"/>
  <c r="AO44" i="91"/>
  <c r="AO40" i="91"/>
  <c r="AO36" i="91"/>
  <c r="AO32" i="91"/>
  <c r="AO28" i="91"/>
  <c r="AO24" i="91"/>
  <c r="AO20" i="91"/>
  <c r="AO16" i="91"/>
  <c r="AO12" i="91"/>
  <c r="AO8" i="91"/>
  <c r="AO14" i="91"/>
  <c r="AO10" i="91"/>
  <c r="AO6" i="91"/>
  <c r="AM26" i="91" l="1"/>
  <c r="AM42" i="91"/>
  <c r="AM17" i="91"/>
  <c r="AM37" i="91"/>
  <c r="AM8" i="91"/>
  <c r="AM15" i="91"/>
  <c r="AM16" i="91"/>
  <c r="AM31" i="91"/>
  <c r="AM20" i="91"/>
  <c r="AM50" i="91"/>
  <c r="AM28" i="91"/>
  <c r="AM29" i="91"/>
  <c r="AM36" i="91"/>
  <c r="AM51" i="91"/>
  <c r="AM44" i="91"/>
  <c r="AM52" i="91"/>
  <c r="AK35" i="91"/>
  <c r="AK19" i="91"/>
  <c r="AK40" i="91"/>
  <c r="AK14" i="91"/>
  <c r="AM12" i="91"/>
  <c r="AM32" i="91"/>
  <c r="AM48" i="91"/>
  <c r="AM6" i="91"/>
  <c r="AM30" i="91"/>
  <c r="AM46" i="91"/>
  <c r="AM21" i="91"/>
  <c r="AM41" i="91"/>
  <c r="AK29" i="91"/>
  <c r="AK50" i="91"/>
  <c r="AM19" i="91"/>
  <c r="AM39" i="91"/>
  <c r="AK43" i="91"/>
  <c r="AK34" i="91"/>
  <c r="AK7" i="91"/>
  <c r="AK23" i="91"/>
  <c r="AK47" i="91"/>
  <c r="AK21" i="91"/>
  <c r="AM53" i="91"/>
  <c r="AK46" i="91"/>
  <c r="AK8" i="91"/>
  <c r="AK28" i="91"/>
  <c r="AK44" i="91"/>
  <c r="AK17" i="91"/>
  <c r="AM13" i="91"/>
  <c r="AK26" i="91"/>
  <c r="AK13" i="91"/>
  <c r="AK22" i="91"/>
  <c r="AK39" i="91"/>
  <c r="AK20" i="91"/>
  <c r="AK41" i="91"/>
  <c r="AM14" i="91"/>
  <c r="AM34" i="91"/>
  <c r="AM54" i="91"/>
  <c r="AM25" i="91"/>
  <c r="AM45" i="91"/>
  <c r="AK49" i="91"/>
  <c r="AM7" i="91"/>
  <c r="AM23" i="91"/>
  <c r="AM47" i="91"/>
  <c r="AK51" i="91"/>
  <c r="AM10" i="91"/>
  <c r="AK11" i="91"/>
  <c r="AK27" i="91"/>
  <c r="AK55" i="91"/>
  <c r="AK33" i="91"/>
  <c r="AK18" i="91"/>
  <c r="AM35" i="91"/>
  <c r="AK12" i="91"/>
  <c r="AK32" i="91"/>
  <c r="AK48" i="91"/>
  <c r="AK25" i="91"/>
  <c r="AM49" i="91"/>
  <c r="AK42" i="91"/>
  <c r="AK52" i="91"/>
  <c r="AK9" i="91"/>
  <c r="AK38" i="91"/>
  <c r="AM40" i="91"/>
  <c r="AK24" i="91"/>
  <c r="AM18" i="91"/>
  <c r="AM38" i="91"/>
  <c r="AM9" i="91"/>
  <c r="AM33" i="91"/>
  <c r="AM5" i="91"/>
  <c r="AK53" i="91"/>
  <c r="AM11" i="91"/>
  <c r="AM27" i="91"/>
  <c r="AM55" i="91"/>
  <c r="AK10" i="91"/>
  <c r="AM22" i="91"/>
  <c r="AK15" i="91"/>
  <c r="AK31" i="91"/>
  <c r="AM24" i="91"/>
  <c r="AK45" i="91"/>
  <c r="AK30" i="91"/>
  <c r="AK16" i="91"/>
  <c r="AK36" i="91"/>
  <c r="AK5" i="91"/>
  <c r="AK37" i="91"/>
  <c r="AK6" i="91"/>
  <c r="B68" i="104"/>
  <c r="B26" i="104"/>
  <c r="AO56" i="91"/>
  <c r="B69" i="104" l="1"/>
  <c r="AK56" i="91"/>
  <c r="AM56" i="91"/>
  <c r="E7" i="103" l="1"/>
  <c r="D6" i="103"/>
  <c r="E6" i="103" s="1"/>
  <c r="D5" i="103"/>
  <c r="E5" i="103" s="1"/>
  <c r="D4" i="103"/>
  <c r="E4" i="103" s="1"/>
  <c r="D3" i="103"/>
  <c r="E3" i="103" l="1"/>
  <c r="E12" i="103" s="1"/>
  <c r="D12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AB6" i="91"/>
  <c r="AB7" i="91"/>
  <c r="AB8" i="91"/>
  <c r="AB9" i="91"/>
  <c r="AB10" i="91"/>
  <c r="AB11" i="91"/>
  <c r="AB12" i="91"/>
  <c r="AB13" i="91"/>
  <c r="AB14" i="91"/>
  <c r="AB15" i="91"/>
  <c r="AB16" i="91"/>
  <c r="AB17" i="91"/>
  <c r="AB18" i="91"/>
  <c r="AB19" i="91"/>
  <c r="AB20" i="91"/>
  <c r="AB21" i="91"/>
  <c r="AB22" i="91"/>
  <c r="AB23" i="91"/>
  <c r="AB24" i="91"/>
  <c r="AB25" i="91"/>
  <c r="AB26" i="91"/>
  <c r="AB27" i="91"/>
  <c r="AB28" i="91"/>
  <c r="AB29" i="91"/>
  <c r="AB30" i="91"/>
  <c r="AB31" i="91"/>
  <c r="AB32" i="91"/>
  <c r="AB33" i="91"/>
  <c r="AB34" i="91"/>
  <c r="AB35" i="91"/>
  <c r="AB36" i="91"/>
  <c r="AB37" i="91"/>
  <c r="AB38" i="91"/>
  <c r="AB39" i="91"/>
  <c r="AB40" i="91"/>
  <c r="AB41" i="91"/>
  <c r="AB42" i="91"/>
  <c r="AB43" i="91"/>
  <c r="AB44" i="91"/>
  <c r="AB45" i="91"/>
  <c r="AB46" i="91"/>
  <c r="AB47" i="91"/>
  <c r="AB48" i="91"/>
  <c r="AB49" i="91"/>
  <c r="AB50" i="91"/>
  <c r="AB51" i="91"/>
  <c r="AB52" i="91"/>
  <c r="AB53" i="91"/>
  <c r="AB54" i="91"/>
  <c r="AB55" i="91"/>
  <c r="E56" i="91"/>
  <c r="F56" i="91"/>
  <c r="G56" i="91"/>
  <c r="AA56" i="91"/>
  <c r="Q5" i="98" l="1"/>
  <c r="B38" i="103"/>
  <c r="B40" i="103" s="1"/>
  <c r="D41" i="103" s="1"/>
  <c r="B33" i="103"/>
  <c r="B35" i="103" s="1"/>
  <c r="B23" i="107" s="1"/>
  <c r="B28" i="103"/>
  <c r="B30" i="103" s="1"/>
  <c r="B5" i="105" s="1"/>
  <c r="S41" i="98"/>
  <c r="S21" i="98"/>
  <c r="B17" i="103"/>
  <c r="B19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2" i="103" l="1"/>
  <c r="B24" i="103" s="1"/>
  <c r="B43" i="103"/>
  <c r="B60" i="110" s="1"/>
  <c r="B10" i="105"/>
  <c r="B28" i="105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Z56" i="91"/>
  <c r="B9" i="104" l="1"/>
  <c r="B8" i="104"/>
  <c r="B70" i="105"/>
  <c r="B29" i="105" s="1"/>
  <c r="B18" i="107"/>
  <c r="P56" i="91"/>
  <c r="Q56" i="91"/>
  <c r="R56" i="91"/>
  <c r="S56" i="91"/>
  <c r="K56" i="91"/>
  <c r="L56" i="91"/>
  <c r="M56" i="91"/>
  <c r="N56" i="91"/>
  <c r="I5" i="91"/>
  <c r="Y56" i="91"/>
  <c r="X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16" i="104" l="1"/>
  <c r="C21" i="104"/>
  <c r="C22" i="104"/>
  <c r="C17" i="104"/>
  <c r="C18" i="104"/>
  <c r="C15" i="104"/>
  <c r="C20" i="104"/>
  <c r="C14" i="104"/>
  <c r="C19" i="104"/>
  <c r="C23" i="104"/>
  <c r="C24" i="104"/>
  <c r="C25" i="104"/>
  <c r="C38" i="104"/>
  <c r="C61" i="104"/>
  <c r="C55" i="104"/>
  <c r="C36" i="104"/>
  <c r="C40" i="104"/>
  <c r="C58" i="104"/>
  <c r="C50" i="104"/>
  <c r="C41" i="104"/>
  <c r="C67" i="104"/>
  <c r="C48" i="104"/>
  <c r="C62" i="104"/>
  <c r="C53" i="104"/>
  <c r="C49" i="104"/>
  <c r="C60" i="104"/>
  <c r="C31" i="104"/>
  <c r="C44" i="104"/>
  <c r="C65" i="104"/>
  <c r="C33" i="104"/>
  <c r="C47" i="104"/>
  <c r="C43" i="104"/>
  <c r="C39" i="104"/>
  <c r="C37" i="104"/>
  <c r="C45" i="104"/>
  <c r="C51" i="104"/>
  <c r="C30" i="104"/>
  <c r="C57" i="104"/>
  <c r="C64" i="104"/>
  <c r="C63" i="104"/>
  <c r="C42" i="104"/>
  <c r="C34" i="104"/>
  <c r="C56" i="104"/>
  <c r="C54" i="104"/>
  <c r="C46" i="104"/>
  <c r="C66" i="104"/>
  <c r="C52" i="104"/>
  <c r="C32" i="104"/>
  <c r="C35" i="104"/>
  <c r="C59" i="104"/>
  <c r="C29" i="104"/>
  <c r="B24" i="107"/>
  <c r="B25" i="107"/>
  <c r="AD9" i="91"/>
  <c r="AD13" i="91"/>
  <c r="AD17" i="91"/>
  <c r="AD21" i="91"/>
  <c r="AD25" i="91"/>
  <c r="AD29" i="91"/>
  <c r="AD33" i="91"/>
  <c r="AD37" i="91"/>
  <c r="AD41" i="91"/>
  <c r="AD45" i="91"/>
  <c r="AD49" i="91"/>
  <c r="AD53" i="91"/>
  <c r="AD6" i="91"/>
  <c r="AD10" i="91"/>
  <c r="AD14" i="91"/>
  <c r="AD18" i="91"/>
  <c r="AD22" i="91"/>
  <c r="AD26" i="91"/>
  <c r="AD30" i="91"/>
  <c r="AD34" i="91"/>
  <c r="AD38" i="91"/>
  <c r="AD42" i="91"/>
  <c r="AD46" i="91"/>
  <c r="AD50" i="91"/>
  <c r="AD54" i="91"/>
  <c r="AD7" i="91"/>
  <c r="AD11" i="91"/>
  <c r="AD15" i="91"/>
  <c r="AD19" i="91"/>
  <c r="AF19" i="91" s="1"/>
  <c r="AD23" i="91"/>
  <c r="AD27" i="91"/>
  <c r="AD31" i="91"/>
  <c r="AD35" i="91"/>
  <c r="AD39" i="91"/>
  <c r="AD43" i="91"/>
  <c r="AD47" i="91"/>
  <c r="AD51" i="91"/>
  <c r="AD55" i="91"/>
  <c r="AD8" i="91"/>
  <c r="AD12" i="91"/>
  <c r="AD16" i="91"/>
  <c r="AD20" i="91"/>
  <c r="AD24" i="91"/>
  <c r="AD28" i="91"/>
  <c r="AD32" i="91"/>
  <c r="AD36" i="91"/>
  <c r="AD40" i="91"/>
  <c r="AD44" i="91"/>
  <c r="AD48" i="91"/>
  <c r="AD52" i="91"/>
  <c r="AD5" i="91"/>
  <c r="AE8" i="91"/>
  <c r="AE12" i="91"/>
  <c r="AE16" i="91"/>
  <c r="AE20" i="91"/>
  <c r="AE24" i="91"/>
  <c r="AE28" i="91"/>
  <c r="AE32" i="91"/>
  <c r="AE36" i="91"/>
  <c r="AE40" i="91"/>
  <c r="AE44" i="91"/>
  <c r="AE48" i="91"/>
  <c r="AE52" i="91"/>
  <c r="AE5" i="91"/>
  <c r="AE9" i="91"/>
  <c r="AE13" i="91"/>
  <c r="AE17" i="91"/>
  <c r="AE21" i="91"/>
  <c r="AE25" i="91"/>
  <c r="AE29" i="91"/>
  <c r="AE33" i="91"/>
  <c r="AE37" i="91"/>
  <c r="AE41" i="91"/>
  <c r="AE45" i="91"/>
  <c r="AE49" i="91"/>
  <c r="AE53" i="91"/>
  <c r="AE6" i="91"/>
  <c r="AE10" i="91"/>
  <c r="AE14" i="91"/>
  <c r="AE18" i="91"/>
  <c r="AE22" i="91"/>
  <c r="AE26" i="91"/>
  <c r="AE30" i="91"/>
  <c r="AE34" i="91"/>
  <c r="AE38" i="91"/>
  <c r="AE42" i="91"/>
  <c r="AE46" i="91"/>
  <c r="AE50" i="91"/>
  <c r="AE54" i="91"/>
  <c r="AE7" i="91"/>
  <c r="AE11" i="91"/>
  <c r="AE15" i="91"/>
  <c r="AE19" i="91"/>
  <c r="AE23" i="91"/>
  <c r="AE27" i="91"/>
  <c r="AE31" i="91"/>
  <c r="AE35" i="91"/>
  <c r="AE39" i="91"/>
  <c r="AE43" i="91"/>
  <c r="AE47" i="91"/>
  <c r="AE51" i="91"/>
  <c r="AE55" i="91"/>
  <c r="O34" i="91"/>
  <c r="O50" i="91"/>
  <c r="J56" i="91"/>
  <c r="O10" i="91"/>
  <c r="O18" i="91"/>
  <c r="O54" i="91"/>
  <c r="O38" i="91"/>
  <c r="O22" i="91"/>
  <c r="O6" i="91"/>
  <c r="O46" i="91"/>
  <c r="O30" i="91"/>
  <c r="O14" i="91"/>
  <c r="O42" i="91"/>
  <c r="O26" i="91"/>
  <c r="AF41" i="91"/>
  <c r="O7" i="91"/>
  <c r="O9" i="91"/>
  <c r="O11" i="91"/>
  <c r="O13" i="91"/>
  <c r="O15" i="91"/>
  <c r="O17" i="91"/>
  <c r="O19" i="91"/>
  <c r="O21" i="91"/>
  <c r="O23" i="91"/>
  <c r="O25" i="91"/>
  <c r="O27" i="91"/>
  <c r="O29" i="91"/>
  <c r="O31" i="91"/>
  <c r="O33" i="91"/>
  <c r="O35" i="91"/>
  <c r="O37" i="91"/>
  <c r="O39" i="91"/>
  <c r="O41" i="91"/>
  <c r="O43" i="91"/>
  <c r="O45" i="91"/>
  <c r="O47" i="91"/>
  <c r="O49" i="91"/>
  <c r="O51" i="91"/>
  <c r="O53" i="91"/>
  <c r="O55" i="91"/>
  <c r="O8" i="91"/>
  <c r="O12" i="91"/>
  <c r="O16" i="91"/>
  <c r="O20" i="91"/>
  <c r="O24" i="91"/>
  <c r="O28" i="91"/>
  <c r="O32" i="91"/>
  <c r="O36" i="91"/>
  <c r="O40" i="91"/>
  <c r="O44" i="91"/>
  <c r="O48" i="91"/>
  <c r="O52" i="91"/>
  <c r="O5" i="91"/>
  <c r="I56" i="91"/>
  <c r="T6" i="91"/>
  <c r="T7" i="91"/>
  <c r="T8" i="91"/>
  <c r="T9" i="91"/>
  <c r="T10" i="91"/>
  <c r="AG10" i="91" s="1"/>
  <c r="T11" i="91"/>
  <c r="T12" i="91"/>
  <c r="T13" i="91"/>
  <c r="AG13" i="91" s="1"/>
  <c r="T14" i="91"/>
  <c r="T15" i="91"/>
  <c r="T16" i="91"/>
  <c r="T17" i="91"/>
  <c r="T18" i="91"/>
  <c r="T19" i="91"/>
  <c r="T20" i="91"/>
  <c r="T21" i="91"/>
  <c r="T22" i="91"/>
  <c r="AG22" i="91" s="1"/>
  <c r="T23" i="91"/>
  <c r="T24" i="91"/>
  <c r="AG24" i="91" s="1"/>
  <c r="T25" i="91"/>
  <c r="T26" i="91"/>
  <c r="T27" i="91"/>
  <c r="T28" i="91"/>
  <c r="T29" i="91"/>
  <c r="AG29" i="91" s="1"/>
  <c r="T30" i="91"/>
  <c r="T31" i="91"/>
  <c r="T32" i="91"/>
  <c r="T33" i="91"/>
  <c r="T34" i="91"/>
  <c r="T35" i="91"/>
  <c r="AG35" i="91" s="1"/>
  <c r="T36" i="91"/>
  <c r="T37" i="91"/>
  <c r="T38" i="91"/>
  <c r="T39" i="91"/>
  <c r="T40" i="91"/>
  <c r="T41" i="91"/>
  <c r="T42" i="91"/>
  <c r="T43" i="91"/>
  <c r="AG43" i="91" s="1"/>
  <c r="T44" i="91"/>
  <c r="T45" i="91"/>
  <c r="T46" i="91"/>
  <c r="T47" i="91"/>
  <c r="T48" i="91"/>
  <c r="T49" i="91"/>
  <c r="AG49" i="91" s="1"/>
  <c r="T50" i="91"/>
  <c r="AG50" i="91" s="1"/>
  <c r="T51" i="91"/>
  <c r="AG51" i="91" s="1"/>
  <c r="T52" i="91"/>
  <c r="AG52" i="91" s="1"/>
  <c r="T53" i="91"/>
  <c r="AG53" i="91" s="1"/>
  <c r="T54" i="91"/>
  <c r="T55" i="91"/>
  <c r="T5" i="91"/>
  <c r="AB56" i="91"/>
  <c r="AC43" i="91" s="1"/>
  <c r="M22" i="100" l="1"/>
  <c r="AA22" i="100" s="1"/>
  <c r="M41" i="100"/>
  <c r="AA41" i="100" s="1"/>
  <c r="M43" i="100"/>
  <c r="AA43" i="100" s="1"/>
  <c r="M17" i="100"/>
  <c r="AA17" i="100" s="1"/>
  <c r="M21" i="100"/>
  <c r="AA21" i="100" s="1"/>
  <c r="M27" i="100"/>
  <c r="AA27" i="100" s="1"/>
  <c r="M38" i="100"/>
  <c r="AA38" i="100" s="1"/>
  <c r="M15" i="100"/>
  <c r="AA15" i="100" s="1"/>
  <c r="M42" i="100"/>
  <c r="AA42" i="100" s="1"/>
  <c r="M36" i="100"/>
  <c r="AA36" i="100" s="1"/>
  <c r="M57" i="100"/>
  <c r="AA57" i="100" s="1"/>
  <c r="M11" i="100"/>
  <c r="AA11" i="100" s="1"/>
  <c r="M35" i="100"/>
  <c r="AA35" i="100" s="1"/>
  <c r="M29" i="100"/>
  <c r="AA29" i="100" s="1"/>
  <c r="M44" i="100"/>
  <c r="AA44" i="100" s="1"/>
  <c r="M33" i="100"/>
  <c r="AA33" i="100" s="1"/>
  <c r="M31" i="100"/>
  <c r="AA31" i="100" s="1"/>
  <c r="M54" i="100"/>
  <c r="AA54" i="100" s="1"/>
  <c r="M46" i="100"/>
  <c r="AA46" i="100" s="1"/>
  <c r="M37" i="100"/>
  <c r="AA37" i="100" s="1"/>
  <c r="M40" i="100"/>
  <c r="AA40" i="100" s="1"/>
  <c r="M12" i="100"/>
  <c r="AA12" i="100" s="1"/>
  <c r="M56" i="100"/>
  <c r="AA56" i="100" s="1"/>
  <c r="M24" i="100"/>
  <c r="AA24" i="100" s="1"/>
  <c r="M23" i="100"/>
  <c r="AA23" i="100" s="1"/>
  <c r="M48" i="100"/>
  <c r="AA48" i="100" s="1"/>
  <c r="M7" i="100"/>
  <c r="AA7" i="100" s="1"/>
  <c r="M16" i="100"/>
  <c r="AA16" i="100" s="1"/>
  <c r="M32" i="100"/>
  <c r="AA32" i="100" s="1"/>
  <c r="M55" i="100"/>
  <c r="AA55" i="100" s="1"/>
  <c r="M30" i="100"/>
  <c r="AA30" i="100" s="1"/>
  <c r="M10" i="100"/>
  <c r="AA10" i="100" s="1"/>
  <c r="M52" i="100"/>
  <c r="AA52" i="100" s="1"/>
  <c r="M53" i="100"/>
  <c r="AA53" i="100" s="1"/>
  <c r="M34" i="100"/>
  <c r="AA34" i="100" s="1"/>
  <c r="M26" i="100"/>
  <c r="AA26" i="100" s="1"/>
  <c r="M9" i="100"/>
  <c r="AA9" i="100" s="1"/>
  <c r="M45" i="100"/>
  <c r="AA45" i="100" s="1"/>
  <c r="M14" i="100"/>
  <c r="AA14" i="100" s="1"/>
  <c r="M47" i="100"/>
  <c r="AA47" i="100" s="1"/>
  <c r="M50" i="100"/>
  <c r="AA50" i="100" s="1"/>
  <c r="M51" i="100"/>
  <c r="AA51" i="100" s="1"/>
  <c r="M13" i="100"/>
  <c r="AA13" i="100" s="1"/>
  <c r="M49" i="100"/>
  <c r="AA49" i="100" s="1"/>
  <c r="M25" i="100"/>
  <c r="AA25" i="100" s="1"/>
  <c r="M20" i="100"/>
  <c r="AA20" i="100" s="1"/>
  <c r="M39" i="100"/>
  <c r="AA39" i="100" s="1"/>
  <c r="M28" i="100"/>
  <c r="AA28" i="100" s="1"/>
  <c r="M8" i="100"/>
  <c r="AA8" i="100" s="1"/>
  <c r="C26" i="104"/>
  <c r="C68" i="104"/>
  <c r="AF37" i="91"/>
  <c r="C8" i="107"/>
  <c r="C12" i="107"/>
  <c r="C16" i="107"/>
  <c r="C9" i="107"/>
  <c r="C13" i="107"/>
  <c r="C17" i="107"/>
  <c r="C10" i="107"/>
  <c r="C14" i="107"/>
  <c r="C6" i="107"/>
  <c r="C7" i="107"/>
  <c r="C11" i="107"/>
  <c r="C15" i="107"/>
  <c r="J39" i="98"/>
  <c r="J21" i="98"/>
  <c r="AF10" i="91"/>
  <c r="Q12" i="98" s="1"/>
  <c r="J43" i="98"/>
  <c r="AF49" i="91"/>
  <c r="B45" i="98"/>
  <c r="AG45" i="91"/>
  <c r="AG33" i="91"/>
  <c r="AG25" i="91"/>
  <c r="AG54" i="91"/>
  <c r="AG46" i="91"/>
  <c r="AG42" i="91"/>
  <c r="AG38" i="91"/>
  <c r="AG34" i="91"/>
  <c r="AG30" i="91"/>
  <c r="AG26" i="91"/>
  <c r="AG18" i="91"/>
  <c r="AG14" i="91"/>
  <c r="AG6" i="91"/>
  <c r="AG37" i="91"/>
  <c r="AG21" i="91"/>
  <c r="AG5" i="91"/>
  <c r="AG48" i="91"/>
  <c r="AG44" i="91"/>
  <c r="AG40" i="91"/>
  <c r="AG36" i="91"/>
  <c r="AG32" i="91"/>
  <c r="AG28" i="91"/>
  <c r="AG20" i="91"/>
  <c r="AG16" i="91"/>
  <c r="AG12" i="91"/>
  <c r="AG8" i="91"/>
  <c r="AG41" i="91"/>
  <c r="AG17" i="91"/>
  <c r="AG9" i="91"/>
  <c r="AG55" i="91"/>
  <c r="AG47" i="91"/>
  <c r="AG39" i="91"/>
  <c r="AG31" i="91"/>
  <c r="AG27" i="91"/>
  <c r="AG23" i="91"/>
  <c r="AG19" i="91"/>
  <c r="AG15" i="91"/>
  <c r="AG11" i="91"/>
  <c r="AG7" i="91"/>
  <c r="AF44" i="91"/>
  <c r="AF12" i="91"/>
  <c r="AF16" i="91"/>
  <c r="AF30" i="91"/>
  <c r="AF40" i="91"/>
  <c r="AF47" i="91"/>
  <c r="AF23" i="91"/>
  <c r="AF25" i="91"/>
  <c r="AF9" i="91"/>
  <c r="AF31" i="91"/>
  <c r="AF51" i="91"/>
  <c r="AF17" i="91"/>
  <c r="AF48" i="91"/>
  <c r="AF53" i="91"/>
  <c r="AF45" i="91"/>
  <c r="AF29" i="91"/>
  <c r="AF21" i="91"/>
  <c r="AF13" i="91"/>
  <c r="AF8" i="91"/>
  <c r="AF24" i="91"/>
  <c r="AF18" i="91"/>
  <c r="AF39" i="91"/>
  <c r="AF54" i="91"/>
  <c r="AF38" i="91"/>
  <c r="AF22" i="91"/>
  <c r="AF50" i="91"/>
  <c r="AF34" i="91"/>
  <c r="AF33" i="91"/>
  <c r="AF42" i="91"/>
  <c r="AF26" i="91"/>
  <c r="AC28" i="91"/>
  <c r="AF32" i="91"/>
  <c r="AF6" i="91"/>
  <c r="AF55" i="91"/>
  <c r="AF15" i="91"/>
  <c r="AC16" i="91"/>
  <c r="AD56" i="91"/>
  <c r="AE56" i="91"/>
  <c r="AC40" i="91"/>
  <c r="AC8" i="91"/>
  <c r="AC48" i="91"/>
  <c r="AC30" i="91"/>
  <c r="AC13" i="91"/>
  <c r="AC29" i="91"/>
  <c r="AC45" i="91"/>
  <c r="AC18" i="91"/>
  <c r="AC15" i="91"/>
  <c r="AC47" i="91"/>
  <c r="AF43" i="91"/>
  <c r="AF27" i="91"/>
  <c r="AF11" i="91"/>
  <c r="AC12" i="91"/>
  <c r="AC24" i="91"/>
  <c r="AC32" i="91"/>
  <c r="AC44" i="91"/>
  <c r="AC5" i="91"/>
  <c r="AC50" i="91"/>
  <c r="AC21" i="91"/>
  <c r="AC37" i="91"/>
  <c r="AC53" i="91"/>
  <c r="AC46" i="91"/>
  <c r="AC31" i="91"/>
  <c r="AF52" i="91"/>
  <c r="AF46" i="91"/>
  <c r="AF36" i="91"/>
  <c r="AF28" i="91"/>
  <c r="AF20" i="91"/>
  <c r="AF14" i="91"/>
  <c r="AF5" i="91"/>
  <c r="O56" i="91"/>
  <c r="AF35" i="91"/>
  <c r="AF7" i="91"/>
  <c r="U42" i="91"/>
  <c r="V42" i="91" s="1"/>
  <c r="U30" i="91"/>
  <c r="V30" i="91" s="1"/>
  <c r="U18" i="91"/>
  <c r="V18" i="91" s="1"/>
  <c r="U6" i="91"/>
  <c r="V6" i="91" s="1"/>
  <c r="U53" i="91"/>
  <c r="V53" i="91" s="1"/>
  <c r="U49" i="91"/>
  <c r="V49" i="91" s="1"/>
  <c r="U45" i="91"/>
  <c r="V45" i="91" s="1"/>
  <c r="U41" i="91"/>
  <c r="V41" i="91" s="1"/>
  <c r="U37" i="91"/>
  <c r="V37" i="91" s="1"/>
  <c r="U33" i="91"/>
  <c r="V33" i="91" s="1"/>
  <c r="U29" i="91"/>
  <c r="V29" i="91" s="1"/>
  <c r="U25" i="91"/>
  <c r="V25" i="91" s="1"/>
  <c r="U21" i="91"/>
  <c r="V21" i="91" s="1"/>
  <c r="U17" i="91"/>
  <c r="V17" i="91" s="1"/>
  <c r="U13" i="91"/>
  <c r="V13" i="91" s="1"/>
  <c r="U9" i="91"/>
  <c r="V9" i="91" s="1"/>
  <c r="AC22" i="91"/>
  <c r="AC9" i="91"/>
  <c r="AC25" i="91"/>
  <c r="AC41" i="91"/>
  <c r="AC6" i="91"/>
  <c r="AC26" i="91"/>
  <c r="AC54" i="91"/>
  <c r="AC19" i="91"/>
  <c r="AC35" i="91"/>
  <c r="AC51" i="91"/>
  <c r="U50" i="91"/>
  <c r="V50" i="91" s="1"/>
  <c r="U38" i="91"/>
  <c r="V38" i="91" s="1"/>
  <c r="U26" i="91"/>
  <c r="V26" i="91" s="1"/>
  <c r="U14" i="91"/>
  <c r="V14" i="91" s="1"/>
  <c r="U5" i="91"/>
  <c r="T56" i="91"/>
  <c r="U52" i="91"/>
  <c r="V52" i="91" s="1"/>
  <c r="U48" i="91"/>
  <c r="V48" i="91" s="1"/>
  <c r="U44" i="91"/>
  <c r="V44" i="91" s="1"/>
  <c r="U40" i="91"/>
  <c r="V40" i="91" s="1"/>
  <c r="U36" i="91"/>
  <c r="V36" i="91" s="1"/>
  <c r="U32" i="91"/>
  <c r="V32" i="91" s="1"/>
  <c r="U28" i="91"/>
  <c r="V28" i="91" s="1"/>
  <c r="U24" i="91"/>
  <c r="V24" i="91" s="1"/>
  <c r="U20" i="91"/>
  <c r="V20" i="91" s="1"/>
  <c r="U16" i="91"/>
  <c r="V16" i="91" s="1"/>
  <c r="U12" i="91"/>
  <c r="V12" i="91" s="1"/>
  <c r="U8" i="91"/>
  <c r="V8" i="91" s="1"/>
  <c r="AC10" i="91"/>
  <c r="AC34" i="91"/>
  <c r="AC7" i="91"/>
  <c r="AC23" i="91"/>
  <c r="AC39" i="91"/>
  <c r="AC55" i="91"/>
  <c r="U54" i="91"/>
  <c r="V54" i="91" s="1"/>
  <c r="U46" i="91"/>
  <c r="V46" i="91" s="1"/>
  <c r="U34" i="91"/>
  <c r="V34" i="91" s="1"/>
  <c r="U22" i="91"/>
  <c r="V22" i="91" s="1"/>
  <c r="U10" i="91"/>
  <c r="V10" i="91" s="1"/>
  <c r="AC20" i="91"/>
  <c r="AC36" i="91"/>
  <c r="AC52" i="91"/>
  <c r="U55" i="91"/>
  <c r="V55" i="91" s="1"/>
  <c r="U51" i="91"/>
  <c r="V51" i="91" s="1"/>
  <c r="U47" i="91"/>
  <c r="V47" i="91" s="1"/>
  <c r="U43" i="91"/>
  <c r="V43" i="91" s="1"/>
  <c r="U39" i="91"/>
  <c r="V39" i="91" s="1"/>
  <c r="U35" i="91"/>
  <c r="V35" i="91" s="1"/>
  <c r="U31" i="91"/>
  <c r="V31" i="91" s="1"/>
  <c r="U27" i="91"/>
  <c r="V27" i="91" s="1"/>
  <c r="U23" i="91"/>
  <c r="V23" i="91" s="1"/>
  <c r="U19" i="91"/>
  <c r="V19" i="91" s="1"/>
  <c r="U15" i="91"/>
  <c r="V15" i="91" s="1"/>
  <c r="U11" i="91"/>
  <c r="V11" i="91" s="1"/>
  <c r="U7" i="91"/>
  <c r="V7" i="91" s="1"/>
  <c r="AC42" i="91"/>
  <c r="AC17" i="91"/>
  <c r="AC33" i="91"/>
  <c r="AC49" i="91"/>
  <c r="AC14" i="91"/>
  <c r="AC38" i="91"/>
  <c r="AC11" i="91"/>
  <c r="AC27" i="91"/>
  <c r="C69" i="104" l="1"/>
  <c r="M19" i="100"/>
  <c r="M6" i="100"/>
  <c r="C18" i="107"/>
  <c r="C12" i="98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F56" i="91"/>
  <c r="AG56" i="91"/>
  <c r="V5" i="91"/>
  <c r="U56" i="91"/>
  <c r="AC56" i="91"/>
  <c r="AA6" i="100" l="1"/>
  <c r="AA18" i="100" s="1"/>
  <c r="M18" i="100"/>
  <c r="AA19" i="100"/>
  <c r="AA58" i="100" s="1"/>
  <c r="AA59" i="100" s="1"/>
  <c r="M58" i="100"/>
  <c r="M59" i="100" s="1"/>
  <c r="Q58" i="98"/>
  <c r="P58" i="98"/>
  <c r="I58" i="98"/>
  <c r="C58" i="98"/>
  <c r="B58" i="98"/>
  <c r="V56" i="91"/>
  <c r="W5" i="91" s="1"/>
  <c r="AH5" i="91" l="1"/>
  <c r="W8" i="91"/>
  <c r="W41" i="91"/>
  <c r="W20" i="91"/>
  <c r="W9" i="91"/>
  <c r="W26" i="91"/>
  <c r="W27" i="91"/>
  <c r="W38" i="91"/>
  <c r="W39" i="91"/>
  <c r="W40" i="91"/>
  <c r="W17" i="91"/>
  <c r="W49" i="91"/>
  <c r="AH49" i="91" s="1"/>
  <c r="W51" i="91"/>
  <c r="AH51" i="91" s="1"/>
  <c r="W36" i="91"/>
  <c r="W37" i="91"/>
  <c r="W54" i="91"/>
  <c r="W46" i="91"/>
  <c r="W12" i="91"/>
  <c r="W50" i="91"/>
  <c r="AH50" i="91" s="1"/>
  <c r="W13" i="91"/>
  <c r="AH13" i="91" s="1"/>
  <c r="W30" i="91"/>
  <c r="W43" i="91"/>
  <c r="AH43" i="91" s="1"/>
  <c r="W28" i="91"/>
  <c r="W29" i="91"/>
  <c r="AH29" i="91" s="1"/>
  <c r="W15" i="91"/>
  <c r="W47" i="91"/>
  <c r="W16" i="91"/>
  <c r="W48" i="91"/>
  <c r="W25" i="91"/>
  <c r="W18" i="91"/>
  <c r="W52" i="91"/>
  <c r="AH52" i="91" s="1"/>
  <c r="W53" i="91"/>
  <c r="AH53" i="91" s="1"/>
  <c r="W11" i="91"/>
  <c r="W6" i="91"/>
  <c r="W10" i="91"/>
  <c r="AH10" i="91" s="1"/>
  <c r="W44" i="91"/>
  <c r="W45" i="91"/>
  <c r="W34" i="91"/>
  <c r="W23" i="91"/>
  <c r="W55" i="91"/>
  <c r="W24" i="91"/>
  <c r="AH24" i="91" s="1"/>
  <c r="W33" i="91"/>
  <c r="W42" i="91"/>
  <c r="W19" i="91"/>
  <c r="W14" i="91"/>
  <c r="W31" i="91"/>
  <c r="W32" i="91"/>
  <c r="W35" i="91"/>
  <c r="AH35" i="91" s="1"/>
  <c r="W21" i="91"/>
  <c r="W7" i="91"/>
  <c r="W22" i="91"/>
  <c r="AH22" i="91" s="1"/>
  <c r="AH55" i="91" l="1"/>
  <c r="AH44" i="91"/>
  <c r="AH32" i="91"/>
  <c r="AI32" i="91" s="1"/>
  <c r="K34" i="98" s="1"/>
  <c r="AH42" i="91"/>
  <c r="AI42" i="91" s="1"/>
  <c r="K44" i="98" s="1"/>
  <c r="AH21" i="91"/>
  <c r="AI21" i="91" s="1"/>
  <c r="K23" i="98" s="1"/>
  <c r="AH14" i="91"/>
  <c r="AI14" i="91" s="1"/>
  <c r="K16" i="98" s="1"/>
  <c r="AH45" i="91"/>
  <c r="AI45" i="91" s="1"/>
  <c r="K47" i="98" s="1"/>
  <c r="AH11" i="91"/>
  <c r="AI11" i="91" s="1"/>
  <c r="K13" i="98" s="1"/>
  <c r="AH25" i="91"/>
  <c r="AI25" i="91" s="1"/>
  <c r="K27" i="98" s="1"/>
  <c r="AH15" i="91"/>
  <c r="AI15" i="91" s="1"/>
  <c r="K17" i="98" s="1"/>
  <c r="AH30" i="91"/>
  <c r="AI30" i="91" s="1"/>
  <c r="K32" i="98" s="1"/>
  <c r="AH46" i="91"/>
  <c r="AI46" i="91" s="1"/>
  <c r="K48" i="98" s="1"/>
  <c r="AH39" i="91"/>
  <c r="AH9" i="91"/>
  <c r="AI9" i="91" s="1"/>
  <c r="K11" i="98" s="1"/>
  <c r="AH19" i="91"/>
  <c r="AI19" i="91" s="1"/>
  <c r="K21" i="98" s="1"/>
  <c r="AH48" i="91"/>
  <c r="AI48" i="91" s="1"/>
  <c r="K50" i="98" s="1"/>
  <c r="AH54" i="91"/>
  <c r="AH38" i="91"/>
  <c r="AI38" i="91" s="1"/>
  <c r="K40" i="98" s="1"/>
  <c r="AH20" i="91"/>
  <c r="AI20" i="91" s="1"/>
  <c r="K22" i="98" s="1"/>
  <c r="AH23" i="91"/>
  <c r="AI23" i="91" s="1"/>
  <c r="K25" i="98" s="1"/>
  <c r="AH16" i="91"/>
  <c r="AI16" i="91" s="1"/>
  <c r="K18" i="98" s="1"/>
  <c r="AH28" i="91"/>
  <c r="AI28" i="91" s="1"/>
  <c r="K30" i="98" s="1"/>
  <c r="AH37" i="91"/>
  <c r="AI37" i="91" s="1"/>
  <c r="K39" i="98" s="1"/>
  <c r="AH17" i="91"/>
  <c r="AI17" i="91" s="1"/>
  <c r="K19" i="98" s="1"/>
  <c r="AH27" i="91"/>
  <c r="AH41" i="91"/>
  <c r="AI41" i="91" s="1"/>
  <c r="K43" i="98" s="1"/>
  <c r="AH7" i="91"/>
  <c r="AI7" i="91" s="1"/>
  <c r="K9" i="98" s="1"/>
  <c r="AH31" i="91"/>
  <c r="AI31" i="91" s="1"/>
  <c r="K33" i="98" s="1"/>
  <c r="AH33" i="91"/>
  <c r="AI33" i="91" s="1"/>
  <c r="K35" i="98" s="1"/>
  <c r="AH34" i="91"/>
  <c r="AI34" i="91" s="1"/>
  <c r="K36" i="98" s="1"/>
  <c r="AH6" i="91"/>
  <c r="AH18" i="91"/>
  <c r="AI18" i="91" s="1"/>
  <c r="K20" i="98" s="1"/>
  <c r="AH47" i="91"/>
  <c r="AI47" i="91" s="1"/>
  <c r="K49" i="98" s="1"/>
  <c r="AH12" i="91"/>
  <c r="AI12" i="91" s="1"/>
  <c r="K14" i="98" s="1"/>
  <c r="AH36" i="91"/>
  <c r="AI36" i="91" s="1"/>
  <c r="K38" i="98" s="1"/>
  <c r="AH40" i="91"/>
  <c r="AI40" i="91" s="1"/>
  <c r="K42" i="98" s="1"/>
  <c r="AH26" i="91"/>
  <c r="AI26" i="91" s="1"/>
  <c r="K28" i="98" s="1"/>
  <c r="AH8" i="91"/>
  <c r="AI8" i="91" s="1"/>
  <c r="K10" i="98" s="1"/>
  <c r="AI43" i="91"/>
  <c r="AI24" i="91"/>
  <c r="AI39" i="91"/>
  <c r="K41" i="98" s="1"/>
  <c r="AI53" i="91"/>
  <c r="AI29" i="91"/>
  <c r="AI13" i="91"/>
  <c r="AI54" i="91"/>
  <c r="K56" i="98" s="1"/>
  <c r="AI49" i="91"/>
  <c r="AI51" i="91"/>
  <c r="AI35" i="91"/>
  <c r="AI55" i="91"/>
  <c r="K57" i="98" s="1"/>
  <c r="AI44" i="91"/>
  <c r="K46" i="98" s="1"/>
  <c r="AI22" i="91"/>
  <c r="AI10" i="91"/>
  <c r="AI52" i="91"/>
  <c r="AI50" i="91"/>
  <c r="AI27" i="91"/>
  <c r="K29" i="98" s="1"/>
  <c r="W56" i="91"/>
  <c r="AI5" i="91"/>
  <c r="AH56" i="91" l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AI6" i="91"/>
  <c r="K8" i="98" s="1"/>
  <c r="E28" i="98"/>
  <c r="J58" i="98"/>
  <c r="E7" i="98"/>
  <c r="D58" i="98" l="1"/>
  <c r="E8" i="98"/>
  <c r="E58" i="98" s="1"/>
  <c r="AI56" i="91"/>
  <c r="R58" i="98"/>
  <c r="S12" i="98"/>
  <c r="S58" i="98" l="1"/>
  <c r="T12" i="98" s="1"/>
  <c r="AQ10" i="91" s="1"/>
  <c r="D6" i="107" s="1"/>
  <c r="F7" i="98"/>
  <c r="F33" i="98"/>
  <c r="F20" i="98"/>
  <c r="F38" i="98"/>
  <c r="F23" i="98"/>
  <c r="F13" i="98"/>
  <c r="F48" i="98"/>
  <c r="F37" i="98"/>
  <c r="AP35" i="91" s="1"/>
  <c r="C36" i="110" s="1"/>
  <c r="F55" i="98"/>
  <c r="AP53" i="91" s="1"/>
  <c r="C54" i="110" s="1"/>
  <c r="F56" i="98"/>
  <c r="F24" i="98"/>
  <c r="AP22" i="91" s="1"/>
  <c r="C23" i="110" s="1"/>
  <c r="F12" i="98"/>
  <c r="AP10" i="91" s="1"/>
  <c r="C11" i="110" s="1"/>
  <c r="F52" i="98"/>
  <c r="AP50" i="91" s="1"/>
  <c r="C51" i="110" s="1"/>
  <c r="F43" i="98"/>
  <c r="F35" i="98"/>
  <c r="F49" i="98"/>
  <c r="F42" i="98"/>
  <c r="F16" i="98"/>
  <c r="F27" i="98"/>
  <c r="F53" i="98"/>
  <c r="AP51" i="91" s="1"/>
  <c r="C52" i="110" s="1"/>
  <c r="F21" i="98"/>
  <c r="F50" i="98"/>
  <c r="F51" i="98"/>
  <c r="AP49" i="91" s="1"/>
  <c r="C50" i="110" s="1"/>
  <c r="F34" i="98"/>
  <c r="F54" i="98"/>
  <c r="AP52" i="91" s="1"/>
  <c r="C53" i="110" s="1"/>
  <c r="F39" i="98"/>
  <c r="F36" i="98"/>
  <c r="F45" i="98"/>
  <c r="AP43" i="91" s="1"/>
  <c r="C44" i="110" s="1"/>
  <c r="F28" i="98"/>
  <c r="F26" i="98"/>
  <c r="AP24" i="91" s="1"/>
  <c r="C25" i="110" s="1"/>
  <c r="F17" i="98"/>
  <c r="F41" i="98"/>
  <c r="F57" i="98"/>
  <c r="F31" i="98"/>
  <c r="AP29" i="91" s="1"/>
  <c r="C30" i="110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P13" i="91" s="1"/>
  <c r="C14" i="110" s="1"/>
  <c r="F22" i="98"/>
  <c r="F25" i="98"/>
  <c r="F30" i="98"/>
  <c r="F29" i="98"/>
  <c r="D14" i="110" l="1"/>
  <c r="E14" i="110" s="1"/>
  <c r="E30" i="110"/>
  <c r="E30" i="114" s="1"/>
  <c r="L10" i="114" s="1"/>
  <c r="D54" i="110"/>
  <c r="E54" i="110" s="1"/>
  <c r="E36" i="110"/>
  <c r="E52" i="110"/>
  <c r="E52" i="114" s="1"/>
  <c r="L15" i="114" s="1"/>
  <c r="D50" i="110"/>
  <c r="E50" i="110" s="1"/>
  <c r="E44" i="110"/>
  <c r="E23" i="110"/>
  <c r="E23" i="114" s="1"/>
  <c r="L8" i="114" s="1"/>
  <c r="E25" i="110"/>
  <c r="E53" i="110"/>
  <c r="E51" i="110"/>
  <c r="E51" i="114" s="1"/>
  <c r="L14" i="114" s="1"/>
  <c r="E11" i="110"/>
  <c r="E6" i="107"/>
  <c r="D11" i="114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Q28" i="91" s="1"/>
  <c r="D12" i="107" s="1"/>
  <c r="T19" i="98"/>
  <c r="AQ17" i="91" s="1"/>
  <c r="D9" i="107" s="1"/>
  <c r="T55" i="98"/>
  <c r="AQ53" i="91" s="1"/>
  <c r="T51" i="98"/>
  <c r="AQ49" i="91" s="1"/>
  <c r="T47" i="98"/>
  <c r="AQ45" i="91" s="1"/>
  <c r="D14" i="107" s="1"/>
  <c r="T16" i="98"/>
  <c r="AQ14" i="91" s="1"/>
  <c r="D8" i="107" s="1"/>
  <c r="T54" i="98"/>
  <c r="AQ52" i="91" s="1"/>
  <c r="T26" i="98"/>
  <c r="AQ24" i="91" s="1"/>
  <c r="T15" i="98"/>
  <c r="AQ13" i="91" s="1"/>
  <c r="T37" i="98"/>
  <c r="AQ35" i="91" s="1"/>
  <c r="T24" i="98"/>
  <c r="AQ22" i="91" s="1"/>
  <c r="L7" i="98"/>
  <c r="F58" i="98"/>
  <c r="L16" i="100" l="1"/>
  <c r="Z16" i="100" s="1"/>
  <c r="E53" i="114"/>
  <c r="L16" i="114" s="1"/>
  <c r="L13" i="100"/>
  <c r="Z13" i="100" s="1"/>
  <c r="E50" i="114"/>
  <c r="L13" i="114" s="1"/>
  <c r="L9" i="100"/>
  <c r="Z9" i="100" s="1"/>
  <c r="E25" i="114"/>
  <c r="L9" i="114" s="1"/>
  <c r="L12" i="100"/>
  <c r="Z12" i="100" s="1"/>
  <c r="E44" i="114"/>
  <c r="L12" i="114" s="1"/>
  <c r="L11" i="100"/>
  <c r="Z11" i="100" s="1"/>
  <c r="E36" i="114"/>
  <c r="L11" i="114" s="1"/>
  <c r="L6" i="100"/>
  <c r="Z6" i="100" s="1"/>
  <c r="E11" i="114"/>
  <c r="L6" i="114" s="1"/>
  <c r="L17" i="100"/>
  <c r="Z17" i="100" s="1"/>
  <c r="E54" i="114"/>
  <c r="L17" i="114" s="1"/>
  <c r="L7" i="100"/>
  <c r="Z7" i="100" s="1"/>
  <c r="E14" i="114"/>
  <c r="L7" i="114" s="1"/>
  <c r="K6" i="114"/>
  <c r="L8" i="100"/>
  <c r="Z8" i="100" s="1"/>
  <c r="L14" i="100"/>
  <c r="Z14" i="100" s="1"/>
  <c r="L15" i="100"/>
  <c r="Z15" i="100" s="1"/>
  <c r="L10" i="100"/>
  <c r="Z10" i="100" s="1"/>
  <c r="D7" i="107"/>
  <c r="E7" i="107" s="1"/>
  <c r="D16" i="107"/>
  <c r="E16" i="107" s="1"/>
  <c r="D15" i="107"/>
  <c r="E15" i="107" s="1"/>
  <c r="D17" i="107"/>
  <c r="E17" i="107" s="1"/>
  <c r="D11" i="107"/>
  <c r="E11" i="107" s="1"/>
  <c r="D10" i="107"/>
  <c r="E10" i="107" s="1"/>
  <c r="D13" i="107"/>
  <c r="E13" i="107" s="1"/>
  <c r="K6" i="100"/>
  <c r="Y6" i="100" s="1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L18" i="114" l="1"/>
  <c r="K7" i="100"/>
  <c r="Y7" i="100" s="1"/>
  <c r="D14" i="114"/>
  <c r="K17" i="100"/>
  <c r="Y17" i="100" s="1"/>
  <c r="D54" i="114"/>
  <c r="K16" i="100"/>
  <c r="Y16" i="100" s="1"/>
  <c r="D53" i="114"/>
  <c r="K9" i="100"/>
  <c r="Y9" i="100" s="1"/>
  <c r="D25" i="114"/>
  <c r="K13" i="100"/>
  <c r="Y13" i="100" s="1"/>
  <c r="D50" i="114"/>
  <c r="K11" i="100"/>
  <c r="Y11" i="100" s="1"/>
  <c r="D36" i="114"/>
  <c r="K8" i="100"/>
  <c r="Y8" i="100" s="1"/>
  <c r="D23" i="114"/>
  <c r="Z18" i="100"/>
  <c r="L18" i="100"/>
  <c r="Y18" i="100"/>
  <c r="K18" i="100"/>
  <c r="L58" i="98"/>
  <c r="L62" i="98" s="1"/>
  <c r="K11" i="114" l="1"/>
  <c r="K16" i="114"/>
  <c r="K9" i="114"/>
  <c r="K17" i="114"/>
  <c r="K13" i="114"/>
  <c r="K7" i="114"/>
  <c r="K8" i="114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K18" i="114" l="1"/>
  <c r="AP39" i="91"/>
  <c r="C59" i="105" s="1"/>
  <c r="AP16" i="91"/>
  <c r="C40" i="105" s="1"/>
  <c r="AP8" i="91"/>
  <c r="C34" i="105" s="1"/>
  <c r="AP34" i="91"/>
  <c r="C55" i="105" s="1"/>
  <c r="AP33" i="91"/>
  <c r="C54" i="105" s="1"/>
  <c r="AP6" i="91"/>
  <c r="C32" i="105" s="1"/>
  <c r="AP11" i="91"/>
  <c r="C36" i="105" s="1"/>
  <c r="AP40" i="91"/>
  <c r="C60" i="105" s="1"/>
  <c r="AP48" i="91"/>
  <c r="C67" i="105" s="1"/>
  <c r="AP27" i="91"/>
  <c r="C49" i="105" s="1"/>
  <c r="AP5" i="91"/>
  <c r="C31" i="105" s="1"/>
  <c r="AP44" i="91"/>
  <c r="C63" i="105" s="1"/>
  <c r="AP7" i="91"/>
  <c r="C33" i="105" s="1"/>
  <c r="AP37" i="91"/>
  <c r="C57" i="105" s="1"/>
  <c r="AP36" i="91"/>
  <c r="C56" i="105" s="1"/>
  <c r="AP9" i="91"/>
  <c r="C35" i="105" s="1"/>
  <c r="AP15" i="91"/>
  <c r="C39" i="105" s="1"/>
  <c r="AP28" i="91"/>
  <c r="C50" i="105" s="1"/>
  <c r="AP19" i="91"/>
  <c r="C43" i="105" s="1"/>
  <c r="AP14" i="91"/>
  <c r="C38" i="105" s="1"/>
  <c r="AP18" i="91"/>
  <c r="C42" i="105" s="1"/>
  <c r="AP25" i="91"/>
  <c r="C47" i="105" s="1"/>
  <c r="AP41" i="91"/>
  <c r="C61" i="105" s="1"/>
  <c r="AP46" i="91"/>
  <c r="C65" i="105" s="1"/>
  <c r="AP12" i="91"/>
  <c r="C37" i="105" s="1"/>
  <c r="AP55" i="91"/>
  <c r="C69" i="105" s="1"/>
  <c r="AP26" i="91"/>
  <c r="C48" i="105" s="1"/>
  <c r="AP42" i="91"/>
  <c r="C62" i="105" s="1"/>
  <c r="AP38" i="91"/>
  <c r="C58" i="105" s="1"/>
  <c r="AP31" i="91"/>
  <c r="C52" i="105" s="1"/>
  <c r="AP30" i="91"/>
  <c r="C51" i="105" s="1"/>
  <c r="AP23" i="91"/>
  <c r="C46" i="105" s="1"/>
  <c r="AP20" i="91"/>
  <c r="C44" i="105" s="1"/>
  <c r="AP21" i="91"/>
  <c r="C45" i="105" s="1"/>
  <c r="AP32" i="91"/>
  <c r="C53" i="105" s="1"/>
  <c r="AP17" i="91"/>
  <c r="C41" i="105" s="1"/>
  <c r="AP45" i="91"/>
  <c r="C64" i="105" s="1"/>
  <c r="AP47" i="91"/>
  <c r="C66" i="105" s="1"/>
  <c r="AP54" i="91"/>
  <c r="C68" i="105" s="1"/>
  <c r="M58" i="98"/>
  <c r="C70" i="105" l="1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Q56" i="91"/>
  <c r="AP56" i="91"/>
  <c r="J26" i="100" l="1"/>
  <c r="X26" i="100" s="1"/>
  <c r="C15" i="114"/>
  <c r="J26" i="114" s="1"/>
  <c r="J24" i="100"/>
  <c r="X24" i="100" s="1"/>
  <c r="C12" i="114"/>
  <c r="J52" i="100"/>
  <c r="X52" i="100" s="1"/>
  <c r="C46" i="114"/>
  <c r="J52" i="114" s="1"/>
  <c r="J32" i="100"/>
  <c r="X32" i="100" s="1"/>
  <c r="C21" i="114"/>
  <c r="J25" i="100"/>
  <c r="X25" i="100" s="1"/>
  <c r="C13" i="114"/>
  <c r="J49" i="100"/>
  <c r="X49" i="100" s="1"/>
  <c r="C42" i="114"/>
  <c r="J54" i="100"/>
  <c r="X54" i="100" s="1"/>
  <c r="C48" i="114"/>
  <c r="J46" i="100"/>
  <c r="X46" i="100" s="1"/>
  <c r="C39" i="114"/>
  <c r="J53" i="100"/>
  <c r="X53" i="100" s="1"/>
  <c r="C47" i="114"/>
  <c r="J43" i="100"/>
  <c r="X43" i="100" s="1"/>
  <c r="C35" i="114"/>
  <c r="J20" i="100"/>
  <c r="X20" i="100" s="1"/>
  <c r="C7" i="114"/>
  <c r="J48" i="100"/>
  <c r="C41" i="114"/>
  <c r="J56" i="100"/>
  <c r="X56" i="100" s="1"/>
  <c r="C55" i="114"/>
  <c r="J51" i="100"/>
  <c r="X51" i="100" s="1"/>
  <c r="C45" i="114"/>
  <c r="J33" i="100"/>
  <c r="X33" i="100" s="1"/>
  <c r="C22" i="114"/>
  <c r="J47" i="100"/>
  <c r="X47" i="100" s="1"/>
  <c r="C40" i="114"/>
  <c r="J50" i="100"/>
  <c r="X50" i="100" s="1"/>
  <c r="C43" i="114"/>
  <c r="J44" i="100"/>
  <c r="X44" i="100" s="1"/>
  <c r="C37" i="114"/>
  <c r="J39" i="100"/>
  <c r="X39" i="100" s="1"/>
  <c r="C31" i="114"/>
  <c r="J55" i="100"/>
  <c r="X55" i="100" s="1"/>
  <c r="C49" i="114"/>
  <c r="J21" i="100"/>
  <c r="X21" i="100" s="1"/>
  <c r="C8" i="114"/>
  <c r="J29" i="100"/>
  <c r="X29" i="100" s="1"/>
  <c r="C18" i="114"/>
  <c r="J29" i="114" s="1"/>
  <c r="J41" i="100"/>
  <c r="X41" i="100" s="1"/>
  <c r="C33" i="114"/>
  <c r="J19" i="100"/>
  <c r="X19" i="100" s="1"/>
  <c r="C6" i="114"/>
  <c r="J31" i="100"/>
  <c r="X31" i="100" s="1"/>
  <c r="C20" i="114"/>
  <c r="J42" i="100"/>
  <c r="X42" i="100" s="1"/>
  <c r="C34" i="114"/>
  <c r="J37" i="100"/>
  <c r="X37" i="100" s="1"/>
  <c r="C28" i="114"/>
  <c r="J34" i="100"/>
  <c r="X34" i="100" s="1"/>
  <c r="C24" i="114"/>
  <c r="J35" i="100"/>
  <c r="X35" i="100" s="1"/>
  <c r="C26" i="114"/>
  <c r="J28" i="100"/>
  <c r="X28" i="100" s="1"/>
  <c r="C17" i="114"/>
  <c r="J23" i="100"/>
  <c r="X23" i="100" s="1"/>
  <c r="C10" i="114"/>
  <c r="J38" i="100"/>
  <c r="X38" i="100" s="1"/>
  <c r="C29" i="114"/>
  <c r="J38" i="114" s="1"/>
  <c r="J57" i="100"/>
  <c r="X57" i="100" s="1"/>
  <c r="C56" i="114"/>
  <c r="J57" i="114" s="1"/>
  <c r="J36" i="100"/>
  <c r="X36" i="100" s="1"/>
  <c r="C27" i="114"/>
  <c r="J22" i="100"/>
  <c r="X22" i="100" s="1"/>
  <c r="C9" i="114"/>
  <c r="J45" i="100"/>
  <c r="X45" i="100" s="1"/>
  <c r="C38" i="114"/>
  <c r="J40" i="100"/>
  <c r="X40" i="100" s="1"/>
  <c r="C32" i="114"/>
  <c r="J30" i="100"/>
  <c r="C19" i="114"/>
  <c r="J27" i="100"/>
  <c r="C16" i="114"/>
  <c r="K52" i="100"/>
  <c r="Y52" i="100" s="1"/>
  <c r="D46" i="114"/>
  <c r="K29" i="100"/>
  <c r="Y29" i="100" s="1"/>
  <c r="D18" i="114"/>
  <c r="K38" i="100"/>
  <c r="Y38" i="100" s="1"/>
  <c r="D29" i="114"/>
  <c r="D39" i="110"/>
  <c r="E39" i="110" s="1"/>
  <c r="D34" i="110"/>
  <c r="E34" i="110" s="1"/>
  <c r="D48" i="110"/>
  <c r="E48" i="110" s="1"/>
  <c r="D6" i="110"/>
  <c r="E6" i="110" s="1"/>
  <c r="E6" i="114" s="1"/>
  <c r="D15" i="110"/>
  <c r="E15" i="110" s="1"/>
  <c r="E15" i="114" s="1"/>
  <c r="L26" i="114" s="1"/>
  <c r="D56" i="110"/>
  <c r="E56" i="110" s="1"/>
  <c r="E56" i="114" s="1"/>
  <c r="L57" i="114" s="1"/>
  <c r="D13" i="110"/>
  <c r="E13" i="110" s="1"/>
  <c r="D22" i="110"/>
  <c r="E22" i="110" s="1"/>
  <c r="D12" i="110"/>
  <c r="E12" i="110" s="1"/>
  <c r="D27" i="110"/>
  <c r="E27" i="110" s="1"/>
  <c r="D47" i="110"/>
  <c r="E47" i="110" s="1"/>
  <c r="E47" i="114" s="1"/>
  <c r="L53" i="114" s="1"/>
  <c r="D40" i="110"/>
  <c r="E40" i="110" s="1"/>
  <c r="E40" i="114" s="1"/>
  <c r="L47" i="114" s="1"/>
  <c r="D21" i="110"/>
  <c r="E21" i="110" s="1"/>
  <c r="D9" i="110"/>
  <c r="E9" i="110" s="1"/>
  <c r="D46" i="110"/>
  <c r="E46" i="110" s="1"/>
  <c r="D20" i="110"/>
  <c r="E20" i="110" s="1"/>
  <c r="D35" i="110"/>
  <c r="E35" i="110" s="1"/>
  <c r="E35" i="114" s="1"/>
  <c r="L43" i="114" s="1"/>
  <c r="D43" i="110"/>
  <c r="E43" i="110" s="1"/>
  <c r="E43" i="114" s="1"/>
  <c r="L50" i="114" s="1"/>
  <c r="D7" i="110"/>
  <c r="E7" i="110" s="1"/>
  <c r="D37" i="110"/>
  <c r="E37" i="110" s="1"/>
  <c r="D28" i="110"/>
  <c r="E28" i="110" s="1"/>
  <c r="D31" i="110"/>
  <c r="E31" i="110" s="1"/>
  <c r="D41" i="110"/>
  <c r="E41" i="110" s="1"/>
  <c r="E41" i="114" s="1"/>
  <c r="L48" i="114" s="1"/>
  <c r="D24" i="110"/>
  <c r="E24" i="110" s="1"/>
  <c r="E24" i="114" s="1"/>
  <c r="L34" i="114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E18" i="114" s="1"/>
  <c r="L29" i="114" s="1"/>
  <c r="D33" i="110"/>
  <c r="E33" i="110" s="1"/>
  <c r="D32" i="110"/>
  <c r="E32" i="110" s="1"/>
  <c r="D17" i="110"/>
  <c r="E17" i="110" s="1"/>
  <c r="D10" i="110"/>
  <c r="E10" i="110" s="1"/>
  <c r="D29" i="110"/>
  <c r="E29" i="110" s="1"/>
  <c r="E29" i="114" s="1"/>
  <c r="L38" i="114" s="1"/>
  <c r="D49" i="110"/>
  <c r="E49" i="110" s="1"/>
  <c r="E49" i="114" s="1"/>
  <c r="L55" i="114" s="1"/>
  <c r="D8" i="110"/>
  <c r="E8" i="110" s="1"/>
  <c r="D19" i="110"/>
  <c r="E19" i="110" s="1"/>
  <c r="D16" i="110"/>
  <c r="E16" i="110" s="1"/>
  <c r="AB44" i="100"/>
  <c r="X30" i="100"/>
  <c r="X27" i="100"/>
  <c r="AB46" i="100"/>
  <c r="AB42" i="100"/>
  <c r="AB20" i="100"/>
  <c r="X48" i="100"/>
  <c r="N25" i="100"/>
  <c r="N33" i="100"/>
  <c r="N22" i="100"/>
  <c r="N31" i="100"/>
  <c r="J58" i="100"/>
  <c r="C57" i="110"/>
  <c r="E8" i="107"/>
  <c r="D15" i="114" s="1"/>
  <c r="D18" i="107"/>
  <c r="D70" i="105"/>
  <c r="L36" i="100" l="1"/>
  <c r="Z36" i="100" s="1"/>
  <c r="AB36" i="100" s="1"/>
  <c r="E27" i="114"/>
  <c r="L36" i="114" s="1"/>
  <c r="L28" i="100"/>
  <c r="Z28" i="100" s="1"/>
  <c r="AB28" i="100" s="1"/>
  <c r="E17" i="114"/>
  <c r="L28" i="114" s="1"/>
  <c r="L37" i="100"/>
  <c r="Z37" i="100" s="1"/>
  <c r="AB37" i="100" s="1"/>
  <c r="E28" i="114"/>
  <c r="L37" i="114" s="1"/>
  <c r="L24" i="100"/>
  <c r="Z24" i="100" s="1"/>
  <c r="AB24" i="100" s="1"/>
  <c r="E12" i="114"/>
  <c r="L24" i="114" s="1"/>
  <c r="L23" i="100"/>
  <c r="Z23" i="100" s="1"/>
  <c r="AB23" i="100" s="1"/>
  <c r="E10" i="114"/>
  <c r="L23" i="114" s="1"/>
  <c r="L40" i="100"/>
  <c r="Z40" i="100" s="1"/>
  <c r="AB40" i="100" s="1"/>
  <c r="E32" i="114"/>
  <c r="L40" i="114" s="1"/>
  <c r="L33" i="100"/>
  <c r="Z33" i="100" s="1"/>
  <c r="AB33" i="100" s="1"/>
  <c r="E22" i="114"/>
  <c r="L33" i="114" s="1"/>
  <c r="L39" i="100"/>
  <c r="Z39" i="100" s="1"/>
  <c r="AB39" i="100" s="1"/>
  <c r="E31" i="114"/>
  <c r="L39" i="114" s="1"/>
  <c r="L44" i="100"/>
  <c r="Z44" i="100" s="1"/>
  <c r="E37" i="114"/>
  <c r="L44" i="114" s="1"/>
  <c r="L41" i="100"/>
  <c r="Z41" i="100" s="1"/>
  <c r="AB41" i="100" s="1"/>
  <c r="E33" i="114"/>
  <c r="L41" i="114" s="1"/>
  <c r="L20" i="100"/>
  <c r="Z20" i="100" s="1"/>
  <c r="E7" i="114"/>
  <c r="L20" i="114" s="1"/>
  <c r="L25" i="100"/>
  <c r="Z25" i="100" s="1"/>
  <c r="AB25" i="100" s="1"/>
  <c r="E13" i="114"/>
  <c r="L25" i="114" s="1"/>
  <c r="L19" i="114"/>
  <c r="L51" i="100"/>
  <c r="Z51" i="100" s="1"/>
  <c r="AB51" i="100" s="1"/>
  <c r="E45" i="114"/>
  <c r="L51" i="114" s="1"/>
  <c r="L56" i="100"/>
  <c r="Z56" i="100" s="1"/>
  <c r="AB56" i="100" s="1"/>
  <c r="E55" i="114"/>
  <c r="L56" i="114" s="1"/>
  <c r="L27" i="100"/>
  <c r="Z27" i="100" s="1"/>
  <c r="E16" i="114"/>
  <c r="L27" i="114" s="1"/>
  <c r="L35" i="100"/>
  <c r="Z35" i="100" s="1"/>
  <c r="AB35" i="100" s="1"/>
  <c r="E26" i="114"/>
  <c r="L35" i="114" s="1"/>
  <c r="L52" i="100"/>
  <c r="Z52" i="100" s="1"/>
  <c r="AB52" i="100" s="1"/>
  <c r="E46" i="114"/>
  <c r="L52" i="114" s="1"/>
  <c r="L54" i="100"/>
  <c r="Z54" i="100" s="1"/>
  <c r="AB54" i="100" s="1"/>
  <c r="E48" i="114"/>
  <c r="L54" i="114" s="1"/>
  <c r="L30" i="100"/>
  <c r="Z30" i="100" s="1"/>
  <c r="E19" i="114"/>
  <c r="L30" i="114" s="1"/>
  <c r="L22" i="100"/>
  <c r="Z22" i="100" s="1"/>
  <c r="AB22" i="100" s="1"/>
  <c r="E9" i="114"/>
  <c r="L22" i="114" s="1"/>
  <c r="L42" i="100"/>
  <c r="Z42" i="100" s="1"/>
  <c r="E34" i="114"/>
  <c r="L42" i="114" s="1"/>
  <c r="L31" i="100"/>
  <c r="Z31" i="100" s="1"/>
  <c r="AB31" i="100" s="1"/>
  <c r="E20" i="114"/>
  <c r="L31" i="114" s="1"/>
  <c r="L49" i="100"/>
  <c r="Z49" i="100" s="1"/>
  <c r="AB49" i="100" s="1"/>
  <c r="E42" i="114"/>
  <c r="L49" i="114" s="1"/>
  <c r="L21" i="100"/>
  <c r="Z21" i="100" s="1"/>
  <c r="AB21" i="100" s="1"/>
  <c r="E8" i="114"/>
  <c r="L21" i="114" s="1"/>
  <c r="L45" i="100"/>
  <c r="Z45" i="100" s="1"/>
  <c r="AB45" i="100" s="1"/>
  <c r="E38" i="114"/>
  <c r="L45" i="114" s="1"/>
  <c r="L32" i="100"/>
  <c r="Z32" i="100" s="1"/>
  <c r="AB32" i="100" s="1"/>
  <c r="E21" i="114"/>
  <c r="L32" i="114" s="1"/>
  <c r="L46" i="100"/>
  <c r="Z46" i="100" s="1"/>
  <c r="E39" i="114"/>
  <c r="L46" i="114" s="1"/>
  <c r="J45" i="114"/>
  <c r="J48" i="114"/>
  <c r="J49" i="114"/>
  <c r="J22" i="114"/>
  <c r="J41" i="114"/>
  <c r="J25" i="114"/>
  <c r="J19" i="114"/>
  <c r="J35" i="114"/>
  <c r="J50" i="114"/>
  <c r="J20" i="114"/>
  <c r="J28" i="114"/>
  <c r="J36" i="114"/>
  <c r="J43" i="114"/>
  <c r="J44" i="114"/>
  <c r="J34" i="114"/>
  <c r="J47" i="114"/>
  <c r="J32" i="114"/>
  <c r="J21" i="114"/>
  <c r="J33" i="114"/>
  <c r="J53" i="114"/>
  <c r="J30" i="114"/>
  <c r="J42" i="114"/>
  <c r="J51" i="114"/>
  <c r="J24" i="114"/>
  <c r="J27" i="114"/>
  <c r="J55" i="114"/>
  <c r="J46" i="114"/>
  <c r="J40" i="114"/>
  <c r="J31" i="114"/>
  <c r="J56" i="114"/>
  <c r="J37" i="114"/>
  <c r="J23" i="114"/>
  <c r="J39" i="114"/>
  <c r="J54" i="114"/>
  <c r="K26" i="114"/>
  <c r="D57" i="114"/>
  <c r="K38" i="114"/>
  <c r="K29" i="114"/>
  <c r="K52" i="114"/>
  <c r="N44" i="100"/>
  <c r="N42" i="100"/>
  <c r="L43" i="100"/>
  <c r="L53" i="100"/>
  <c r="L38" i="100"/>
  <c r="Z38" i="100" s="1"/>
  <c r="AB38" i="100" s="1"/>
  <c r="L48" i="100"/>
  <c r="Z48" i="100" s="1"/>
  <c r="N23" i="100"/>
  <c r="N37" i="100"/>
  <c r="N41" i="100"/>
  <c r="AB48" i="100"/>
  <c r="L26" i="100"/>
  <c r="Z26" i="100" s="1"/>
  <c r="N48" i="100"/>
  <c r="L19" i="100"/>
  <c r="Z19" i="100" s="1"/>
  <c r="AB19" i="100" s="1"/>
  <c r="N28" i="100"/>
  <c r="N27" i="100"/>
  <c r="N35" i="100"/>
  <c r="N24" i="100"/>
  <c r="L55" i="100"/>
  <c r="L47" i="100"/>
  <c r="L57" i="100"/>
  <c r="N52" i="100"/>
  <c r="N40" i="100"/>
  <c r="L34" i="100"/>
  <c r="L50" i="100"/>
  <c r="N51" i="100"/>
  <c r="N21" i="100"/>
  <c r="N56" i="100"/>
  <c r="N32" i="100"/>
  <c r="N49" i="100"/>
  <c r="N36" i="100"/>
  <c r="L29" i="100"/>
  <c r="N46" i="100"/>
  <c r="AB30" i="100"/>
  <c r="E57" i="110"/>
  <c r="N45" i="100"/>
  <c r="N30" i="100"/>
  <c r="N20" i="100"/>
  <c r="N54" i="100"/>
  <c r="N39" i="100"/>
  <c r="X58" i="100"/>
  <c r="AB27" i="100"/>
  <c r="K26" i="100"/>
  <c r="Y26" i="100" s="1"/>
  <c r="E18" i="107"/>
  <c r="E57" i="114" l="1"/>
  <c r="B64" i="110"/>
  <c r="F57" i="110"/>
  <c r="L58" i="114"/>
  <c r="L59" i="114" s="1"/>
  <c r="J58" i="114"/>
  <c r="K58" i="114"/>
  <c r="K59" i="114" s="1"/>
  <c r="N38" i="100"/>
  <c r="N19" i="100"/>
  <c r="Z53" i="100"/>
  <c r="AB53" i="100" s="1"/>
  <c r="N53" i="100"/>
  <c r="Z43" i="100"/>
  <c r="AB43" i="100" s="1"/>
  <c r="N43" i="100"/>
  <c r="Z29" i="100"/>
  <c r="N29" i="100"/>
  <c r="Z34" i="100"/>
  <c r="AB34" i="100" s="1"/>
  <c r="N34" i="100"/>
  <c r="Z50" i="100"/>
  <c r="AB50" i="100" s="1"/>
  <c r="N50" i="100"/>
  <c r="L58" i="100"/>
  <c r="L59" i="100" s="1"/>
  <c r="Z57" i="100"/>
  <c r="AB57" i="100" s="1"/>
  <c r="N57" i="100"/>
  <c r="Z47" i="100"/>
  <c r="AB47" i="100" s="1"/>
  <c r="N47" i="100"/>
  <c r="Z55" i="100"/>
  <c r="AB55" i="100" s="1"/>
  <c r="N55" i="100"/>
  <c r="Y58" i="100"/>
  <c r="Y59" i="100" s="1"/>
  <c r="AB26" i="100"/>
  <c r="K58" i="100"/>
  <c r="K59" i="100" s="1"/>
  <c r="N26" i="100"/>
  <c r="F17" i="100"/>
  <c r="F28" i="100"/>
  <c r="F49" i="100"/>
  <c r="F39" i="100"/>
  <c r="F18" i="100"/>
  <c r="F29" i="100"/>
  <c r="F12" i="100"/>
  <c r="F31" i="100"/>
  <c r="F22" i="100"/>
  <c r="F38" i="100"/>
  <c r="F26" i="100"/>
  <c r="F7" i="100"/>
  <c r="F15" i="100"/>
  <c r="F6" i="100"/>
  <c r="F55" i="100"/>
  <c r="F42" i="100"/>
  <c r="F35" i="100"/>
  <c r="F48" i="100"/>
  <c r="F37" i="100"/>
  <c r="F16" i="100"/>
  <c r="F20" i="100"/>
  <c r="F13" i="100"/>
  <c r="F32" i="100"/>
  <c r="F8" i="100"/>
  <c r="F34" i="100"/>
  <c r="F33" i="100"/>
  <c r="F47" i="100"/>
  <c r="F27" i="100"/>
  <c r="F21" i="100"/>
  <c r="F43" i="100"/>
  <c r="F46" i="100"/>
  <c r="F41" i="100"/>
  <c r="F56" i="100"/>
  <c r="F40" i="100"/>
  <c r="F19" i="100"/>
  <c r="F45" i="100"/>
  <c r="F10" i="100"/>
  <c r="F24" i="100"/>
  <c r="E57" i="100"/>
  <c r="B57" i="100"/>
  <c r="N58" i="100" l="1"/>
  <c r="AB29" i="100"/>
  <c r="AB58" i="100" s="1"/>
  <c r="Z58" i="100"/>
  <c r="Z59" i="100" s="1"/>
  <c r="D57" i="100"/>
  <c r="F9" i="100"/>
  <c r="B25" i="105" l="1"/>
  <c r="B71" i="105" s="1"/>
  <c r="B11" i="105" l="1"/>
  <c r="C16" i="105" l="1"/>
  <c r="D16" i="105" s="1"/>
  <c r="C25" i="114" s="1"/>
  <c r="C17" i="105"/>
  <c r="D17" i="105" s="1"/>
  <c r="C30" i="114" s="1"/>
  <c r="C18" i="105"/>
  <c r="D18" i="105" s="1"/>
  <c r="C36" i="114" s="1"/>
  <c r="C19" i="105"/>
  <c r="D19" i="105" s="1"/>
  <c r="C44" i="114" s="1"/>
  <c r="C20" i="105"/>
  <c r="D20" i="105" s="1"/>
  <c r="C50" i="114" s="1"/>
  <c r="C15" i="105"/>
  <c r="D15" i="105" s="1"/>
  <c r="C23" i="114" s="1"/>
  <c r="C21" i="105"/>
  <c r="D21" i="105" s="1"/>
  <c r="C51" i="114" s="1"/>
  <c r="C22" i="105"/>
  <c r="D22" i="105" s="1"/>
  <c r="C52" i="114" s="1"/>
  <c r="C23" i="105"/>
  <c r="D23" i="105" s="1"/>
  <c r="C53" i="114" s="1"/>
  <c r="C24" i="105"/>
  <c r="D24" i="105" s="1"/>
  <c r="C54" i="114" s="1"/>
  <c r="C13" i="105"/>
  <c r="D13" i="105" s="1"/>
  <c r="C14" i="105"/>
  <c r="D14" i="105" s="1"/>
  <c r="C14" i="114" s="1"/>
  <c r="J17" i="114" l="1"/>
  <c r="J16" i="114"/>
  <c r="J15" i="114"/>
  <c r="J14" i="114"/>
  <c r="J8" i="114"/>
  <c r="J13" i="114"/>
  <c r="J12" i="114"/>
  <c r="J11" i="114"/>
  <c r="J7" i="114"/>
  <c r="J10" i="114"/>
  <c r="J6" i="100"/>
  <c r="C11" i="114"/>
  <c r="J9" i="114"/>
  <c r="N6" i="100"/>
  <c r="X6" i="100"/>
  <c r="F53" i="100"/>
  <c r="J16" i="100"/>
  <c r="F36" i="100"/>
  <c r="J11" i="100"/>
  <c r="F51" i="100"/>
  <c r="J14" i="100"/>
  <c r="F50" i="100"/>
  <c r="J13" i="100"/>
  <c r="F54" i="100"/>
  <c r="J17" i="100"/>
  <c r="F23" i="100"/>
  <c r="J8" i="100"/>
  <c r="F44" i="100"/>
  <c r="J12" i="100"/>
  <c r="F30" i="100"/>
  <c r="J10" i="100"/>
  <c r="F52" i="100"/>
  <c r="J15" i="100"/>
  <c r="F25" i="100"/>
  <c r="J9" i="100"/>
  <c r="F14" i="100"/>
  <c r="J7" i="100"/>
  <c r="D25" i="105"/>
  <c r="D71" i="105" s="1"/>
  <c r="F11" i="100"/>
  <c r="C57" i="100"/>
  <c r="C25" i="105"/>
  <c r="C71" i="105" s="1"/>
  <c r="J6" i="114" l="1"/>
  <c r="C57" i="114"/>
  <c r="N17" i="100"/>
  <c r="X17" i="100"/>
  <c r="AB17" i="100" s="1"/>
  <c r="N9" i="100"/>
  <c r="X9" i="100"/>
  <c r="AB9" i="100" s="1"/>
  <c r="N15" i="100"/>
  <c r="X15" i="100"/>
  <c r="AB15" i="100" s="1"/>
  <c r="N14" i="100"/>
  <c r="X14" i="100"/>
  <c r="AB14" i="100" s="1"/>
  <c r="N7" i="100"/>
  <c r="X7" i="100"/>
  <c r="AB7" i="100" s="1"/>
  <c r="N16" i="100"/>
  <c r="X16" i="100"/>
  <c r="AB16" i="100" s="1"/>
  <c r="N11" i="100"/>
  <c r="X11" i="100"/>
  <c r="AB11" i="100" s="1"/>
  <c r="N13" i="100"/>
  <c r="X13" i="100"/>
  <c r="AB13" i="100" s="1"/>
  <c r="N10" i="100"/>
  <c r="X10" i="100"/>
  <c r="AB10" i="100" s="1"/>
  <c r="N8" i="100"/>
  <c r="X8" i="100"/>
  <c r="AB8" i="100" s="1"/>
  <c r="AB6" i="100"/>
  <c r="N12" i="100"/>
  <c r="X12" i="100"/>
  <c r="AB12" i="100" s="1"/>
  <c r="F57" i="100"/>
  <c r="J18" i="100"/>
  <c r="J59" i="100" s="1"/>
  <c r="J18" i="114" l="1"/>
  <c r="J59" i="114" s="1"/>
  <c r="N18" i="100"/>
  <c r="N59" i="100" s="1"/>
  <c r="X18" i="100"/>
  <c r="X59" i="100" s="1"/>
  <c r="AB18" i="100"/>
  <c r="AB59" i="100" s="1"/>
  <c r="D47" i="104" l="1"/>
  <c r="D42" i="104"/>
  <c r="D43" i="104"/>
  <c r="D60" i="104"/>
  <c r="D14" i="104"/>
  <c r="D53" i="104"/>
  <c r="D51" i="104"/>
  <c r="D58" i="104"/>
  <c r="D31" i="104"/>
  <c r="D65" i="104"/>
  <c r="D30" i="104"/>
  <c r="D37" i="104"/>
  <c r="D50" i="104"/>
  <c r="D49" i="104"/>
  <c r="D55" i="104"/>
  <c r="D66" i="104"/>
  <c r="D18" i="104"/>
  <c r="D22" i="104"/>
  <c r="D16" i="104"/>
  <c r="D24" i="104"/>
  <c r="D21" i="104"/>
  <c r="D64" i="104"/>
  <c r="D62" i="104"/>
  <c r="D40" i="104"/>
  <c r="D54" i="104"/>
  <c r="D67" i="104"/>
  <c r="D59" i="104"/>
  <c r="D15" i="104"/>
  <c r="D19" i="104"/>
  <c r="D23" i="104"/>
  <c r="D17" i="104"/>
  <c r="D41" i="104"/>
  <c r="D46" i="104"/>
  <c r="D34" i="104"/>
  <c r="D36" i="104"/>
  <c r="D32" i="104"/>
  <c r="D45" i="104"/>
  <c r="D48" i="104"/>
  <c r="D29" i="104"/>
  <c r="D63" i="104"/>
  <c r="D52" i="104"/>
  <c r="D38" i="104"/>
  <c r="D56" i="104"/>
  <c r="D33" i="104"/>
  <c r="D44" i="104"/>
  <c r="D57" i="104"/>
  <c r="D61" i="104"/>
  <c r="D35" i="104"/>
  <c r="D20" i="104"/>
  <c r="D25" i="104"/>
  <c r="D39" i="104"/>
  <c r="D26" i="104" l="1"/>
  <c r="D68" i="104"/>
  <c r="D9" i="104"/>
  <c r="D8" i="104"/>
  <c r="D69" i="104" l="1"/>
  <c r="E18" i="104"/>
  <c r="F18" i="104" s="1"/>
  <c r="B30" i="114" s="1"/>
  <c r="E19" i="104"/>
  <c r="F19" i="104" s="1"/>
  <c r="B36" i="114" s="1"/>
  <c r="E17" i="104"/>
  <c r="F17" i="104" s="1"/>
  <c r="B25" i="114" s="1"/>
  <c r="E21" i="104"/>
  <c r="F21" i="104" s="1"/>
  <c r="B50" i="114" s="1"/>
  <c r="E22" i="104"/>
  <c r="F22" i="104" s="1"/>
  <c r="B51" i="114" s="1"/>
  <c r="E23" i="104"/>
  <c r="F23" i="104" s="1"/>
  <c r="B52" i="114" s="1"/>
  <c r="E24" i="104"/>
  <c r="F24" i="104" s="1"/>
  <c r="B53" i="114" s="1"/>
  <c r="E14" i="104"/>
  <c r="E15" i="104"/>
  <c r="F15" i="104" s="1"/>
  <c r="B14" i="114" s="1"/>
  <c r="E25" i="104"/>
  <c r="F25" i="104" s="1"/>
  <c r="B54" i="114" s="1"/>
  <c r="E16" i="104"/>
  <c r="F16" i="104" s="1"/>
  <c r="B23" i="114" s="1"/>
  <c r="E20" i="104"/>
  <c r="F20" i="104" s="1"/>
  <c r="B44" i="114" s="1"/>
  <c r="E47" i="104"/>
  <c r="F47" i="104" s="1"/>
  <c r="B28" i="114" s="1"/>
  <c r="E66" i="104"/>
  <c r="F66" i="104" s="1"/>
  <c r="B55" i="114" s="1"/>
  <c r="E49" i="104"/>
  <c r="F49" i="104" s="1"/>
  <c r="B31" i="114" s="1"/>
  <c r="E60" i="104"/>
  <c r="F60" i="104" s="1"/>
  <c r="B43" i="114" s="1"/>
  <c r="E53" i="104"/>
  <c r="F53" i="104" s="1"/>
  <c r="B35" i="114" s="1"/>
  <c r="E36" i="104"/>
  <c r="F36" i="104" s="1"/>
  <c r="B15" i="114" s="1"/>
  <c r="E56" i="104"/>
  <c r="F56" i="104" s="1"/>
  <c r="B39" i="114" s="1"/>
  <c r="E46" i="104"/>
  <c r="F46" i="104" s="1"/>
  <c r="B27" i="114" s="1"/>
  <c r="E61" i="104"/>
  <c r="F61" i="104" s="1"/>
  <c r="B45" i="114" s="1"/>
  <c r="E67" i="104"/>
  <c r="F67" i="104" s="1"/>
  <c r="B56" i="114" s="1"/>
  <c r="E65" i="104"/>
  <c r="F65" i="104" s="1"/>
  <c r="B49" i="114" s="1"/>
  <c r="E62" i="104"/>
  <c r="F62" i="104" s="1"/>
  <c r="B46" i="114" s="1"/>
  <c r="E39" i="104"/>
  <c r="F39" i="104" s="1"/>
  <c r="B18" i="114" s="1"/>
  <c r="E35" i="104"/>
  <c r="F35" i="104" s="1"/>
  <c r="B13" i="114" s="1"/>
  <c r="E40" i="104"/>
  <c r="F40" i="104" s="1"/>
  <c r="B19" i="114" s="1"/>
  <c r="E30" i="104"/>
  <c r="F30" i="104" s="1"/>
  <c r="B7" i="114" s="1"/>
  <c r="E55" i="104"/>
  <c r="F55" i="104" s="1"/>
  <c r="B38" i="114" s="1"/>
  <c r="E41" i="104"/>
  <c r="F41" i="104" s="1"/>
  <c r="B20" i="114" s="1"/>
  <c r="E63" i="104"/>
  <c r="F63" i="104" s="1"/>
  <c r="B47" i="114" s="1"/>
  <c r="E64" i="104"/>
  <c r="F64" i="104" s="1"/>
  <c r="B48" i="114" s="1"/>
  <c r="E37" i="104"/>
  <c r="F37" i="104" s="1"/>
  <c r="B16" i="114" s="1"/>
  <c r="E54" i="104"/>
  <c r="F54" i="104" s="1"/>
  <c r="B37" i="114" s="1"/>
  <c r="E43" i="104"/>
  <c r="F43" i="104" s="1"/>
  <c r="B22" i="114" s="1"/>
  <c r="E59" i="104"/>
  <c r="F59" i="104" s="1"/>
  <c r="B42" i="114" s="1"/>
  <c r="E51" i="104"/>
  <c r="F51" i="104" s="1"/>
  <c r="B33" i="114" s="1"/>
  <c r="E31" i="104"/>
  <c r="F31" i="104" s="1"/>
  <c r="B8" i="114" s="1"/>
  <c r="E57" i="104"/>
  <c r="F57" i="104" s="1"/>
  <c r="B40" i="114" s="1"/>
  <c r="E52" i="104"/>
  <c r="F52" i="104" s="1"/>
  <c r="B34" i="114" s="1"/>
  <c r="E32" i="104"/>
  <c r="F32" i="104" s="1"/>
  <c r="B9" i="114" s="1"/>
  <c r="E34" i="104"/>
  <c r="F34" i="104" s="1"/>
  <c r="B12" i="114" s="1"/>
  <c r="E38" i="104"/>
  <c r="F38" i="104" s="1"/>
  <c r="B17" i="114" s="1"/>
  <c r="E44" i="104"/>
  <c r="F44" i="104" s="1"/>
  <c r="B24" i="114" s="1"/>
  <c r="E42" i="104"/>
  <c r="F42" i="104" s="1"/>
  <c r="B21" i="114" s="1"/>
  <c r="E33" i="104"/>
  <c r="F33" i="104" s="1"/>
  <c r="B10" i="114" s="1"/>
  <c r="E45" i="104"/>
  <c r="F45" i="104" s="1"/>
  <c r="B26" i="114" s="1"/>
  <c r="E29" i="104"/>
  <c r="E48" i="104"/>
  <c r="F48" i="104" s="1"/>
  <c r="B29" i="114" s="1"/>
  <c r="E58" i="104"/>
  <c r="F58" i="104" s="1"/>
  <c r="B41" i="114" s="1"/>
  <c r="E50" i="104"/>
  <c r="F50" i="104" s="1"/>
  <c r="B32" i="114" s="1"/>
  <c r="F42" i="114" l="1"/>
  <c r="M49" i="114"/>
  <c r="M52" i="114"/>
  <c r="F46" i="114"/>
  <c r="F44" i="114"/>
  <c r="M12" i="114"/>
  <c r="M35" i="114"/>
  <c r="F26" i="114"/>
  <c r="F22" i="114"/>
  <c r="M33" i="114"/>
  <c r="F49" i="114"/>
  <c r="M55" i="114"/>
  <c r="M8" i="114"/>
  <c r="F23" i="114"/>
  <c r="M44" i="114"/>
  <c r="F37" i="114"/>
  <c r="F56" i="114"/>
  <c r="M57" i="114"/>
  <c r="M17" i="114"/>
  <c r="F54" i="114"/>
  <c r="M23" i="114"/>
  <c r="F10" i="114"/>
  <c r="F16" i="114"/>
  <c r="M27" i="114"/>
  <c r="M51" i="114"/>
  <c r="F45" i="114"/>
  <c r="F14" i="114"/>
  <c r="M7" i="114"/>
  <c r="F24" i="114"/>
  <c r="M34" i="114"/>
  <c r="M54" i="114"/>
  <c r="F48" i="114"/>
  <c r="F27" i="114"/>
  <c r="M36" i="114"/>
  <c r="F14" i="104"/>
  <c r="E26" i="104"/>
  <c r="M53" i="114"/>
  <c r="F47" i="114"/>
  <c r="F39" i="114"/>
  <c r="M46" i="114"/>
  <c r="M16" i="114"/>
  <c r="F53" i="114"/>
  <c r="M28" i="114"/>
  <c r="F17" i="114"/>
  <c r="F12" i="114"/>
  <c r="M24" i="114"/>
  <c r="M31" i="114"/>
  <c r="F20" i="114"/>
  <c r="M26" i="114"/>
  <c r="F15" i="114"/>
  <c r="F52" i="114"/>
  <c r="M15" i="114"/>
  <c r="M32" i="114"/>
  <c r="F21" i="114"/>
  <c r="M45" i="114"/>
  <c r="F38" i="114"/>
  <c r="F35" i="114"/>
  <c r="M43" i="114"/>
  <c r="M14" i="114"/>
  <c r="F51" i="114"/>
  <c r="F9" i="114"/>
  <c r="M22" i="114"/>
  <c r="F34" i="114"/>
  <c r="M42" i="114"/>
  <c r="M20" i="114"/>
  <c r="F7" i="114"/>
  <c r="M50" i="114"/>
  <c r="F43" i="114"/>
  <c r="F50" i="114"/>
  <c r="M13" i="114"/>
  <c r="M40" i="114"/>
  <c r="F32" i="114"/>
  <c r="F40" i="114"/>
  <c r="M47" i="114"/>
  <c r="F19" i="114"/>
  <c r="M30" i="114"/>
  <c r="M39" i="114"/>
  <c r="F31" i="114"/>
  <c r="M9" i="114"/>
  <c r="F25" i="114"/>
  <c r="F41" i="114"/>
  <c r="M48" i="114"/>
  <c r="M21" i="114"/>
  <c r="F8" i="114"/>
  <c r="M25" i="114"/>
  <c r="F13" i="114"/>
  <c r="F55" i="114"/>
  <c r="M56" i="114"/>
  <c r="F36" i="114"/>
  <c r="M11" i="114"/>
  <c r="F29" i="104"/>
  <c r="E68" i="104"/>
  <c r="F29" i="114"/>
  <c r="M38" i="114"/>
  <c r="M41" i="114"/>
  <c r="F33" i="114"/>
  <c r="F18" i="114"/>
  <c r="M29" i="114"/>
  <c r="M37" i="114"/>
  <c r="F28" i="114"/>
  <c r="F30" i="114"/>
  <c r="M10" i="114"/>
  <c r="N40" i="114" l="1"/>
  <c r="N14" i="114"/>
  <c r="N31" i="114"/>
  <c r="F26" i="104"/>
  <c r="B11" i="114"/>
  <c r="N41" i="114"/>
  <c r="N43" i="114"/>
  <c r="N33" i="114"/>
  <c r="N27" i="114"/>
  <c r="N38" i="114"/>
  <c r="N13" i="114"/>
  <c r="N24" i="114"/>
  <c r="N23" i="114"/>
  <c r="N55" i="114"/>
  <c r="N21" i="114"/>
  <c r="N48" i="114"/>
  <c r="N36" i="114"/>
  <c r="E69" i="104"/>
  <c r="N54" i="114"/>
  <c r="N17" i="114"/>
  <c r="N35" i="114"/>
  <c r="N57" i="114"/>
  <c r="N12" i="114"/>
  <c r="N50" i="114"/>
  <c r="N10" i="114"/>
  <c r="N39" i="114"/>
  <c r="N20" i="114"/>
  <c r="N32" i="114"/>
  <c r="N16" i="114"/>
  <c r="N45" i="114"/>
  <c r="N56" i="114"/>
  <c r="N15" i="114"/>
  <c r="N46" i="114"/>
  <c r="N7" i="114"/>
  <c r="N9" i="114"/>
  <c r="N28" i="114"/>
  <c r="N34" i="114"/>
  <c r="N42" i="114"/>
  <c r="N37" i="114"/>
  <c r="N44" i="114"/>
  <c r="N52" i="114"/>
  <c r="N11" i="114"/>
  <c r="N30" i="114"/>
  <c r="N29" i="114"/>
  <c r="N47" i="114"/>
  <c r="N22" i="114"/>
  <c r="N49" i="114"/>
  <c r="B6" i="114"/>
  <c r="F68" i="104"/>
  <c r="N25" i="114"/>
  <c r="N26" i="114"/>
  <c r="N53" i="114"/>
  <c r="N51" i="114"/>
  <c r="N8" i="114"/>
  <c r="F69" i="104" l="1"/>
  <c r="B57" i="114"/>
  <c r="M19" i="114"/>
  <c r="F6" i="114"/>
  <c r="M6" i="114"/>
  <c r="F11" i="114"/>
  <c r="N6" i="114" l="1"/>
  <c r="N18" i="114" s="1"/>
  <c r="M18" i="114"/>
  <c r="M58" i="114"/>
  <c r="N19" i="114"/>
  <c r="N58" i="114" s="1"/>
  <c r="F57" i="114"/>
  <c r="M59" i="114" l="1"/>
  <c r="N59" i="114"/>
</calcChain>
</file>

<file path=xl/sharedStrings.xml><?xml version="1.0" encoding="utf-8"?>
<sst xmlns="http://schemas.openxmlformats.org/spreadsheetml/2006/main" count="1171" uniqueCount="212">
  <si>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</si>
  <si>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</si>
  <si>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</si>
  <si>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</si>
  <si>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</si>
  <si>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</si>
  <si>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</si>
  <si>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</si>
  <si>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</si>
  <si>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</si>
  <si>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</si>
  <si>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</si>
  <si>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</si>
  <si>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</si>
  <si>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</si>
  <si>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</si>
  <si>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</si>
  <si>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</si>
  <si>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</si>
  <si>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</si>
  <si>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</si>
  <si>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</si>
  <si>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</si>
  <si>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</si>
  <si>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</si>
  <si>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</si>
  <si>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</si>
  <si>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</si>
  <si>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</si>
  <si>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</si>
  <si>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</si>
  <si>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</si>
  <si>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</si>
  <si>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</si>
  <si>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</si>
  <si>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</si>
  <si>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</si>
  <si>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</si>
  <si>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</si>
  <si>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</si>
  <si>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</si>
  <si>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</si>
  <si>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</si>
  <si>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</si>
  <si>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</si>
  <si>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</si>
  <si>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</si>
  <si>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</si>
  <si>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</si>
  <si>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</si>
  <si>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</si>
  <si>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</si>
  <si>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</si>
  <si>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</si>
  <si>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</si>
  <si>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</si>
  <si>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</si>
  <si>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</si>
  <si>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</si>
  <si>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</si>
  <si>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</si>
  <si>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</si>
  <si>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</si>
  <si>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</si>
  <si>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</si>
  <si>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</si>
  <si>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</si>
  <si>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</si>
  <si>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</si>
  <si>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</si>
  <si>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</si>
  <si>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</si>
  <si>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</si>
  <si>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</si>
  <si>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</si>
  <si>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</si>
  <si>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Pob Ing &lt; A 2 Salarios Min
2000</t>
  </si>
  <si>
    <t>Pob Ing &lt; A 2 Salarios Min
2010</t>
  </si>
  <si>
    <t>Pob 15 Años O + no sabe leer ni escribir 2010</t>
  </si>
  <si>
    <t>Pob sin Acceso A Drenaje 2010</t>
  </si>
  <si>
    <t>Pob sin Acceso A  Electricidad 2010</t>
  </si>
  <si>
    <t>Territorio</t>
  </si>
  <si>
    <t>Población y Territorio</t>
  </si>
  <si>
    <t>Crecimiento 2010</t>
  </si>
  <si>
    <t>Mejora 2010</t>
  </si>
  <si>
    <t>Coeficiente de Recaudación Predial</t>
  </si>
  <si>
    <t>85% población</t>
  </si>
  <si>
    <t>15% Territorio</t>
  </si>
  <si>
    <t>Coeficiente Población y Territorio</t>
  </si>
  <si>
    <t>15% Coeficiente Mejora Social 2010</t>
  </si>
  <si>
    <t>Carencia Social 2010</t>
  </si>
  <si>
    <t>Coeficiente de Mejora 2010</t>
  </si>
  <si>
    <t>85% Carencia Social 2010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</si>
  <si>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</si>
  <si>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</si>
  <si>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</si>
  <si>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</si>
  <si>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</si>
  <si>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</si>
  <si>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</si>
  <si>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</si>
  <si>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</si>
  <si>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</si>
  <si>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</si>
  <si>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</si>
  <si>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</si>
  <si>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</si>
  <si>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</si>
  <si>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</si>
  <si>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</si>
  <si>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</si>
  <si>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</si>
  <si>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</si>
  <si>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</si>
  <si>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</si>
  <si>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</si>
  <si>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</si>
  <si>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</si>
  <si>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</si>
  <si>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</si>
  <si>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</si>
  <si>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</si>
  <si>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</si>
  <si>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</si>
  <si>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</si>
  <si>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</si>
  <si>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</si>
  <si>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</si>
  <si>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</si>
  <si>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</si>
  <si>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</si>
  <si>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</si>
  <si>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</si>
  <si>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</si>
  <si>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</si>
  <si>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</si>
  <si>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</si>
  <si>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</si>
  <si>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</si>
  <si>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</si>
  <si>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</si>
  <si>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</si>
  <si>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</si>
  <si>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</si>
  <si>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</si>
  <si>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</si>
  <si>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</si>
  <si>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</si>
  <si>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</si>
  <si>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</si>
  <si>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</si>
  <si>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</si>
  <si>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</si>
  <si>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</si>
  <si>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</si>
  <si>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</si>
  <si>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</si>
  <si>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</si>
  <si>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</si>
  <si>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</si>
  <si>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</si>
  <si>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</si>
  <si>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</si>
  <si>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</si>
  <si>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</si>
  <si>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</si>
  <si>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</si>
  <si>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</si>
  <si>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</si>
  <si>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</si>
  <si>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</si>
  <si>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</si>
  <si>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</si>
  <si>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</si>
  <si>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</si>
  <si>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</si>
  <si>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</si>
  <si>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</si>
  <si>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</si>
  <si>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</si>
  <si>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</si>
  <si>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</si>
  <si>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</si>
  <si>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 LOS FONDOS DESCENTRALIZADOS ESTIMACION 2021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</si>
  <si>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</si>
  <si>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</si>
  <si>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</si>
  <si>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</si>
  <si>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</si>
  <si>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</si>
  <si>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Fondo Descentralizados  Pagadas 2020</t>
  </si>
  <si>
    <t>Población 2020 INEGI</t>
  </si>
  <si>
    <t>Aportaciones 2020</t>
  </si>
  <si>
    <t>PAGADO 2020</t>
  </si>
  <si>
    <t>PARTICIPACIONES 2021</t>
  </si>
  <si>
    <t>Participación Mes</t>
  </si>
  <si>
    <t>PARTICIPACIONES ENERO 2021</t>
  </si>
  <si>
    <t>ISR Enajenación</t>
  </si>
  <si>
    <t>Recaudación 2020</t>
  </si>
  <si>
    <t>Facturación 2020</t>
  </si>
  <si>
    <t>Eficiencia 2020</t>
  </si>
  <si>
    <t>Crecimiento Rec 2020</t>
  </si>
  <si>
    <t>Proyección de Población CONAPO 2020</t>
  </si>
  <si>
    <t>Eficiencia de Recaudación Predial ponderada por Monto 2020</t>
  </si>
  <si>
    <t>Carencia Social 2010*</t>
  </si>
  <si>
    <t>Pob 15 Años O + no sabe leer ni escribir 2020</t>
  </si>
  <si>
    <t>Pob sin Acceso A Drenaje 2020</t>
  </si>
  <si>
    <t>Pob sin Acceso A  Electricidad 2020</t>
  </si>
  <si>
    <t>Ajuste FOFIR</t>
  </si>
  <si>
    <t>Fondo de Extracción de Hidrocarburos (FEXHI)</t>
  </si>
  <si>
    <t>Ajuste mensual</t>
  </si>
  <si>
    <t>FEIEF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</si>
</sst>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41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37" fillId="26" borderId="0" xfId="132" applyFont="1" applyFill="1" applyBorder="1" applyAlignment="1">
      <alignment horizontal="center" vertical="center"/>
    </xf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48" xfId="132" applyNumberFormat="1" applyFont="1" applyFill="1" applyBorder="1" applyAlignment="1">
      <alignment horizontal="center" vertical="center" wrapText="1"/>
    </xf>
    <xf numFmtId="172" fontId="0" fillId="24" borderId="11" xfId="49" applyNumberFormat="1" applyFont="1" applyFill="1" applyBorder="1"/>
    <xf numFmtId="172" fontId="12" fillId="24" borderId="13" xfId="49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49" fontId="12" fillId="24" borderId="53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2" fontId="0" fillId="24" borderId="12" xfId="49" applyNumberFormat="1" applyFont="1" applyFill="1" applyBorder="1"/>
    <xf numFmtId="170" fontId="12" fillId="24" borderId="13" xfId="49" applyNumberFormat="1" applyFont="1" applyFill="1" applyBorder="1"/>
    <xf numFmtId="172" fontId="12" fillId="24" borderId="15" xfId="49" applyNumberFormat="1" applyFont="1" applyFill="1" applyBorder="1"/>
    <xf numFmtId="0" fontId="12" fillId="24" borderId="55" xfId="132" applyFont="1" applyFill="1" applyBorder="1" applyAlignment="1">
      <alignment horizontal="center" vertical="center" wrapText="1"/>
    </xf>
    <xf numFmtId="0" fontId="12" fillId="24" borderId="55" xfId="132" applyFont="1" applyFill="1" applyBorder="1" applyAlignment="1">
      <alignment horizontal="center" vertical="center"/>
    </xf>
    <xf numFmtId="0" fontId="12" fillId="24" borderId="56" xfId="132" applyFont="1" applyFill="1" applyBorder="1" applyAlignment="1">
      <alignment horizontal="center" vertical="center" wrapText="1"/>
    </xf>
    <xf numFmtId="49" fontId="12" fillId="24" borderId="57" xfId="132" applyNumberFormat="1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7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4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0" fontId="12" fillId="0" borderId="63" xfId="51" applyFont="1" applyBorder="1" applyAlignment="1">
      <alignment horizontal="center" vertical="center" wrapText="1"/>
    </xf>
    <xf numFmtId="38" fontId="9" fillId="0" borderId="64" xfId="51" applyNumberFormat="1" applyFont="1" applyBorder="1" applyAlignment="1">
      <alignment vertical="center" wrapText="1"/>
    </xf>
    <xf numFmtId="10" fontId="9" fillId="0" borderId="64" xfId="38" applyNumberFormat="1" applyFont="1" applyFill="1" applyBorder="1" applyAlignment="1">
      <alignment vertical="center" wrapText="1"/>
    </xf>
    <xf numFmtId="170" fontId="9" fillId="0" borderId="64" xfId="140" applyNumberFormat="1" applyFont="1" applyFill="1" applyBorder="1" applyAlignment="1">
      <alignment vertical="center" wrapText="1"/>
    </xf>
    <xf numFmtId="0" fontId="9" fillId="0" borderId="65" xfId="51" applyBorder="1"/>
    <xf numFmtId="0" fontId="9" fillId="0" borderId="0" xfId="51" applyBorder="1"/>
    <xf numFmtId="0" fontId="9" fillId="0" borderId="66" xfId="51" applyBorder="1"/>
    <xf numFmtId="0" fontId="12" fillId="0" borderId="69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3" xfId="138" applyFont="1" applyFill="1" applyBorder="1" applyAlignment="1" applyProtection="1">
      <alignment horizontal="center" vertical="center" wrapText="1"/>
      <protection hidden="1"/>
    </xf>
    <xf numFmtId="39" fontId="42" fillId="0" borderId="73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4" xfId="138" applyFont="1" applyFill="1" applyBorder="1" applyAlignment="1" applyProtection="1">
      <alignment horizontal="left"/>
      <protection hidden="1"/>
    </xf>
    <xf numFmtId="37" fontId="9" fillId="0" borderId="75" xfId="138" applyFont="1" applyFill="1" applyBorder="1" applyAlignment="1" applyProtection="1">
      <protection hidden="1"/>
    </xf>
    <xf numFmtId="179" fontId="44" fillId="0" borderId="75" xfId="52" applyNumberFormat="1" applyFont="1" applyFill="1" applyBorder="1" applyProtection="1">
      <protection hidden="1"/>
    </xf>
    <xf numFmtId="37" fontId="9" fillId="0" borderId="78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1" xfId="138" applyFont="1" applyFill="1" applyBorder="1" applyAlignment="1" applyProtection="1">
      <alignment horizontal="left"/>
      <protection hidden="1"/>
    </xf>
    <xf numFmtId="37" fontId="12" fillId="0" borderId="82" xfId="138" applyFont="1" applyFill="1" applyBorder="1" applyAlignment="1" applyProtection="1">
      <protection hidden="1"/>
    </xf>
    <xf numFmtId="179" fontId="46" fillId="0" borderId="82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179" fontId="44" fillId="0" borderId="75" xfId="52" applyNumberFormat="1" applyFont="1" applyBorder="1" applyProtection="1">
      <protection hidden="1"/>
    </xf>
    <xf numFmtId="37" fontId="9" fillId="0" borderId="80" xfId="138" applyFont="1" applyFill="1" applyBorder="1" applyAlignment="1" applyProtection="1">
      <alignment horizontal="left"/>
      <protection hidden="1"/>
    </xf>
    <xf numFmtId="37" fontId="12" fillId="0" borderId="84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5" xfId="132" applyNumberFormat="1" applyFont="1" applyFill="1" applyBorder="1" applyAlignment="1">
      <alignment horizontal="center"/>
    </xf>
    <xf numFmtId="37" fontId="12" fillId="24" borderId="73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6" xfId="138" applyFont="1" applyFill="1" applyBorder="1" applyAlignment="1" applyProtection="1">
      <alignment horizontal="left"/>
      <protection hidden="1"/>
    </xf>
    <xf numFmtId="179" fontId="9" fillId="24" borderId="87" xfId="52" applyNumberFormat="1" applyFont="1" applyFill="1" applyBorder="1" applyAlignment="1" applyProtection="1">
      <protection hidden="1"/>
    </xf>
    <xf numFmtId="179" fontId="44" fillId="24" borderId="87" xfId="52" applyNumberFormat="1" applyFont="1" applyFill="1" applyBorder="1" applyProtection="1">
      <protection hidden="1"/>
    </xf>
    <xf numFmtId="39" fontId="9" fillId="24" borderId="88" xfId="52" applyNumberFormat="1" applyFont="1" applyFill="1" applyBorder="1" applyProtection="1">
      <protection hidden="1"/>
    </xf>
    <xf numFmtId="37" fontId="9" fillId="24" borderId="89" xfId="138" applyFont="1" applyFill="1" applyBorder="1" applyAlignment="1" applyProtection="1">
      <alignment horizontal="left"/>
      <protection hidden="1"/>
    </xf>
    <xf numFmtId="179" fontId="9" fillId="24" borderId="90" xfId="52" applyNumberFormat="1" applyFont="1" applyFill="1" applyBorder="1" applyAlignment="1" applyProtection="1">
      <protection hidden="1"/>
    </xf>
    <xf numFmtId="179" fontId="44" fillId="24" borderId="90" xfId="52" applyNumberFormat="1" applyFont="1" applyFill="1" applyBorder="1" applyProtection="1">
      <protection hidden="1"/>
    </xf>
    <xf numFmtId="39" fontId="9" fillId="24" borderId="91" xfId="52" applyNumberFormat="1" applyFont="1" applyFill="1" applyBorder="1" applyProtection="1">
      <protection hidden="1"/>
    </xf>
    <xf numFmtId="37" fontId="12" fillId="24" borderId="92" xfId="138" applyFont="1" applyFill="1" applyBorder="1" applyAlignment="1" applyProtection="1">
      <alignment horizontal="left"/>
      <protection hidden="1"/>
    </xf>
    <xf numFmtId="179" fontId="9" fillId="24" borderId="93" xfId="52" applyNumberFormat="1" applyFont="1" applyFill="1" applyBorder="1" applyAlignment="1" applyProtection="1">
      <protection hidden="1"/>
    </xf>
    <xf numFmtId="179" fontId="44" fillId="24" borderId="93" xfId="52" applyNumberFormat="1" applyFont="1" applyFill="1" applyBorder="1" applyProtection="1">
      <protection hidden="1"/>
    </xf>
    <xf numFmtId="39" fontId="9" fillId="24" borderId="94" xfId="52" applyNumberFormat="1" applyFont="1" applyFill="1" applyBorder="1" applyProtection="1">
      <protection hidden="1"/>
    </xf>
    <xf numFmtId="37" fontId="12" fillId="24" borderId="59" xfId="138" applyFont="1" applyFill="1" applyBorder="1" applyAlignment="1" applyProtection="1">
      <alignment horizontal="left"/>
      <protection hidden="1"/>
    </xf>
    <xf numFmtId="184" fontId="9" fillId="24" borderId="59" xfId="138" applyNumberFormat="1" applyFont="1" applyFill="1" applyBorder="1" applyAlignment="1" applyProtection="1">
      <protection hidden="1"/>
    </xf>
    <xf numFmtId="182" fontId="44" fillId="24" borderId="59" xfId="38" applyNumberFormat="1" applyFont="1" applyFill="1" applyBorder="1" applyProtection="1">
      <protection hidden="1"/>
    </xf>
    <xf numFmtId="39" fontId="9" fillId="24" borderId="59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0" fillId="24" borderId="92" xfId="138" applyFont="1" applyFill="1" applyBorder="1" applyAlignment="1" applyProtection="1">
      <alignment horizontal="left"/>
      <protection hidden="1"/>
    </xf>
    <xf numFmtId="37" fontId="12" fillId="24" borderId="95" xfId="138" applyFont="1" applyFill="1" applyBorder="1" applyAlignment="1" applyProtection="1">
      <alignment horizontal="left"/>
      <protection hidden="1"/>
    </xf>
    <xf numFmtId="179" fontId="40" fillId="24" borderId="96" xfId="52" applyNumberFormat="1" applyFont="1" applyFill="1" applyBorder="1" applyAlignment="1" applyProtection="1">
      <protection hidden="1"/>
    </xf>
    <xf numFmtId="179" fontId="46" fillId="24" borderId="96" xfId="52" applyNumberFormat="1" applyFont="1" applyFill="1" applyBorder="1" applyProtection="1">
      <protection hidden="1"/>
    </xf>
    <xf numFmtId="39" fontId="12" fillId="24" borderId="97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8" xfId="140" applyNumberFormat="1" applyFont="1" applyFill="1" applyBorder="1" applyAlignment="1">
      <alignment vertical="center" wrapText="1"/>
    </xf>
    <xf numFmtId="170" fontId="12" fillId="24" borderId="100" xfId="49" applyNumberFormat="1" applyFont="1" applyFill="1" applyBorder="1" applyAlignment="1">
      <alignment horizontal="center" vertical="center" wrapText="1"/>
    </xf>
    <xf numFmtId="170" fontId="12" fillId="24" borderId="80" xfId="49" applyNumberFormat="1" applyFont="1" applyFill="1" applyBorder="1"/>
    <xf numFmtId="170" fontId="12" fillId="24" borderId="83" xfId="49" applyNumberFormat="1" applyFont="1" applyFill="1" applyBorder="1"/>
    <xf numFmtId="0" fontId="12" fillId="24" borderId="0" xfId="0" applyFont="1" applyFill="1"/>
    <xf numFmtId="0" fontId="12" fillId="24" borderId="80" xfId="0" applyFont="1" applyFill="1" applyBorder="1"/>
    <xf numFmtId="9" fontId="12" fillId="24" borderId="80" xfId="0" applyNumberFormat="1" applyFont="1" applyFill="1" applyBorder="1"/>
    <xf numFmtId="9" fontId="12" fillId="24" borderId="104" xfId="0" applyNumberFormat="1" applyFont="1" applyFill="1" applyBorder="1"/>
    <xf numFmtId="0" fontId="12" fillId="24" borderId="107" xfId="0" applyFont="1" applyFill="1" applyBorder="1"/>
    <xf numFmtId="170" fontId="12" fillId="24" borderId="75" xfId="49" applyNumberFormat="1" applyFont="1" applyFill="1" applyBorder="1" applyAlignment="1">
      <alignment horizontal="center" vertical="center" wrapText="1"/>
    </xf>
    <xf numFmtId="0" fontId="0" fillId="24" borderId="76" xfId="0" applyFill="1" applyBorder="1"/>
    <xf numFmtId="170" fontId="12" fillId="24" borderId="113" xfId="49" applyNumberFormat="1" applyFont="1" applyFill="1" applyBorder="1" applyAlignment="1">
      <alignment horizontal="center" vertical="center" wrapText="1"/>
    </xf>
    <xf numFmtId="170" fontId="12" fillId="24" borderId="114" xfId="49" applyNumberFormat="1" applyFont="1" applyFill="1" applyBorder="1" applyAlignment="1">
      <alignment horizontal="center" vertical="center" wrapText="1"/>
    </xf>
    <xf numFmtId="43" fontId="12" fillId="24" borderId="102" xfId="0" applyNumberFormat="1" applyFont="1" applyFill="1" applyBorder="1"/>
    <xf numFmtId="170" fontId="12" fillId="24" borderId="102" xfId="140" applyNumberFormat="1" applyFont="1" applyFill="1" applyBorder="1"/>
    <xf numFmtId="170" fontId="12" fillId="24" borderId="103" xfId="140" applyNumberFormat="1" applyFont="1" applyFill="1" applyBorder="1"/>
    <xf numFmtId="170" fontId="0" fillId="24" borderId="109" xfId="140" applyNumberFormat="1" applyFont="1" applyFill="1" applyBorder="1"/>
    <xf numFmtId="170" fontId="0" fillId="24" borderId="79" xfId="140" applyNumberFormat="1" applyFont="1" applyFill="1" applyBorder="1"/>
    <xf numFmtId="170" fontId="0" fillId="24" borderId="110" xfId="140" applyNumberFormat="1" applyFont="1" applyFill="1" applyBorder="1"/>
    <xf numFmtId="170" fontId="0" fillId="24" borderId="106" xfId="140" applyNumberFormat="1" applyFont="1" applyFill="1" applyBorder="1"/>
    <xf numFmtId="39" fontId="44" fillId="0" borderId="101" xfId="52" applyNumberFormat="1" applyFont="1" applyFill="1" applyBorder="1" applyProtection="1">
      <protection hidden="1"/>
    </xf>
    <xf numFmtId="39" fontId="44" fillId="0" borderId="102" xfId="52" applyNumberFormat="1" applyFont="1" applyFill="1" applyBorder="1" applyProtection="1">
      <protection hidden="1"/>
    </xf>
    <xf numFmtId="39" fontId="44" fillId="0" borderId="102" xfId="52" applyNumberFormat="1" applyFont="1" applyBorder="1" applyProtection="1">
      <protection hidden="1"/>
    </xf>
    <xf numFmtId="39" fontId="46" fillId="0" borderId="108" xfId="52" applyNumberFormat="1" applyFont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28" xfId="52" applyNumberFormat="1" applyFont="1" applyBorder="1" applyProtection="1">
      <protection hidden="1"/>
    </xf>
    <xf numFmtId="37" fontId="9" fillId="0" borderId="113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9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 applyAlignment="1">
      <alignment horizontal="center" vertical="center" wrapText="1"/>
    </xf>
    <xf numFmtId="170" fontId="12" fillId="24" borderId="80" xfId="49" applyNumberFormat="1" applyFont="1" applyFill="1" applyBorder="1" applyAlignment="1">
      <alignment horizontal="left" vertical="center" wrapText="1"/>
    </xf>
    <xf numFmtId="170" fontId="12" fillId="24" borderId="80" xfId="49" applyNumberFormat="1" applyFont="1" applyFill="1" applyBorder="1" applyAlignment="1">
      <alignment horizontal="left"/>
    </xf>
    <xf numFmtId="170" fontId="12" fillId="24" borderId="133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/>
    <xf numFmtId="170" fontId="9" fillId="24" borderId="130" xfId="49" applyNumberFormat="1" applyFont="1" applyFill="1" applyBorder="1"/>
    <xf numFmtId="170" fontId="12" fillId="24" borderId="134" xfId="49" applyNumberFormat="1" applyFont="1" applyFill="1" applyBorder="1"/>
    <xf numFmtId="49" fontId="12" fillId="26" borderId="135" xfId="141" applyNumberFormat="1" applyFont="1" applyFill="1" applyBorder="1" applyAlignment="1">
      <alignment horizontal="center" vertical="center" wrapText="1"/>
    </xf>
    <xf numFmtId="0" fontId="0" fillId="24" borderId="131" xfId="0" applyFill="1" applyBorder="1"/>
    <xf numFmtId="170" fontId="0" fillId="24" borderId="102" xfId="0" applyNumberFormat="1" applyFill="1" applyBorder="1"/>
    <xf numFmtId="170" fontId="12" fillId="24" borderId="129" xfId="49" applyNumberFormat="1" applyFont="1" applyFill="1" applyBorder="1"/>
    <xf numFmtId="170" fontId="12" fillId="24" borderId="136" xfId="49" applyNumberFormat="1" applyFont="1" applyFill="1" applyBorder="1"/>
    <xf numFmtId="170" fontId="12" fillId="24" borderId="108" xfId="140" applyNumberFormat="1" applyFont="1" applyFill="1" applyBorder="1"/>
    <xf numFmtId="170" fontId="12" fillId="24" borderId="111" xfId="140" applyNumberFormat="1" applyFont="1" applyFill="1" applyBorder="1"/>
    <xf numFmtId="170" fontId="12" fillId="24" borderId="51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2" xfId="140" applyNumberFormat="1" applyFont="1" applyFill="1" applyBorder="1"/>
    <xf numFmtId="170" fontId="12" fillId="24" borderId="99" xfId="140" applyNumberFormat="1" applyFont="1" applyFill="1" applyBorder="1"/>
    <xf numFmtId="170" fontId="12" fillId="24" borderId="117" xfId="140" applyNumberFormat="1" applyFont="1" applyFill="1" applyBorder="1"/>
    <xf numFmtId="170" fontId="12" fillId="24" borderId="118" xfId="140" applyNumberFormat="1" applyFont="1" applyFill="1" applyBorder="1"/>
    <xf numFmtId="170" fontId="12" fillId="24" borderId="85" xfId="140" applyNumberFormat="1" applyFont="1" applyFill="1" applyBorder="1"/>
    <xf numFmtId="170" fontId="12" fillId="24" borderId="119" xfId="140" applyNumberFormat="1" applyFont="1" applyFill="1" applyBorder="1"/>
    <xf numFmtId="170" fontId="0" fillId="24" borderId="0" xfId="140" applyNumberFormat="1" applyFont="1" applyFill="1" applyBorder="1"/>
    <xf numFmtId="170" fontId="0" fillId="24" borderId="75" xfId="140" applyNumberFormat="1" applyFont="1" applyFill="1" applyBorder="1"/>
    <xf numFmtId="170" fontId="0" fillId="24" borderId="76" xfId="140" applyNumberFormat="1" applyFont="1" applyFill="1" applyBorder="1"/>
    <xf numFmtId="0" fontId="12" fillId="24" borderId="75" xfId="0" applyFont="1" applyFill="1" applyBorder="1" applyAlignment="1">
      <alignment horizontal="center" vertical="center" wrapText="1"/>
    </xf>
    <xf numFmtId="0" fontId="12" fillId="24" borderId="101" xfId="0" applyFont="1" applyFill="1" applyBorder="1" applyAlignment="1">
      <alignment horizontal="center" vertical="center" wrapText="1"/>
    </xf>
    <xf numFmtId="0" fontId="12" fillId="24" borderId="76" xfId="0" applyFont="1" applyFill="1" applyBorder="1" applyAlignment="1">
      <alignment horizontal="center" vertical="center" wrapText="1"/>
    </xf>
    <xf numFmtId="170" fontId="12" fillId="24" borderId="101" xfId="140" applyNumberFormat="1" applyFont="1" applyFill="1" applyBorder="1"/>
    <xf numFmtId="170" fontId="12" fillId="24" borderId="127" xfId="140" applyNumberFormat="1" applyFont="1" applyFill="1" applyBorder="1"/>
    <xf numFmtId="0" fontId="12" fillId="24" borderId="74" xfId="0" applyFont="1" applyFill="1" applyBorder="1"/>
    <xf numFmtId="0" fontId="12" fillId="24" borderId="78" xfId="0" applyFont="1" applyFill="1" applyBorder="1"/>
    <xf numFmtId="0" fontId="12" fillId="24" borderId="138" xfId="0" applyFont="1" applyFill="1" applyBorder="1"/>
    <xf numFmtId="170" fontId="12" fillId="24" borderId="137" xfId="140" applyNumberFormat="1" applyFont="1" applyFill="1" applyBorder="1"/>
    <xf numFmtId="170" fontId="12" fillId="24" borderId="105" xfId="140" applyNumberFormat="1" applyFont="1" applyFill="1" applyBorder="1"/>
    <xf numFmtId="170" fontId="0" fillId="24" borderId="0" xfId="0" applyNumberFormat="1" applyFill="1"/>
    <xf numFmtId="174" fontId="0" fillId="24" borderId="75" xfId="140" applyNumberFormat="1" applyFont="1" applyFill="1" applyBorder="1"/>
    <xf numFmtId="174" fontId="0" fillId="24" borderId="76" xfId="140" applyNumberFormat="1" applyFont="1" applyFill="1" applyBorder="1"/>
    <xf numFmtId="174" fontId="12" fillId="24" borderId="101" xfId="140" applyNumberFormat="1" applyFont="1" applyFill="1" applyBorder="1"/>
    <xf numFmtId="174" fontId="0" fillId="24" borderId="0" xfId="140" applyNumberFormat="1" applyFont="1" applyFill="1" applyBorder="1"/>
    <xf numFmtId="174" fontId="0" fillId="24" borderId="79" xfId="140" applyNumberFormat="1" applyFont="1" applyFill="1" applyBorder="1"/>
    <xf numFmtId="174" fontId="12" fillId="24" borderId="102" xfId="140" applyNumberFormat="1" applyFont="1" applyFill="1" applyBorder="1"/>
    <xf numFmtId="174" fontId="12" fillId="24" borderId="137" xfId="140" applyNumberFormat="1" applyFont="1" applyFill="1" applyBorder="1"/>
    <xf numFmtId="174" fontId="12" fillId="24" borderId="105" xfId="140" applyNumberFormat="1" applyFont="1" applyFill="1" applyBorder="1"/>
    <xf numFmtId="174" fontId="12" fillId="24" borderId="127" xfId="140" applyNumberFormat="1" applyFont="1" applyFill="1" applyBorder="1"/>
    <xf numFmtId="170" fontId="9" fillId="31" borderId="64" xfId="140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43" fontId="0" fillId="24" borderId="0" xfId="0" applyNumberFormat="1" applyFill="1"/>
    <xf numFmtId="43" fontId="9" fillId="0" borderId="0" xfId="51" applyNumberFormat="1"/>
    <xf numFmtId="176" fontId="12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0" fontId="12" fillId="0" borderId="99" xfId="51" applyFont="1" applyBorder="1" applyAlignment="1">
      <alignment vertical="center"/>
    </xf>
    <xf numFmtId="49" fontId="12" fillId="24" borderId="135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5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5" xfId="132" applyNumberFormat="1" applyFont="1" applyFill="1" applyBorder="1" applyAlignment="1">
      <alignment horizontal="center" vertical="center" wrapText="1"/>
    </xf>
    <xf numFmtId="170" fontId="0" fillId="24" borderId="111" xfId="49" applyNumberFormat="1" applyFont="1" applyFill="1" applyBorder="1"/>
    <xf numFmtId="170" fontId="0" fillId="24" borderId="51" xfId="49" applyNumberFormat="1" applyFont="1" applyFill="1" applyBorder="1"/>
    <xf numFmtId="176" fontId="9" fillId="0" borderId="10" xfId="51" applyNumberFormat="1" applyFont="1" applyBorder="1" applyAlignment="1">
      <alignment horizontal="center" vertical="center" wrapText="1"/>
    </xf>
    <xf numFmtId="176" fontId="12" fillId="0" borderId="10" xfId="51" applyNumberFormat="1" applyFont="1" applyBorder="1" applyAlignment="1">
      <alignment horizontal="center" vertical="center" wrapText="1"/>
    </xf>
    <xf numFmtId="172" fontId="9" fillId="24" borderId="0" xfId="132" applyNumberFormat="1" applyFill="1"/>
    <xf numFmtId="170" fontId="12" fillId="24" borderId="0" xfId="49" applyNumberFormat="1" applyFont="1" applyFill="1" applyBorder="1" applyAlignment="1">
      <alignment horizontal="center"/>
    </xf>
    <xf numFmtId="170" fontId="12" fillId="0" borderId="70" xfId="140" applyNumberFormat="1" applyFont="1" applyBorder="1" applyAlignment="1">
      <alignment horizontal="center" vertical="center" wrapText="1"/>
    </xf>
    <xf numFmtId="170" fontId="12" fillId="0" borderId="72" xfId="140" applyNumberFormat="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6" xfId="51" applyFont="1" applyBorder="1" applyAlignment="1">
      <alignment horizontal="center" vertical="center" wrapText="1"/>
    </xf>
    <xf numFmtId="0" fontId="12" fillId="0" borderId="123" xfId="51" applyFont="1" applyBorder="1" applyAlignment="1">
      <alignment horizontal="center" vertical="center" wrapText="1"/>
    </xf>
    <xf numFmtId="0" fontId="12" fillId="0" borderId="30" xfId="51" applyFont="1" applyBorder="1" applyAlignment="1">
      <alignment horizontal="center" vertical="center" wrapText="1"/>
    </xf>
    <xf numFmtId="0" fontId="12" fillId="0" borderId="67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8" xfId="51" applyFont="1" applyBorder="1" applyAlignment="1">
      <alignment horizontal="center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121" xfId="51" applyFont="1" applyBorder="1" applyAlignment="1">
      <alignment horizontal="center" vertical="center" wrapText="1"/>
    </xf>
    <xf numFmtId="0" fontId="36" fillId="0" borderId="51" xfId="51" applyFont="1" applyBorder="1" applyAlignment="1">
      <alignment horizontal="center" vertical="center"/>
    </xf>
    <xf numFmtId="0" fontId="36" fillId="0" borderId="68" xfId="51" applyFont="1" applyBorder="1" applyAlignment="1">
      <alignment horizontal="center" vertical="center"/>
    </xf>
    <xf numFmtId="0" fontId="36" fillId="0" borderId="99" xfId="51" applyFont="1" applyBorder="1" applyAlignment="1">
      <alignment horizontal="center" vertical="center"/>
    </xf>
    <xf numFmtId="0" fontId="36" fillId="0" borderId="122" xfId="51" applyFont="1" applyBorder="1" applyAlignment="1">
      <alignment horizontal="center" vertical="center"/>
    </xf>
    <xf numFmtId="0" fontId="12" fillId="24" borderId="77" xfId="0" applyFont="1" applyFill="1" applyBorder="1" applyAlignment="1">
      <alignment horizontal="left" vertical="center" wrapText="1"/>
    </xf>
    <xf numFmtId="0" fontId="12" fillId="24" borderId="80" xfId="0" applyFont="1" applyFill="1" applyBorder="1" applyAlignment="1">
      <alignment horizontal="left" vertical="center" wrapText="1"/>
    </xf>
    <xf numFmtId="170" fontId="12" fillId="24" borderId="120" xfId="140" applyNumberFormat="1" applyFont="1" applyFill="1" applyBorder="1" applyAlignment="1">
      <alignment horizontal="center" vertical="center"/>
    </xf>
    <xf numFmtId="170" fontId="12" fillId="24" borderId="102" xfId="140" applyNumberFormat="1" applyFont="1" applyFill="1" applyBorder="1" applyAlignment="1">
      <alignment horizontal="center" vertic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37" fontId="35" fillId="24" borderId="85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0" fontId="12" fillId="0" borderId="0" xfId="51" applyFont="1" applyAlignment="1">
      <alignment horizontal="center" vertical="center"/>
    </xf>
    <xf numFmtId="0" fontId="36" fillId="30" borderId="23" xfId="132" applyFont="1" applyFill="1" applyBorder="1" applyAlignment="1">
      <alignment horizontal="center" vertical="center"/>
    </xf>
    <xf numFmtId="0" fontId="36" fillId="28" borderId="58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0"/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tabSelected="1" topLeftCell="B1" zoomScale="70" zoomScaleNormal="70" workbookViewId="0">
      <selection activeCell="H53" sqref="H53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6384" width="11.44140625" style="13"/>
  </cols>
  <sheetData>
    <row r="1" spans="1:14">
      <c r="A1" s="299" t="s">
        <v>95</v>
      </c>
      <c r="B1" s="299"/>
      <c r="C1" s="299"/>
      <c r="D1" s="299"/>
      <c r="E1" s="299"/>
      <c r="F1" s="299"/>
      <c r="I1" s="299" t="s">
        <v>95</v>
      </c>
      <c r="J1" s="299"/>
      <c r="K1" s="299"/>
      <c r="L1" s="299"/>
      <c r="M1" s="299"/>
      <c r="N1" s="299"/>
    </row>
    <row r="2" spans="1:14">
      <c r="A2" s="299" t="s">
        <v>96</v>
      </c>
      <c r="B2" s="299"/>
      <c r="C2" s="299"/>
      <c r="D2" s="299"/>
      <c r="E2" s="299"/>
      <c r="F2" s="299"/>
      <c r="I2" s="299" t="s">
        <v>96</v>
      </c>
      <c r="J2" s="299"/>
      <c r="K2" s="299"/>
      <c r="L2" s="299"/>
      <c r="M2" s="299"/>
      <c r="N2" s="299"/>
    </row>
    <row r="3" spans="1:14">
      <c r="A3" s="299" t="s">
        <v>176</v>
      </c>
      <c r="B3" s="299"/>
      <c r="C3" s="299"/>
      <c r="D3" s="299"/>
      <c r="E3" s="299"/>
      <c r="F3" s="299"/>
      <c r="I3" s="299" t="s">
        <v>176</v>
      </c>
      <c r="J3" s="299"/>
      <c r="K3" s="299"/>
      <c r="L3" s="299"/>
      <c r="M3" s="299"/>
      <c r="N3" s="299"/>
    </row>
    <row r="4" spans="1:14" ht="13.8" thickBot="1">
      <c r="A4" s="299" t="s">
        <v>187</v>
      </c>
      <c r="B4" s="299"/>
      <c r="C4" s="299"/>
      <c r="D4" s="299"/>
      <c r="E4" s="299"/>
      <c r="F4" s="299"/>
      <c r="I4" s="299" t="s">
        <v>187</v>
      </c>
      <c r="J4" s="299"/>
      <c r="K4" s="299"/>
      <c r="L4" s="299"/>
      <c r="M4" s="299"/>
      <c r="N4" s="299"/>
    </row>
    <row r="5" spans="1:14" ht="40.799999999999997" thickTop="1" thickBot="1">
      <c r="A5" s="64" t="s">
        <v>0</v>
      </c>
      <c r="B5" s="61" t="s">
        <v>147</v>
      </c>
      <c r="C5" s="61" t="s">
        <v>155</v>
      </c>
      <c r="D5" s="61" t="s">
        <v>160</v>
      </c>
      <c r="E5" s="61" t="s">
        <v>175</v>
      </c>
      <c r="F5" s="62" t="s">
        <v>53</v>
      </c>
      <c r="I5" s="267"/>
      <c r="J5" s="262" t="s">
        <v>177</v>
      </c>
      <c r="K5" s="262" t="s">
        <v>178</v>
      </c>
      <c r="L5" s="262" t="s">
        <v>179</v>
      </c>
      <c r="M5" s="264" t="s">
        <v>180</v>
      </c>
      <c r="N5" s="263" t="s">
        <v>53</v>
      </c>
    </row>
    <row r="6" spans="1:14">
      <c r="A6" s="65" t="s">
        <v>1</v>
      </c>
      <c r="B6" s="9">
        <f>VLOOKUP(A6,Seguridad!$A$14:$F$67,6,FALSE)</f>
        <v>379027.38268954761</v>
      </c>
      <c r="C6" s="9">
        <f>VLOOKUP(A6,Desarrollo!$A$13:$D$69,4,FALSE)</f>
        <v>272212.99</v>
      </c>
      <c r="D6" s="9">
        <f>IFERROR(VLOOKUP(A6,Ultracrecimiento!$A$6:$E$17,5,FALSE),0)</f>
        <v>0</v>
      </c>
      <c r="E6" s="9">
        <f>VLOOKUP(A6,Descentralizados!$A$6:$E$56,5,TRUE)/12</f>
        <v>147503.57513683924</v>
      </c>
      <c r="F6" s="63">
        <f t="shared" ref="F6:F56" si="0">SUM(B6:E6)</f>
        <v>798743.9478263869</v>
      </c>
      <c r="I6" s="267" t="s">
        <v>6</v>
      </c>
      <c r="J6" s="260">
        <f t="shared" ref="J6:J17" si="1">VLOOKUP(I6,$A$6:$E$56,3,FALSE)</f>
        <v>1991506.93</v>
      </c>
      <c r="K6" s="260">
        <f t="shared" ref="K6:K17" si="2">VLOOKUP(I6,$A$6:$E$56,4,FALSE)</f>
        <v>2183899.4320883485</v>
      </c>
      <c r="L6" s="260">
        <f t="shared" ref="L6:L17" si="3">VLOOKUP(I6,$A$6:$E$56,5,FALSE)</f>
        <v>1755948.5896930583</v>
      </c>
      <c r="M6" s="261">
        <f t="shared" ref="M6:M17" si="4">VLOOKUP(I6,$A$6:$E$56,2,FALSE)</f>
        <v>3067371.7608733568</v>
      </c>
      <c r="N6" s="265">
        <f>SUM(J6:M6)</f>
        <v>8998726.7126547638</v>
      </c>
    </row>
    <row r="7" spans="1:14">
      <c r="A7" s="65" t="s">
        <v>2</v>
      </c>
      <c r="B7" s="9">
        <f>VLOOKUP(A7,Seguridad!$A$14:$F$67,6,FALSE)</f>
        <v>385296.1</v>
      </c>
      <c r="C7" s="9">
        <f>VLOOKUP(A7,Desarrollo!$A$13:$D$69,4,FALSE)</f>
        <v>231273.47</v>
      </c>
      <c r="D7" s="9">
        <f>IFERROR(VLOOKUP(A7,Ultracrecimiento!$A$6:$E$17,5,FALSE),0)</f>
        <v>0</v>
      </c>
      <c r="E7" s="9">
        <f>VLOOKUP(A7,Descentralizados!$A$6:$E$56,5,TRUE)/12</f>
        <v>241719.38986644254</v>
      </c>
      <c r="F7" s="63">
        <f t="shared" si="0"/>
        <v>858288.95986644248</v>
      </c>
      <c r="I7" s="268" t="s">
        <v>9</v>
      </c>
      <c r="J7" s="259">
        <f t="shared" si="1"/>
        <v>798973.76</v>
      </c>
      <c r="K7" s="259">
        <f t="shared" si="2"/>
        <v>773402.37195868476</v>
      </c>
      <c r="L7" s="259">
        <f t="shared" si="3"/>
        <v>506731.01177109405</v>
      </c>
      <c r="M7" s="218">
        <f t="shared" si="4"/>
        <v>842841.94174135546</v>
      </c>
      <c r="N7" s="215">
        <f t="shared" ref="N7:N57" si="5">SUM(J7:M7)</f>
        <v>2921949.0854711346</v>
      </c>
    </row>
    <row r="8" spans="1:14">
      <c r="A8" s="65" t="s">
        <v>3</v>
      </c>
      <c r="B8" s="9">
        <f>VLOOKUP(A8,Seguridad!$A$14:$F$67,6,FALSE)</f>
        <v>354951.2</v>
      </c>
      <c r="C8" s="9">
        <f>VLOOKUP(A8,Desarrollo!$A$13:$D$69,4,FALSE)</f>
        <v>299933.28999999998</v>
      </c>
      <c r="D8" s="9">
        <f>IFERROR(VLOOKUP(A8,Ultracrecimiento!$A$6:$E$17,5,FALSE),0)</f>
        <v>0</v>
      </c>
      <c r="E8" s="9">
        <f>VLOOKUP(A8,Descentralizados!$A$6:$E$56,5,TRUE)/12</f>
        <v>194377.26047227017</v>
      </c>
      <c r="F8" s="63">
        <f t="shared" si="0"/>
        <v>849261.75047227019</v>
      </c>
      <c r="I8" s="268" t="s">
        <v>18</v>
      </c>
      <c r="J8" s="259">
        <f t="shared" si="1"/>
        <v>1112212.08</v>
      </c>
      <c r="K8" s="259">
        <f t="shared" si="2"/>
        <v>1304040.8730038148</v>
      </c>
      <c r="L8" s="259">
        <f t="shared" si="3"/>
        <v>681162.14782091079</v>
      </c>
      <c r="M8" s="218">
        <f t="shared" si="4"/>
        <v>1987610.9991475057</v>
      </c>
      <c r="N8" s="215">
        <f t="shared" si="5"/>
        <v>5085026.0999722313</v>
      </c>
    </row>
    <row r="9" spans="1:14">
      <c r="A9" s="65" t="s">
        <v>4</v>
      </c>
      <c r="B9" s="9">
        <f>VLOOKUP(A9,Seguridad!$A$14:$F$67,6,FALSE)</f>
        <v>875531.49</v>
      </c>
      <c r="C9" s="9">
        <f>VLOOKUP(A9,Desarrollo!$A$13:$D$69,4,FALSE)</f>
        <v>480104.97</v>
      </c>
      <c r="D9" s="9">
        <f>IFERROR(VLOOKUP(A9,Ultracrecimiento!$A$6:$E$17,5,FALSE),0)</f>
        <v>0</v>
      </c>
      <c r="E9" s="9">
        <f>VLOOKUP(A9,Descentralizados!$A$6:$E$56,5,TRUE)/12</f>
        <v>709853.38470981934</v>
      </c>
      <c r="F9" s="63">
        <f t="shared" si="0"/>
        <v>2065489.8447098192</v>
      </c>
      <c r="I9" s="268" t="s">
        <v>20</v>
      </c>
      <c r="J9" s="259">
        <f t="shared" si="1"/>
        <v>1350897.5</v>
      </c>
      <c r="K9" s="259">
        <f t="shared" si="2"/>
        <v>1559102.1986721319</v>
      </c>
      <c r="L9" s="259">
        <f t="shared" si="3"/>
        <v>972913.94820303016</v>
      </c>
      <c r="M9" s="218">
        <f t="shared" si="4"/>
        <v>2337487.1541549126</v>
      </c>
      <c r="N9" s="215">
        <f t="shared" si="5"/>
        <v>6220400.8010300742</v>
      </c>
    </row>
    <row r="10" spans="1:14">
      <c r="A10" s="65" t="s">
        <v>5</v>
      </c>
      <c r="B10" s="9">
        <f>VLOOKUP(A10,Seguridad!$A$14:$F$67,6,FALSE)</f>
        <v>610355.43000000005</v>
      </c>
      <c r="C10" s="9">
        <f>VLOOKUP(A10,Desarrollo!$A$13:$D$69,4,FALSE)</f>
        <v>434205.06</v>
      </c>
      <c r="D10" s="9">
        <f>IFERROR(VLOOKUP(A10,Ultracrecimiento!$A$6:$E$17,5,FALSE),0)</f>
        <v>0</v>
      </c>
      <c r="E10" s="9">
        <f>VLOOKUP(A10,Descentralizados!$A$6:$E$56,5,TRUE)/12</f>
        <v>511469.03484875342</v>
      </c>
      <c r="F10" s="63">
        <f t="shared" si="0"/>
        <v>1556029.5248487534</v>
      </c>
      <c r="I10" s="268" t="s">
        <v>25</v>
      </c>
      <c r="J10" s="259">
        <f t="shared" si="1"/>
        <v>1811345.21</v>
      </c>
      <c r="K10" s="259">
        <f t="shared" si="2"/>
        <v>0</v>
      </c>
      <c r="L10" s="259">
        <f t="shared" si="3"/>
        <v>1535731.9365106784</v>
      </c>
      <c r="M10" s="218">
        <f t="shared" si="4"/>
        <v>3011892.5176958782</v>
      </c>
      <c r="N10" s="215">
        <f t="shared" si="5"/>
        <v>6358969.664206557</v>
      </c>
    </row>
    <row r="11" spans="1:14">
      <c r="A11" s="65" t="s">
        <v>6</v>
      </c>
      <c r="B11" s="9">
        <f>VLOOKUP(A11,Seguridad!$A$14:$F$67,6,FALSE)</f>
        <v>3067371.7608733568</v>
      </c>
      <c r="C11" s="9">
        <f>VLOOKUP(A11,Desarrollo!$A$13:$D$69,4,FALSE)</f>
        <v>1991506.93</v>
      </c>
      <c r="D11" s="9">
        <f>IFERROR(VLOOKUP(A11,Ultracrecimiento!$A$6:$E$17,5,FALSE),0)</f>
        <v>2183899.4320883485</v>
      </c>
      <c r="E11" s="9">
        <f>VLOOKUP(A11,Descentralizados!$A$6:$E$56,5,TRUE)/12</f>
        <v>1755948.5896930583</v>
      </c>
      <c r="F11" s="63">
        <f t="shared" si="0"/>
        <v>8998726.7126547638</v>
      </c>
      <c r="I11" s="268" t="s">
        <v>31</v>
      </c>
      <c r="J11" s="259">
        <f t="shared" si="1"/>
        <v>1213215.3400000001</v>
      </c>
      <c r="K11" s="259">
        <f t="shared" si="2"/>
        <v>1458111.3135099984</v>
      </c>
      <c r="L11" s="259">
        <f t="shared" si="3"/>
        <v>804621.2326394706</v>
      </c>
      <c r="M11" s="218">
        <f t="shared" si="4"/>
        <v>2297130.2840708517</v>
      </c>
      <c r="N11" s="215">
        <f t="shared" si="5"/>
        <v>5773078.170220321</v>
      </c>
    </row>
    <row r="12" spans="1:14">
      <c r="A12" s="65" t="s">
        <v>7</v>
      </c>
      <c r="B12" s="9">
        <f>VLOOKUP(A12,Seguridad!$A$14:$F$67,6,FALSE)</f>
        <v>563678.05000000005</v>
      </c>
      <c r="C12" s="9">
        <f>VLOOKUP(A12,Desarrollo!$A$13:$D$69,4,FALSE)</f>
        <v>518199.26</v>
      </c>
      <c r="D12" s="9">
        <f>IFERROR(VLOOKUP(A12,Ultracrecimiento!$A$6:$E$17,5,FALSE),0)</f>
        <v>0</v>
      </c>
      <c r="E12" s="9">
        <f>VLOOKUP(A12,Descentralizados!$A$6:$E$56,5,TRUE)/12</f>
        <v>685389.59118695778</v>
      </c>
      <c r="F12" s="63">
        <f t="shared" si="0"/>
        <v>1767266.901186958</v>
      </c>
      <c r="I12" s="268" t="s">
        <v>39</v>
      </c>
      <c r="J12" s="259">
        <f t="shared" si="1"/>
        <v>5559557.4400000004</v>
      </c>
      <c r="K12" s="259">
        <f t="shared" si="2"/>
        <v>0</v>
      </c>
      <c r="L12" s="259">
        <f t="shared" si="3"/>
        <v>6117275.5054385988</v>
      </c>
      <c r="M12" s="218">
        <f t="shared" si="4"/>
        <v>5093669.8002952402</v>
      </c>
      <c r="N12" s="215">
        <f t="shared" si="5"/>
        <v>16770502.745733839</v>
      </c>
    </row>
    <row r="13" spans="1:14">
      <c r="A13" s="65" t="s">
        <v>8</v>
      </c>
      <c r="B13" s="9">
        <f>VLOOKUP(A13,Seguridad!$A$14:$F$67,6,FALSE)</f>
        <v>389582.8</v>
      </c>
      <c r="C13" s="9">
        <f>VLOOKUP(A13,Desarrollo!$A$13:$D$69,4,FALSE)</f>
        <v>217454.13</v>
      </c>
      <c r="D13" s="9">
        <f>IFERROR(VLOOKUP(A13,Ultracrecimiento!$A$6:$E$17,5,FALSE),0)</f>
        <v>0</v>
      </c>
      <c r="E13" s="9">
        <f>VLOOKUP(A13,Descentralizados!$A$6:$E$56,5,TRUE)/12</f>
        <v>247851.58995264347</v>
      </c>
      <c r="F13" s="63">
        <f t="shared" si="0"/>
        <v>854888.51995264343</v>
      </c>
      <c r="I13" s="268" t="s">
        <v>45</v>
      </c>
      <c r="J13" s="259">
        <f t="shared" si="1"/>
        <v>740279.33</v>
      </c>
      <c r="K13" s="259">
        <f t="shared" si="2"/>
        <v>692933.70033506234</v>
      </c>
      <c r="L13" s="259">
        <f t="shared" si="3"/>
        <v>226538.45601436918</v>
      </c>
      <c r="M13" s="218">
        <f t="shared" si="4"/>
        <v>694695.99481048621</v>
      </c>
      <c r="N13" s="215">
        <f t="shared" si="5"/>
        <v>2354447.4811599175</v>
      </c>
    </row>
    <row r="14" spans="1:14">
      <c r="A14" s="65" t="s">
        <v>9</v>
      </c>
      <c r="B14" s="9">
        <f>VLOOKUP(A14,Seguridad!$A$14:$F$67,6,FALSE)</f>
        <v>842841.94174135546</v>
      </c>
      <c r="C14" s="9">
        <f>VLOOKUP(A14,Desarrollo!$A$13:$D$69,4,FALSE)</f>
        <v>798973.76</v>
      </c>
      <c r="D14" s="9">
        <f>IFERROR(VLOOKUP(A14,Ultracrecimiento!$A$6:$E$17,5,FALSE),0)</f>
        <v>773402.37195868476</v>
      </c>
      <c r="E14" s="9">
        <f>VLOOKUP(A14,Descentralizados!$A$6:$E$56,5,TRUE)/12</f>
        <v>506731.01177109405</v>
      </c>
      <c r="F14" s="63">
        <f t="shared" si="0"/>
        <v>2921949.0854711342</v>
      </c>
      <c r="I14" s="268" t="s">
        <v>46</v>
      </c>
      <c r="J14" s="259">
        <f t="shared" si="1"/>
        <v>1866091.67</v>
      </c>
      <c r="K14" s="259">
        <f t="shared" si="2"/>
        <v>0</v>
      </c>
      <c r="L14" s="259">
        <f t="shared" si="3"/>
        <v>1602650.0471472517</v>
      </c>
      <c r="M14" s="218">
        <f t="shared" si="4"/>
        <v>2050057.9454881048</v>
      </c>
      <c r="N14" s="215">
        <f t="shared" si="5"/>
        <v>5518799.6626353562</v>
      </c>
    </row>
    <row r="15" spans="1:14">
      <c r="A15" s="65" t="s">
        <v>10</v>
      </c>
      <c r="B15" s="9">
        <f>VLOOKUP(A15,Seguridad!$A$14:$F$67,6,FALSE)</f>
        <v>1938586.49</v>
      </c>
      <c r="C15" s="9">
        <f>VLOOKUP(A15,Desarrollo!$A$13:$D$69,4,FALSE)</f>
        <v>414066.65</v>
      </c>
      <c r="D15" s="9">
        <f>IFERROR(VLOOKUP(A15,Ultracrecimiento!$A$6:$E$17,5,FALSE),0)</f>
        <v>676789.33340107999</v>
      </c>
      <c r="E15" s="9">
        <f>VLOOKUP(A15,Descentralizados!$A$6:$E$56,5,TRUE)/12</f>
        <v>387371.2715688984</v>
      </c>
      <c r="F15" s="63">
        <f t="shared" si="0"/>
        <v>3416813.7449699785</v>
      </c>
      <c r="I15" s="268" t="s">
        <v>47</v>
      </c>
      <c r="J15" s="259">
        <f t="shared" si="1"/>
        <v>3104882.67</v>
      </c>
      <c r="K15" s="259">
        <f t="shared" si="2"/>
        <v>0</v>
      </c>
      <c r="L15" s="259">
        <f t="shared" si="3"/>
        <v>3116858.5821466022</v>
      </c>
      <c r="M15" s="218">
        <f t="shared" si="4"/>
        <v>883790.21281116817</v>
      </c>
      <c r="N15" s="215">
        <f t="shared" si="5"/>
        <v>7105531.46495777</v>
      </c>
    </row>
    <row r="16" spans="1:14">
      <c r="A16" s="65" t="s">
        <v>11</v>
      </c>
      <c r="B16" s="9">
        <f>VLOOKUP(A16,Seguridad!$A$14:$F$67,6,FALSE)</f>
        <v>446108.83</v>
      </c>
      <c r="C16" s="9">
        <f>VLOOKUP(A16,Desarrollo!$A$13:$D$69,4,FALSE)</f>
        <v>259493.79</v>
      </c>
      <c r="D16" s="9">
        <f>IFERROR(VLOOKUP(A16,Ultracrecimiento!$A$6:$E$17,5,FALSE),0)</f>
        <v>0</v>
      </c>
      <c r="E16" s="9">
        <f>VLOOKUP(A16,Descentralizados!$A$6:$E$56,5,TRUE)/12</f>
        <v>307760.28074845381</v>
      </c>
      <c r="F16" s="63">
        <f t="shared" si="0"/>
        <v>1013362.9007484538</v>
      </c>
      <c r="I16" s="268" t="s">
        <v>48</v>
      </c>
      <c r="J16" s="259">
        <f t="shared" si="1"/>
        <v>1224887.93</v>
      </c>
      <c r="K16" s="259">
        <f t="shared" si="2"/>
        <v>1269095.1863141949</v>
      </c>
      <c r="L16" s="259">
        <f t="shared" si="3"/>
        <v>818888.96008620423</v>
      </c>
      <c r="M16" s="218">
        <f t="shared" si="4"/>
        <v>1609101.8738792199</v>
      </c>
      <c r="N16" s="215">
        <f t="shared" si="5"/>
        <v>4921973.9502796195</v>
      </c>
    </row>
    <row r="17" spans="1:14" ht="13.8" thickBot="1">
      <c r="A17" s="65" t="s">
        <v>12</v>
      </c>
      <c r="B17" s="9">
        <f>VLOOKUP(A17,Seguridad!$A$14:$F$67,6,FALSE)</f>
        <v>485902.91</v>
      </c>
      <c r="C17" s="9">
        <f>VLOOKUP(A17,Desarrollo!$A$13:$D$69,4,FALSE)</f>
        <v>403708.81</v>
      </c>
      <c r="D17" s="9">
        <f>IFERROR(VLOOKUP(A17,Ultracrecimiento!$A$6:$E$17,5,FALSE),0)</f>
        <v>0</v>
      </c>
      <c r="E17" s="9">
        <f>VLOOKUP(A17,Descentralizados!$A$6:$E$56,5,TRUE)/12</f>
        <v>463594.35675485799</v>
      </c>
      <c r="F17" s="63">
        <f t="shared" si="0"/>
        <v>1353206.076754858</v>
      </c>
      <c r="I17" s="268" t="s">
        <v>49</v>
      </c>
      <c r="J17" s="259">
        <f t="shared" si="1"/>
        <v>903715.62</v>
      </c>
      <c r="K17" s="259">
        <f t="shared" si="2"/>
        <v>751545.30905609298</v>
      </c>
      <c r="L17" s="259">
        <f t="shared" si="3"/>
        <v>426311.16190823982</v>
      </c>
      <c r="M17" s="218">
        <f t="shared" si="4"/>
        <v>528179.13416023692</v>
      </c>
      <c r="N17" s="215">
        <f t="shared" si="5"/>
        <v>2609751.2251245696</v>
      </c>
    </row>
    <row r="18" spans="1:14" ht="13.8" thickBot="1">
      <c r="A18" s="65" t="s">
        <v>13</v>
      </c>
      <c r="B18" s="9">
        <f>VLOOKUP(A18,Seguridad!$A$14:$F$67,6,FALSE)</f>
        <v>1389597.22</v>
      </c>
      <c r="C18" s="9">
        <f>VLOOKUP(A18,Desarrollo!$A$13:$D$69,4,FALSE)</f>
        <v>366029.38</v>
      </c>
      <c r="D18" s="9">
        <f>IFERROR(VLOOKUP(A18,Ultracrecimiento!$A$6:$E$17,5,FALSE),0)</f>
        <v>616821.07633897604</v>
      </c>
      <c r="E18" s="9">
        <f>VLOOKUP(A18,Descentralizados!$A$6:$E$56,5,TRUE)/12</f>
        <v>306142.56587563077</v>
      </c>
      <c r="F18" s="63">
        <f t="shared" si="0"/>
        <v>2678590.2422146071</v>
      </c>
      <c r="I18" s="269" t="s">
        <v>140</v>
      </c>
      <c r="J18" s="270">
        <f>SUM(J6:J17)</f>
        <v>21677565.48</v>
      </c>
      <c r="K18" s="270">
        <f>SUM(K6:K17)</f>
        <v>9992130.3849383257</v>
      </c>
      <c r="L18" s="270">
        <f>SUM(L6:L17)</f>
        <v>18565631.57937951</v>
      </c>
      <c r="M18" s="271">
        <f>SUM(M6:M17)</f>
        <v>24403829.61912832</v>
      </c>
      <c r="N18" s="266">
        <f>SUM(N6:N17)</f>
        <v>74639157.063446149</v>
      </c>
    </row>
    <row r="19" spans="1:14">
      <c r="A19" s="65" t="s">
        <v>14</v>
      </c>
      <c r="B19" s="9">
        <f>VLOOKUP(A19,Seguridad!$A$14:$F$67,6,FALSE)</f>
        <v>887807.73</v>
      </c>
      <c r="C19" s="9">
        <f>VLOOKUP(A19,Desarrollo!$A$13:$D$69,4,FALSE)</f>
        <v>1148124.05</v>
      </c>
      <c r="D19" s="9">
        <f>IFERROR(VLOOKUP(A19,Ultracrecimiento!$A$6:$E$17,5,FALSE),0)</f>
        <v>0</v>
      </c>
      <c r="E19" s="9">
        <f>VLOOKUP(A19,Descentralizados!$A$6:$E$56,5,TRUE)/12</f>
        <v>1628626.892208837</v>
      </c>
      <c r="F19" s="63">
        <f t="shared" si="0"/>
        <v>3664558.6722088372</v>
      </c>
      <c r="I19" s="268" t="s">
        <v>1</v>
      </c>
      <c r="J19" s="259">
        <f t="shared" ref="J19:J57" si="6">VLOOKUP(I19,$A$6:$E$56,3,FALSE)</f>
        <v>272212.99</v>
      </c>
      <c r="K19" s="259">
        <f t="shared" ref="K19:K57" si="7">VLOOKUP(I19,$A$6:$E$56,4,FALSE)</f>
        <v>0</v>
      </c>
      <c r="L19" s="259">
        <f t="shared" ref="L19:L57" si="8">VLOOKUP(I19,$A$6:$E$56,5,FALSE)</f>
        <v>147503.57513683924</v>
      </c>
      <c r="M19" s="218">
        <f t="shared" ref="M19:M57" si="9">VLOOKUP(I19,$A$6:$E$56,2,FALSE)</f>
        <v>379027.38268954761</v>
      </c>
      <c r="N19" s="215">
        <f t="shared" si="5"/>
        <v>798743.9478263869</v>
      </c>
    </row>
    <row r="20" spans="1:14">
      <c r="A20" s="65" t="s">
        <v>15</v>
      </c>
      <c r="B20" s="9">
        <f>VLOOKUP(A20,Seguridad!$A$14:$F$67,6,FALSE)</f>
        <v>354229.07</v>
      </c>
      <c r="C20" s="9">
        <f>VLOOKUP(A20,Desarrollo!$A$13:$D$69,4,FALSE)</f>
        <v>212223.96</v>
      </c>
      <c r="D20" s="9">
        <f>IFERROR(VLOOKUP(A20,Ultracrecimiento!$A$6:$E$17,5,FALSE),0)</f>
        <v>0</v>
      </c>
      <c r="E20" s="9">
        <f>VLOOKUP(A20,Descentralizados!$A$6:$E$56,5,TRUE)/12</f>
        <v>218983.81602503717</v>
      </c>
      <c r="F20" s="63">
        <f t="shared" si="0"/>
        <v>785436.84602503723</v>
      </c>
      <c r="I20" s="268" t="s">
        <v>2</v>
      </c>
      <c r="J20" s="259">
        <f t="shared" si="6"/>
        <v>231273.47</v>
      </c>
      <c r="K20" s="259">
        <f t="shared" si="7"/>
        <v>0</v>
      </c>
      <c r="L20" s="259">
        <f t="shared" si="8"/>
        <v>241719.38986644254</v>
      </c>
      <c r="M20" s="218">
        <f t="shared" si="9"/>
        <v>385296.1</v>
      </c>
      <c r="N20" s="215">
        <f t="shared" si="5"/>
        <v>858288.95986644248</v>
      </c>
    </row>
    <row r="21" spans="1:14">
      <c r="A21" s="65" t="s">
        <v>16</v>
      </c>
      <c r="B21" s="9">
        <f>VLOOKUP(A21,Seguridad!$A$14:$F$67,6,FALSE)</f>
        <v>383360.17</v>
      </c>
      <c r="C21" s="9">
        <f>VLOOKUP(A21,Desarrollo!$A$13:$D$69,4,FALSE)</f>
        <v>270731.73</v>
      </c>
      <c r="D21" s="9">
        <f>IFERROR(VLOOKUP(A21,Ultracrecimiento!$A$6:$E$17,5,FALSE),0)</f>
        <v>0</v>
      </c>
      <c r="E21" s="9">
        <f>VLOOKUP(A21,Descentralizados!$A$6:$E$56,5,TRUE)/12</f>
        <v>144998.8323301051</v>
      </c>
      <c r="F21" s="63">
        <f t="shared" si="0"/>
        <v>799090.73233010503</v>
      </c>
      <c r="I21" s="268" t="s">
        <v>3</v>
      </c>
      <c r="J21" s="259">
        <f t="shared" si="6"/>
        <v>299933.28999999998</v>
      </c>
      <c r="K21" s="259">
        <f t="shared" si="7"/>
        <v>0</v>
      </c>
      <c r="L21" s="259">
        <f t="shared" si="8"/>
        <v>194377.26047227017</v>
      </c>
      <c r="M21" s="218">
        <f t="shared" si="9"/>
        <v>354951.2</v>
      </c>
      <c r="N21" s="215">
        <f t="shared" si="5"/>
        <v>849261.75047227019</v>
      </c>
    </row>
    <row r="22" spans="1:14">
      <c r="A22" s="65" t="s">
        <v>17</v>
      </c>
      <c r="B22" s="9">
        <f>VLOOKUP(A22,Seguridad!$A$14:$F$67,6,FALSE)</f>
        <v>961787.84</v>
      </c>
      <c r="C22" s="9">
        <f>VLOOKUP(A22,Desarrollo!$A$13:$D$69,4,FALSE)</f>
        <v>737036.74</v>
      </c>
      <c r="D22" s="9">
        <f>IFERROR(VLOOKUP(A22,Ultracrecimiento!$A$6:$E$17,5,FALSE),0)</f>
        <v>0</v>
      </c>
      <c r="E22" s="9">
        <f>VLOOKUP(A22,Descentralizados!$A$6:$E$56,5,TRUE)/12</f>
        <v>1147558.9651947313</v>
      </c>
      <c r="F22" s="63">
        <f t="shared" si="0"/>
        <v>2846383.5451947311</v>
      </c>
      <c r="I22" s="268" t="s">
        <v>4</v>
      </c>
      <c r="J22" s="259">
        <f t="shared" si="6"/>
        <v>480104.97</v>
      </c>
      <c r="K22" s="259">
        <f t="shared" si="7"/>
        <v>0</v>
      </c>
      <c r="L22" s="259">
        <f t="shared" si="8"/>
        <v>709853.38470981934</v>
      </c>
      <c r="M22" s="218">
        <f t="shared" si="9"/>
        <v>875531.49</v>
      </c>
      <c r="N22" s="215">
        <f t="shared" si="5"/>
        <v>2065489.8447098194</v>
      </c>
    </row>
    <row r="23" spans="1:14">
      <c r="A23" s="65" t="s">
        <v>18</v>
      </c>
      <c r="B23" s="9">
        <f>VLOOKUP(A23,Seguridad!$A$14:$F$67,6,FALSE)</f>
        <v>1987610.9991475057</v>
      </c>
      <c r="C23" s="9">
        <f>VLOOKUP(A23,Desarrollo!$A$13:$D$69,4,FALSE)</f>
        <v>1112212.08</v>
      </c>
      <c r="D23" s="9">
        <f>IFERROR(VLOOKUP(A23,Ultracrecimiento!$A$6:$E$17,5,FALSE),0)</f>
        <v>1304040.8730038148</v>
      </c>
      <c r="E23" s="9">
        <f>VLOOKUP(A23,Descentralizados!$A$6:$E$56,5,TRUE)/12</f>
        <v>681162.14782091079</v>
      </c>
      <c r="F23" s="63">
        <f t="shared" si="0"/>
        <v>5085026.0999722313</v>
      </c>
      <c r="I23" s="268" t="s">
        <v>5</v>
      </c>
      <c r="J23" s="259">
        <f t="shared" si="6"/>
        <v>434205.06</v>
      </c>
      <c r="K23" s="259">
        <f t="shared" si="7"/>
        <v>0</v>
      </c>
      <c r="L23" s="259">
        <f t="shared" si="8"/>
        <v>511469.03484875342</v>
      </c>
      <c r="M23" s="218">
        <f t="shared" si="9"/>
        <v>610355.43000000005</v>
      </c>
      <c r="N23" s="215">
        <f t="shared" si="5"/>
        <v>1556029.5248487536</v>
      </c>
    </row>
    <row r="24" spans="1:14">
      <c r="A24" s="65" t="s">
        <v>19</v>
      </c>
      <c r="B24" s="9">
        <f>VLOOKUP(A24,Seguridad!$A$14:$F$67,6,FALSE)</f>
        <v>417930.32</v>
      </c>
      <c r="C24" s="9">
        <f>VLOOKUP(A24,Desarrollo!$A$13:$D$69,4,FALSE)</f>
        <v>299538.59000000003</v>
      </c>
      <c r="D24" s="9">
        <f>IFERROR(VLOOKUP(A24,Ultracrecimiento!$A$6:$E$17,5,FALSE),0)</f>
        <v>0</v>
      </c>
      <c r="E24" s="9">
        <f>VLOOKUP(A24,Descentralizados!$A$6:$E$56,5,TRUE)/12</f>
        <v>193709.84139216164</v>
      </c>
      <c r="F24" s="63">
        <f t="shared" si="0"/>
        <v>911178.75139216171</v>
      </c>
      <c r="I24" s="268" t="s">
        <v>7</v>
      </c>
      <c r="J24" s="259">
        <f t="shared" si="6"/>
        <v>518199.26</v>
      </c>
      <c r="K24" s="259">
        <f t="shared" si="7"/>
        <v>0</v>
      </c>
      <c r="L24" s="259">
        <f t="shared" si="8"/>
        <v>685389.59118695778</v>
      </c>
      <c r="M24" s="218">
        <f t="shared" si="9"/>
        <v>563678.05000000005</v>
      </c>
      <c r="N24" s="215">
        <f t="shared" si="5"/>
        <v>1767266.9011869577</v>
      </c>
    </row>
    <row r="25" spans="1:14">
      <c r="A25" s="65" t="s">
        <v>20</v>
      </c>
      <c r="B25" s="9">
        <f>VLOOKUP(A25,Seguridad!$A$14:$F$67,6,FALSE)</f>
        <v>2337487.1541549126</v>
      </c>
      <c r="C25" s="9">
        <f>VLOOKUP(A25,Desarrollo!$A$13:$D$69,4,FALSE)</f>
        <v>1350897.5</v>
      </c>
      <c r="D25" s="9">
        <f>IFERROR(VLOOKUP(A25,Ultracrecimiento!$A$6:$E$17,5,FALSE),0)</f>
        <v>1559102.1986721319</v>
      </c>
      <c r="E25" s="9">
        <f>VLOOKUP(A25,Descentralizados!$A$6:$E$56,5,TRUE)/12</f>
        <v>972913.94820303016</v>
      </c>
      <c r="F25" s="63">
        <f t="shared" si="0"/>
        <v>6220400.8010300742</v>
      </c>
      <c r="I25" s="268" t="s">
        <v>8</v>
      </c>
      <c r="J25" s="259">
        <f t="shared" si="6"/>
        <v>217454.13</v>
      </c>
      <c r="K25" s="259">
        <f t="shared" si="7"/>
        <v>0</v>
      </c>
      <c r="L25" s="259">
        <f t="shared" si="8"/>
        <v>247851.58995264347</v>
      </c>
      <c r="M25" s="218">
        <f t="shared" si="9"/>
        <v>389582.8</v>
      </c>
      <c r="N25" s="215">
        <f t="shared" si="5"/>
        <v>854888.51995264343</v>
      </c>
    </row>
    <row r="26" spans="1:14">
      <c r="A26" s="65" t="s">
        <v>21</v>
      </c>
      <c r="B26" s="9">
        <f>VLOOKUP(A26,Seguridad!$A$14:$F$67,6,FALSE)</f>
        <v>550111.18999999994</v>
      </c>
      <c r="C26" s="9">
        <f>VLOOKUP(A26,Desarrollo!$A$13:$D$69,4,FALSE)</f>
        <v>411042.62</v>
      </c>
      <c r="D26" s="9">
        <f>IFERROR(VLOOKUP(A26,Ultracrecimiento!$A$6:$E$17,5,FALSE),0)</f>
        <v>0</v>
      </c>
      <c r="E26" s="9">
        <f>VLOOKUP(A26,Descentralizados!$A$6:$E$56,5,TRUE)/12</f>
        <v>419650.41339484928</v>
      </c>
      <c r="F26" s="63">
        <f t="shared" si="0"/>
        <v>1380804.2233948493</v>
      </c>
      <c r="I26" s="268" t="s">
        <v>10</v>
      </c>
      <c r="J26" s="259">
        <f t="shared" si="6"/>
        <v>414066.65</v>
      </c>
      <c r="K26" s="259">
        <f t="shared" si="7"/>
        <v>676789.33340107999</v>
      </c>
      <c r="L26" s="259">
        <f t="shared" si="8"/>
        <v>387371.2715688984</v>
      </c>
      <c r="M26" s="218">
        <f t="shared" si="9"/>
        <v>1938586.49</v>
      </c>
      <c r="N26" s="215">
        <f t="shared" si="5"/>
        <v>3416813.7449699785</v>
      </c>
    </row>
    <row r="27" spans="1:14">
      <c r="A27" s="65" t="s">
        <v>22</v>
      </c>
      <c r="B27" s="9">
        <f>VLOOKUP(A27,Seguridad!$A$14:$F$67,6,FALSE)</f>
        <v>361112.37</v>
      </c>
      <c r="C27" s="9">
        <f>VLOOKUP(A27,Desarrollo!$A$13:$D$69,4,FALSE)</f>
        <v>243317.89</v>
      </c>
      <c r="D27" s="9">
        <f>IFERROR(VLOOKUP(A27,Ultracrecimiento!$A$6:$E$17,5,FALSE),0)</f>
        <v>0</v>
      </c>
      <c r="E27" s="9">
        <f>VLOOKUP(A27,Descentralizados!$A$6:$E$56,5,TRUE)/12</f>
        <v>214938.94040893766</v>
      </c>
      <c r="F27" s="63">
        <f t="shared" si="0"/>
        <v>819369.20040893764</v>
      </c>
      <c r="I27" s="268" t="s">
        <v>11</v>
      </c>
      <c r="J27" s="259">
        <f t="shared" si="6"/>
        <v>259493.79</v>
      </c>
      <c r="K27" s="259">
        <f t="shared" si="7"/>
        <v>0</v>
      </c>
      <c r="L27" s="259">
        <f t="shared" si="8"/>
        <v>307760.28074845381</v>
      </c>
      <c r="M27" s="218">
        <f t="shared" si="9"/>
        <v>446108.83</v>
      </c>
      <c r="N27" s="215">
        <f t="shared" si="5"/>
        <v>1013362.9007484538</v>
      </c>
    </row>
    <row r="28" spans="1:14">
      <c r="A28" s="65" t="s">
        <v>23</v>
      </c>
      <c r="B28" s="9">
        <f>VLOOKUP(A28,Seguridad!$A$14:$F$67,6,FALSE)</f>
        <v>429853.18</v>
      </c>
      <c r="C28" s="9">
        <f>VLOOKUP(A28,Desarrollo!$A$13:$D$69,4,FALSE)</f>
        <v>369289.59</v>
      </c>
      <c r="D28" s="9">
        <f>IFERROR(VLOOKUP(A28,Ultracrecimiento!$A$6:$E$17,5,FALSE),0)</f>
        <v>0</v>
      </c>
      <c r="E28" s="9">
        <f>VLOOKUP(A28,Descentralizados!$A$6:$E$56,5,TRUE)/12</f>
        <v>340332.44893929956</v>
      </c>
      <c r="F28" s="63">
        <f t="shared" si="0"/>
        <v>1139475.2189392997</v>
      </c>
      <c r="I28" s="268" t="s">
        <v>12</v>
      </c>
      <c r="J28" s="259">
        <f t="shared" si="6"/>
        <v>403708.81</v>
      </c>
      <c r="K28" s="259">
        <f t="shared" si="7"/>
        <v>0</v>
      </c>
      <c r="L28" s="259">
        <f t="shared" si="8"/>
        <v>463594.35675485799</v>
      </c>
      <c r="M28" s="218">
        <f t="shared" si="9"/>
        <v>485902.91</v>
      </c>
      <c r="N28" s="215">
        <f t="shared" si="5"/>
        <v>1353206.076754858</v>
      </c>
    </row>
    <row r="29" spans="1:14">
      <c r="A29" s="65" t="s">
        <v>24</v>
      </c>
      <c r="B29" s="9">
        <f>VLOOKUP(A29,Seguridad!$A$14:$F$67,6,FALSE)</f>
        <v>1902802.55</v>
      </c>
      <c r="C29" s="9">
        <f>VLOOKUP(A29,Desarrollo!$A$13:$D$69,4,FALSE)</f>
        <v>490382.43</v>
      </c>
      <c r="D29" s="9">
        <f>IFERROR(VLOOKUP(A29,Ultracrecimiento!$A$6:$E$17,5,FALSE),0)</f>
        <v>701733.6578996015</v>
      </c>
      <c r="E29" s="9">
        <f>VLOOKUP(A29,Descentralizados!$A$6:$E$56,5,TRUE)/12</f>
        <v>516417.57013994985</v>
      </c>
      <c r="F29" s="63">
        <f t="shared" si="0"/>
        <v>3611336.208039551</v>
      </c>
      <c r="I29" s="268" t="s">
        <v>13</v>
      </c>
      <c r="J29" s="259">
        <f t="shared" si="6"/>
        <v>366029.38</v>
      </c>
      <c r="K29" s="259">
        <f t="shared" si="7"/>
        <v>616821.07633897604</v>
      </c>
      <c r="L29" s="259">
        <f t="shared" si="8"/>
        <v>306142.56587563077</v>
      </c>
      <c r="M29" s="218">
        <f t="shared" si="9"/>
        <v>1389597.22</v>
      </c>
      <c r="N29" s="215">
        <f t="shared" si="5"/>
        <v>2678590.2422146071</v>
      </c>
    </row>
    <row r="30" spans="1:14">
      <c r="A30" s="65" t="s">
        <v>25</v>
      </c>
      <c r="B30" s="9">
        <f>VLOOKUP(A30,Seguridad!$A$14:$F$67,6,FALSE)</f>
        <v>3011892.5176958782</v>
      </c>
      <c r="C30" s="9">
        <f>VLOOKUP(A30,Desarrollo!$A$13:$D$69,4,FALSE)</f>
        <v>1811345.21</v>
      </c>
      <c r="D30" s="9">
        <f>IFERROR(VLOOKUP(A30,Ultracrecimiento!$A$6:$E$17,5,FALSE),0)</f>
        <v>0</v>
      </c>
      <c r="E30" s="9">
        <f>VLOOKUP(A30,Descentralizados!$A$6:$E$56,5,TRUE)/12</f>
        <v>1535731.9365106784</v>
      </c>
      <c r="F30" s="63">
        <f t="shared" si="0"/>
        <v>6358969.664206557</v>
      </c>
      <c r="I30" s="268" t="s">
        <v>14</v>
      </c>
      <c r="J30" s="259">
        <f t="shared" si="6"/>
        <v>1148124.05</v>
      </c>
      <c r="K30" s="259">
        <f t="shared" si="7"/>
        <v>0</v>
      </c>
      <c r="L30" s="259">
        <f t="shared" si="8"/>
        <v>1628626.892208837</v>
      </c>
      <c r="M30" s="218">
        <f t="shared" si="9"/>
        <v>887807.73</v>
      </c>
      <c r="N30" s="215">
        <f t="shared" si="5"/>
        <v>3664558.6722088368</v>
      </c>
    </row>
    <row r="31" spans="1:14">
      <c r="A31" s="65" t="s">
        <v>26</v>
      </c>
      <c r="B31" s="9">
        <f>VLOOKUP(A31,Seguridad!$A$14:$F$67,6,FALSE)</f>
        <v>363432.41</v>
      </c>
      <c r="C31" s="9">
        <f>VLOOKUP(A31,Desarrollo!$A$13:$D$69,4,FALSE)</f>
        <v>209661.22</v>
      </c>
      <c r="D31" s="9">
        <f>IFERROR(VLOOKUP(A31,Ultracrecimiento!$A$6:$E$17,5,FALSE),0)</f>
        <v>0</v>
      </c>
      <c r="E31" s="9">
        <f>VLOOKUP(A31,Descentralizados!$A$6:$E$56,5,TRUE)/12</f>
        <v>201348.38108117445</v>
      </c>
      <c r="F31" s="63">
        <f t="shared" si="0"/>
        <v>774442.01108117448</v>
      </c>
      <c r="I31" s="268" t="s">
        <v>15</v>
      </c>
      <c r="J31" s="259">
        <f t="shared" si="6"/>
        <v>212223.96</v>
      </c>
      <c r="K31" s="259">
        <f t="shared" si="7"/>
        <v>0</v>
      </c>
      <c r="L31" s="259">
        <f t="shared" si="8"/>
        <v>218983.81602503717</v>
      </c>
      <c r="M31" s="218">
        <f t="shared" si="9"/>
        <v>354229.07</v>
      </c>
      <c r="N31" s="215">
        <f t="shared" si="5"/>
        <v>785436.84602503711</v>
      </c>
    </row>
    <row r="32" spans="1:14">
      <c r="A32" s="65" t="s">
        <v>27</v>
      </c>
      <c r="B32" s="9">
        <f>VLOOKUP(A32,Seguridad!$A$14:$F$67,6,FALSE)</f>
        <v>580486.81999999995</v>
      </c>
      <c r="C32" s="9">
        <f>VLOOKUP(A32,Desarrollo!$A$13:$D$69,4,FALSE)</f>
        <v>239566.73</v>
      </c>
      <c r="D32" s="9">
        <f>IFERROR(VLOOKUP(A32,Ultracrecimiento!$A$6:$E$17,5,FALSE),0)</f>
        <v>0</v>
      </c>
      <c r="E32" s="9">
        <f>VLOOKUP(A32,Descentralizados!$A$6:$E$56,5,TRUE)/12</f>
        <v>210306.25401232415</v>
      </c>
      <c r="F32" s="63">
        <f t="shared" si="0"/>
        <v>1030359.8040123241</v>
      </c>
      <c r="I32" s="268" t="s">
        <v>16</v>
      </c>
      <c r="J32" s="259">
        <f t="shared" si="6"/>
        <v>270731.73</v>
      </c>
      <c r="K32" s="259">
        <f t="shared" si="7"/>
        <v>0</v>
      </c>
      <c r="L32" s="259">
        <f t="shared" si="8"/>
        <v>144998.8323301051</v>
      </c>
      <c r="M32" s="218">
        <f t="shared" si="9"/>
        <v>383360.17</v>
      </c>
      <c r="N32" s="215">
        <f t="shared" si="5"/>
        <v>799090.73233010503</v>
      </c>
    </row>
    <row r="33" spans="1:14">
      <c r="A33" s="65" t="s">
        <v>28</v>
      </c>
      <c r="B33" s="9">
        <f>VLOOKUP(A33,Seguridad!$A$14:$F$67,6,FALSE)</f>
        <v>354628.54</v>
      </c>
      <c r="C33" s="9">
        <f>VLOOKUP(A33,Desarrollo!$A$13:$D$69,4,FALSE)</f>
        <v>209027.3</v>
      </c>
      <c r="D33" s="9">
        <f>IFERROR(VLOOKUP(A33,Ultracrecimiento!$A$6:$E$17,5,FALSE),0)</f>
        <v>0</v>
      </c>
      <c r="E33" s="9">
        <f>VLOOKUP(A33,Descentralizados!$A$6:$E$56,5,TRUE)/12</f>
        <v>184361.89560164956</v>
      </c>
      <c r="F33" s="63">
        <f t="shared" si="0"/>
        <v>748017.7356016495</v>
      </c>
      <c r="I33" s="268" t="s">
        <v>17</v>
      </c>
      <c r="J33" s="259">
        <f t="shared" si="6"/>
        <v>737036.74</v>
      </c>
      <c r="K33" s="259">
        <f t="shared" si="7"/>
        <v>0</v>
      </c>
      <c r="L33" s="259">
        <f t="shared" si="8"/>
        <v>1147558.9651947313</v>
      </c>
      <c r="M33" s="218">
        <f t="shared" si="9"/>
        <v>961787.84</v>
      </c>
      <c r="N33" s="215">
        <f t="shared" si="5"/>
        <v>2846383.5451947311</v>
      </c>
    </row>
    <row r="34" spans="1:14">
      <c r="A34" s="65" t="s">
        <v>29</v>
      </c>
      <c r="B34" s="9">
        <f>VLOOKUP(A34,Seguridad!$A$14:$F$67,6,FALSE)</f>
        <v>441284.37</v>
      </c>
      <c r="C34" s="9">
        <f>VLOOKUP(A34,Desarrollo!$A$13:$D$69,4,FALSE)</f>
        <v>243958.22</v>
      </c>
      <c r="D34" s="9">
        <f>IFERROR(VLOOKUP(A34,Ultracrecimiento!$A$6:$E$17,5,FALSE),0)</f>
        <v>0</v>
      </c>
      <c r="E34" s="9">
        <f>VLOOKUP(A34,Descentralizados!$A$6:$E$56,5,TRUE)/12</f>
        <v>153121.62531019375</v>
      </c>
      <c r="F34" s="63">
        <f t="shared" si="0"/>
        <v>838364.21531019371</v>
      </c>
      <c r="I34" s="268" t="s">
        <v>19</v>
      </c>
      <c r="J34" s="259">
        <f t="shared" si="6"/>
        <v>299538.59000000003</v>
      </c>
      <c r="K34" s="259">
        <f t="shared" si="7"/>
        <v>0</v>
      </c>
      <c r="L34" s="259">
        <f t="shared" si="8"/>
        <v>193709.84139216164</v>
      </c>
      <c r="M34" s="218">
        <f t="shared" si="9"/>
        <v>417930.32</v>
      </c>
      <c r="N34" s="215">
        <f t="shared" si="5"/>
        <v>911178.75139216171</v>
      </c>
    </row>
    <row r="35" spans="1:14">
      <c r="A35" s="65" t="s">
        <v>30</v>
      </c>
      <c r="B35" s="9">
        <f>VLOOKUP(A35,Seguridad!$A$14:$F$67,6,FALSE)</f>
        <v>384005.48</v>
      </c>
      <c r="C35" s="9">
        <f>VLOOKUP(A35,Desarrollo!$A$13:$D$69,4,FALSE)</f>
        <v>317230.84000000003</v>
      </c>
      <c r="D35" s="9">
        <f>IFERROR(VLOOKUP(A35,Ultracrecimiento!$A$6:$E$17,5,FALSE),0)</f>
        <v>0</v>
      </c>
      <c r="E35" s="9">
        <f>VLOOKUP(A35,Descentralizados!$A$6:$E$56,5,TRUE)/12</f>
        <v>223626.58559232752</v>
      </c>
      <c r="F35" s="63">
        <f t="shared" si="0"/>
        <v>924862.90559232759</v>
      </c>
      <c r="I35" s="268" t="s">
        <v>21</v>
      </c>
      <c r="J35" s="259">
        <f t="shared" si="6"/>
        <v>411042.62</v>
      </c>
      <c r="K35" s="259">
        <f t="shared" si="7"/>
        <v>0</v>
      </c>
      <c r="L35" s="259">
        <f t="shared" si="8"/>
        <v>419650.41339484928</v>
      </c>
      <c r="M35" s="218">
        <f t="shared" si="9"/>
        <v>550111.18999999994</v>
      </c>
      <c r="N35" s="215">
        <f t="shared" si="5"/>
        <v>1380804.2233948493</v>
      </c>
    </row>
    <row r="36" spans="1:14">
      <c r="A36" s="65" t="s">
        <v>31</v>
      </c>
      <c r="B36" s="9">
        <f>VLOOKUP(A36,Seguridad!$A$14:$F$67,6,FALSE)</f>
        <v>2297130.2840708517</v>
      </c>
      <c r="C36" s="9">
        <f>VLOOKUP(A36,Desarrollo!$A$13:$D$69,4,FALSE)</f>
        <v>1213215.3400000001</v>
      </c>
      <c r="D36" s="9">
        <f>IFERROR(VLOOKUP(A36,Ultracrecimiento!$A$6:$E$17,5,FALSE),0)</f>
        <v>1458111.3135099984</v>
      </c>
      <c r="E36" s="9">
        <f>VLOOKUP(A36,Descentralizados!$A$6:$E$56,5,TRUE)/12</f>
        <v>804621.2326394706</v>
      </c>
      <c r="F36" s="63">
        <f t="shared" si="0"/>
        <v>5773078.170220321</v>
      </c>
      <c r="I36" s="268" t="s">
        <v>22</v>
      </c>
      <c r="J36" s="259">
        <f t="shared" si="6"/>
        <v>243317.89</v>
      </c>
      <c r="K36" s="259">
        <f t="shared" si="7"/>
        <v>0</v>
      </c>
      <c r="L36" s="259">
        <f t="shared" si="8"/>
        <v>214938.94040893766</v>
      </c>
      <c r="M36" s="218">
        <f t="shared" si="9"/>
        <v>361112.37</v>
      </c>
      <c r="N36" s="215">
        <f t="shared" si="5"/>
        <v>819369.20040893764</v>
      </c>
    </row>
    <row r="37" spans="1:14">
      <c r="A37" s="65" t="s">
        <v>32</v>
      </c>
      <c r="B37" s="9">
        <f>VLOOKUP(A37,Seguridad!$A$14:$F$67,6,FALSE)</f>
        <v>415548.82</v>
      </c>
      <c r="C37" s="9">
        <f>VLOOKUP(A37,Desarrollo!$A$13:$D$69,4,FALSE)</f>
        <v>291348.28000000003</v>
      </c>
      <c r="D37" s="9">
        <f>IFERROR(VLOOKUP(A37,Ultracrecimiento!$A$6:$E$17,5,FALSE),0)</f>
        <v>0</v>
      </c>
      <c r="E37" s="9">
        <f>VLOOKUP(A37,Descentralizados!$A$6:$E$56,5,TRUE)/12</f>
        <v>406614.37476631813</v>
      </c>
      <c r="F37" s="63">
        <f t="shared" si="0"/>
        <v>1113511.4747663182</v>
      </c>
      <c r="I37" s="268" t="s">
        <v>23</v>
      </c>
      <c r="J37" s="259">
        <f t="shared" si="6"/>
        <v>369289.59</v>
      </c>
      <c r="K37" s="259">
        <f t="shared" si="7"/>
        <v>0</v>
      </c>
      <c r="L37" s="259">
        <f t="shared" si="8"/>
        <v>340332.44893929956</v>
      </c>
      <c r="M37" s="218">
        <f t="shared" si="9"/>
        <v>429853.18</v>
      </c>
      <c r="N37" s="215">
        <f t="shared" si="5"/>
        <v>1139475.2189392995</v>
      </c>
    </row>
    <row r="38" spans="1:14">
      <c r="A38" s="65" t="s">
        <v>33</v>
      </c>
      <c r="B38" s="9">
        <f>VLOOKUP(A38,Seguridad!$A$14:$F$67,6,FALSE)</f>
        <v>1634184.84</v>
      </c>
      <c r="C38" s="9">
        <f>VLOOKUP(A38,Desarrollo!$A$13:$D$69,4,FALSE)</f>
        <v>748664.93</v>
      </c>
      <c r="D38" s="9">
        <f>IFERROR(VLOOKUP(A38,Ultracrecimiento!$A$6:$E$17,5,FALSE),0)</f>
        <v>0</v>
      </c>
      <c r="E38" s="9">
        <f>VLOOKUP(A38,Descentralizados!$A$6:$E$56,5,TRUE)/12</f>
        <v>1180575.9284750337</v>
      </c>
      <c r="F38" s="63">
        <f t="shared" si="0"/>
        <v>3563425.698475034</v>
      </c>
      <c r="I38" s="268" t="s">
        <v>24</v>
      </c>
      <c r="J38" s="259">
        <f t="shared" si="6"/>
        <v>490382.43</v>
      </c>
      <c r="K38" s="259">
        <f t="shared" si="7"/>
        <v>701733.6578996015</v>
      </c>
      <c r="L38" s="259">
        <f t="shared" si="8"/>
        <v>516417.57013994985</v>
      </c>
      <c r="M38" s="218">
        <f t="shared" si="9"/>
        <v>1902802.55</v>
      </c>
      <c r="N38" s="215">
        <f t="shared" si="5"/>
        <v>3611336.2080395515</v>
      </c>
    </row>
    <row r="39" spans="1:14">
      <c r="A39" s="65" t="s">
        <v>34</v>
      </c>
      <c r="B39" s="9">
        <f>VLOOKUP(A39,Seguridad!$A$14:$F$67,6,FALSE)</f>
        <v>411984.25</v>
      </c>
      <c r="C39" s="9">
        <f>VLOOKUP(A39,Desarrollo!$A$13:$D$69,4,FALSE)</f>
        <v>265253.40000000002</v>
      </c>
      <c r="D39" s="9">
        <f>IFERROR(VLOOKUP(A39,Ultracrecimiento!$A$6:$E$17,5,FALSE),0)</f>
        <v>0</v>
      </c>
      <c r="E39" s="9">
        <f>VLOOKUP(A39,Descentralizados!$A$6:$E$56,5,TRUE)/12</f>
        <v>264613.6527674587</v>
      </c>
      <c r="F39" s="63">
        <f t="shared" si="0"/>
        <v>941851.30276745872</v>
      </c>
      <c r="I39" s="268" t="s">
        <v>26</v>
      </c>
      <c r="J39" s="259">
        <f t="shared" si="6"/>
        <v>209661.22</v>
      </c>
      <c r="K39" s="259">
        <f t="shared" si="7"/>
        <v>0</v>
      </c>
      <c r="L39" s="259">
        <f t="shared" si="8"/>
        <v>201348.38108117445</v>
      </c>
      <c r="M39" s="218">
        <f t="shared" si="9"/>
        <v>363432.41</v>
      </c>
      <c r="N39" s="215">
        <f t="shared" si="5"/>
        <v>774442.01108117448</v>
      </c>
    </row>
    <row r="40" spans="1:14">
      <c r="A40" s="65" t="s">
        <v>35</v>
      </c>
      <c r="B40" s="9">
        <f>VLOOKUP(A40,Seguridad!$A$14:$F$67,6,FALSE)</f>
        <v>356118.9</v>
      </c>
      <c r="C40" s="9">
        <f>VLOOKUP(A40,Desarrollo!$A$13:$D$69,4,FALSE)</f>
        <v>194816.37</v>
      </c>
      <c r="D40" s="9">
        <f>IFERROR(VLOOKUP(A40,Ultracrecimiento!$A$6:$E$17,5,FALSE),0)</f>
        <v>0</v>
      </c>
      <c r="E40" s="9">
        <f>VLOOKUP(A40,Descentralizados!$A$6:$E$56,5,TRUE)/12</f>
        <v>258289.40990648934</v>
      </c>
      <c r="F40" s="63">
        <f t="shared" si="0"/>
        <v>809224.67990648933</v>
      </c>
      <c r="I40" s="268" t="s">
        <v>27</v>
      </c>
      <c r="J40" s="259">
        <f t="shared" si="6"/>
        <v>239566.73</v>
      </c>
      <c r="K40" s="259">
        <f t="shared" si="7"/>
        <v>0</v>
      </c>
      <c r="L40" s="259">
        <f t="shared" si="8"/>
        <v>210306.25401232415</v>
      </c>
      <c r="M40" s="218">
        <f t="shared" si="9"/>
        <v>580486.81999999995</v>
      </c>
      <c r="N40" s="215">
        <f t="shared" si="5"/>
        <v>1030359.8040123241</v>
      </c>
    </row>
    <row r="41" spans="1:14">
      <c r="A41" s="65" t="s">
        <v>36</v>
      </c>
      <c r="B41" s="9">
        <f>VLOOKUP(A41,Seguridad!$A$14:$F$67,6,FALSE)</f>
        <v>450902.56</v>
      </c>
      <c r="C41" s="9">
        <f>VLOOKUP(A41,Desarrollo!$A$13:$D$69,4,FALSE)</f>
        <v>431397.23</v>
      </c>
      <c r="D41" s="9">
        <f>IFERROR(VLOOKUP(A41,Ultracrecimiento!$A$6:$E$17,5,FALSE),0)</f>
        <v>0</v>
      </c>
      <c r="E41" s="9">
        <f>VLOOKUP(A41,Descentralizados!$A$6:$E$56,5,TRUE)/12</f>
        <v>416676.43861548672</v>
      </c>
      <c r="F41" s="63">
        <f t="shared" si="0"/>
        <v>1298976.2286154868</v>
      </c>
      <c r="I41" s="268" t="s">
        <v>28</v>
      </c>
      <c r="J41" s="259">
        <f t="shared" si="6"/>
        <v>209027.3</v>
      </c>
      <c r="K41" s="259">
        <f t="shared" si="7"/>
        <v>0</v>
      </c>
      <c r="L41" s="259">
        <f t="shared" si="8"/>
        <v>184361.89560164956</v>
      </c>
      <c r="M41" s="218">
        <f t="shared" si="9"/>
        <v>354628.54</v>
      </c>
      <c r="N41" s="215">
        <f t="shared" si="5"/>
        <v>748017.73560164962</v>
      </c>
    </row>
    <row r="42" spans="1:14">
      <c r="A42" s="65" t="s">
        <v>37</v>
      </c>
      <c r="B42" s="9">
        <f>VLOOKUP(A42,Seguridad!$A$14:$F$67,6,FALSE)</f>
        <v>426257.88</v>
      </c>
      <c r="C42" s="9">
        <f>VLOOKUP(A42,Desarrollo!$A$13:$D$69,4,FALSE)</f>
        <v>338130.78</v>
      </c>
      <c r="D42" s="9">
        <f>IFERROR(VLOOKUP(A42,Ultracrecimiento!$A$6:$E$17,5,FALSE),0)</f>
        <v>0</v>
      </c>
      <c r="E42" s="9">
        <f>VLOOKUP(A42,Descentralizados!$A$6:$E$56,5,TRUE)/12</f>
        <v>318581.70918618486</v>
      </c>
      <c r="F42" s="63">
        <f t="shared" si="0"/>
        <v>1082970.3691861848</v>
      </c>
      <c r="I42" s="268" t="s">
        <v>29</v>
      </c>
      <c r="J42" s="259">
        <f t="shared" si="6"/>
        <v>243958.22</v>
      </c>
      <c r="K42" s="259">
        <f t="shared" si="7"/>
        <v>0</v>
      </c>
      <c r="L42" s="259">
        <f t="shared" si="8"/>
        <v>153121.62531019375</v>
      </c>
      <c r="M42" s="218">
        <f t="shared" si="9"/>
        <v>441284.37</v>
      </c>
      <c r="N42" s="215">
        <f t="shared" si="5"/>
        <v>838364.21531019371</v>
      </c>
    </row>
    <row r="43" spans="1:14">
      <c r="A43" s="65" t="s">
        <v>38</v>
      </c>
      <c r="B43" s="9">
        <f>VLOOKUP(A43,Seguridad!$A$14:$F$67,6,FALSE)</f>
        <v>1369331.44</v>
      </c>
      <c r="C43" s="9">
        <f>VLOOKUP(A43,Desarrollo!$A$13:$D$69,4,FALSE)</f>
        <v>596772.57999999996</v>
      </c>
      <c r="D43" s="9">
        <f>IFERROR(VLOOKUP(A43,Ultracrecimiento!$A$6:$E$17,5,FALSE),0)</f>
        <v>0</v>
      </c>
      <c r="E43" s="9">
        <f>VLOOKUP(A43,Descentralizados!$A$6:$E$56,5,TRUE)/12</f>
        <v>1492133.0810552647</v>
      </c>
      <c r="F43" s="63">
        <f t="shared" si="0"/>
        <v>3458237.1010552645</v>
      </c>
      <c r="I43" s="268" t="s">
        <v>30</v>
      </c>
      <c r="J43" s="259">
        <f t="shared" si="6"/>
        <v>317230.84000000003</v>
      </c>
      <c r="K43" s="259">
        <f t="shared" si="7"/>
        <v>0</v>
      </c>
      <c r="L43" s="259">
        <f t="shared" si="8"/>
        <v>223626.58559232752</v>
      </c>
      <c r="M43" s="218">
        <f t="shared" si="9"/>
        <v>384005.48</v>
      </c>
      <c r="N43" s="215">
        <f t="shared" si="5"/>
        <v>924862.90559232747</v>
      </c>
    </row>
    <row r="44" spans="1:14">
      <c r="A44" s="65" t="s">
        <v>39</v>
      </c>
      <c r="B44" s="9">
        <f>VLOOKUP(A44,Seguridad!$A$14:$F$67,6,FALSE)</f>
        <v>5093669.8002952402</v>
      </c>
      <c r="C44" s="9">
        <f>VLOOKUP(A44,Desarrollo!$A$13:$D$69,4,FALSE)</f>
        <v>5559557.4400000004</v>
      </c>
      <c r="D44" s="9">
        <f>IFERROR(VLOOKUP(A44,Ultracrecimiento!$A$6:$E$17,5,FALSE),0)</f>
        <v>0</v>
      </c>
      <c r="E44" s="9">
        <f>VLOOKUP(A44,Descentralizados!$A$6:$E$56,5,TRUE)/12</f>
        <v>6117275.5054385988</v>
      </c>
      <c r="F44" s="63">
        <f t="shared" si="0"/>
        <v>16770502.745733839</v>
      </c>
      <c r="I44" s="268" t="s">
        <v>32</v>
      </c>
      <c r="J44" s="259">
        <f t="shared" si="6"/>
        <v>291348.28000000003</v>
      </c>
      <c r="K44" s="259">
        <f t="shared" si="7"/>
        <v>0</v>
      </c>
      <c r="L44" s="259">
        <f t="shared" si="8"/>
        <v>406614.37476631813</v>
      </c>
      <c r="M44" s="218">
        <f t="shared" si="9"/>
        <v>415548.82</v>
      </c>
      <c r="N44" s="215">
        <f t="shared" si="5"/>
        <v>1113511.4747663182</v>
      </c>
    </row>
    <row r="45" spans="1:14">
      <c r="A45" s="65" t="s">
        <v>40</v>
      </c>
      <c r="B45" s="9">
        <f>VLOOKUP(A45,Seguridad!$A$14:$F$67,6,FALSE)</f>
        <v>347253.58</v>
      </c>
      <c r="C45" s="9">
        <f>VLOOKUP(A45,Desarrollo!$A$13:$D$69,4,FALSE)</f>
        <v>277956.47999999998</v>
      </c>
      <c r="D45" s="9">
        <f>IFERROR(VLOOKUP(A45,Ultracrecimiento!$A$6:$E$17,5,FALSE),0)</f>
        <v>0</v>
      </c>
      <c r="E45" s="9">
        <f>VLOOKUP(A45,Descentralizados!$A$6:$E$56,5,TRUE)/12</f>
        <v>296299.24716636958</v>
      </c>
      <c r="F45" s="63">
        <f t="shared" si="0"/>
        <v>921509.30716636963</v>
      </c>
      <c r="I45" s="268" t="s">
        <v>33</v>
      </c>
      <c r="J45" s="259">
        <f t="shared" si="6"/>
        <v>748664.93</v>
      </c>
      <c r="K45" s="259">
        <f t="shared" si="7"/>
        <v>0</v>
      </c>
      <c r="L45" s="259">
        <f t="shared" si="8"/>
        <v>1180575.9284750337</v>
      </c>
      <c r="M45" s="218">
        <f t="shared" si="9"/>
        <v>1634184.84</v>
      </c>
      <c r="N45" s="215">
        <f t="shared" si="5"/>
        <v>3563425.698475034</v>
      </c>
    </row>
    <row r="46" spans="1:14">
      <c r="A46" s="65" t="s">
        <v>41</v>
      </c>
      <c r="B46" s="9">
        <f>VLOOKUP(A46,Seguridad!$A$14:$F$67,6,FALSE)</f>
        <v>2601503.59</v>
      </c>
      <c r="C46" s="9">
        <f>VLOOKUP(A46,Desarrollo!$A$13:$D$69,4,FALSE)</f>
        <v>512913.34</v>
      </c>
      <c r="D46" s="9">
        <f>IFERROR(VLOOKUP(A46,Ultracrecimiento!$A$6:$E$17,5,FALSE),0)</f>
        <v>764034.65786521556</v>
      </c>
      <c r="E46" s="9">
        <f>VLOOKUP(A46,Descentralizados!$A$6:$E$56,5,TRUE)/12</f>
        <v>554516.23822377448</v>
      </c>
      <c r="F46" s="63">
        <f t="shared" si="0"/>
        <v>4432967.8260889901</v>
      </c>
      <c r="I46" s="268" t="s">
        <v>34</v>
      </c>
      <c r="J46" s="259">
        <f t="shared" si="6"/>
        <v>265253.40000000002</v>
      </c>
      <c r="K46" s="259">
        <f t="shared" si="7"/>
        <v>0</v>
      </c>
      <c r="L46" s="259">
        <f t="shared" si="8"/>
        <v>264613.6527674587</v>
      </c>
      <c r="M46" s="218">
        <f t="shared" si="9"/>
        <v>411984.25</v>
      </c>
      <c r="N46" s="215">
        <f t="shared" si="5"/>
        <v>941851.30276745872</v>
      </c>
    </row>
    <row r="47" spans="1:14">
      <c r="A47" s="65" t="s">
        <v>42</v>
      </c>
      <c r="B47" s="9">
        <f>VLOOKUP(A47,Seguridad!$A$14:$F$67,6,FALSE)</f>
        <v>416132.67</v>
      </c>
      <c r="C47" s="9">
        <f>VLOOKUP(A47,Desarrollo!$A$13:$D$69,4,FALSE)</f>
        <v>275520.81</v>
      </c>
      <c r="D47" s="9">
        <f>IFERROR(VLOOKUP(A47,Ultracrecimiento!$A$6:$E$17,5,FALSE),0)</f>
        <v>0</v>
      </c>
      <c r="E47" s="9">
        <f>VLOOKUP(A47,Descentralizados!$A$6:$E$56,5,TRUE)/12</f>
        <v>170664.01485201481</v>
      </c>
      <c r="F47" s="63">
        <f t="shared" si="0"/>
        <v>862317.49485201482</v>
      </c>
      <c r="I47" s="268" t="s">
        <v>35</v>
      </c>
      <c r="J47" s="259">
        <f t="shared" si="6"/>
        <v>194816.37</v>
      </c>
      <c r="K47" s="259">
        <f t="shared" si="7"/>
        <v>0</v>
      </c>
      <c r="L47" s="259">
        <f t="shared" si="8"/>
        <v>258289.40990648934</v>
      </c>
      <c r="M47" s="218">
        <f t="shared" si="9"/>
        <v>356118.9</v>
      </c>
      <c r="N47" s="215">
        <f t="shared" si="5"/>
        <v>809224.67990648933</v>
      </c>
    </row>
    <row r="48" spans="1:14">
      <c r="A48" s="65" t="s">
        <v>43</v>
      </c>
      <c r="B48" s="9">
        <f>VLOOKUP(A48,Seguridad!$A$14:$F$67,6,FALSE)</f>
        <v>369854.77</v>
      </c>
      <c r="C48" s="9">
        <f>VLOOKUP(A48,Desarrollo!$A$13:$D$69,4,FALSE)</f>
        <v>241728.62</v>
      </c>
      <c r="D48" s="9">
        <f>IFERROR(VLOOKUP(A48,Ultracrecimiento!$A$6:$E$17,5,FALSE),0)</f>
        <v>0</v>
      </c>
      <c r="E48" s="9">
        <f>VLOOKUP(A48,Descentralizados!$A$6:$E$56,5,TRUE)/12</f>
        <v>215238.04648679288</v>
      </c>
      <c r="F48" s="63">
        <f t="shared" si="0"/>
        <v>826821.43648679287</v>
      </c>
      <c r="I48" s="268" t="s">
        <v>36</v>
      </c>
      <c r="J48" s="259">
        <f t="shared" si="6"/>
        <v>431397.23</v>
      </c>
      <c r="K48" s="259">
        <f t="shared" si="7"/>
        <v>0</v>
      </c>
      <c r="L48" s="259">
        <f t="shared" si="8"/>
        <v>416676.43861548672</v>
      </c>
      <c r="M48" s="218">
        <f t="shared" si="9"/>
        <v>450902.56</v>
      </c>
      <c r="N48" s="215">
        <f t="shared" si="5"/>
        <v>1298976.2286154868</v>
      </c>
    </row>
    <row r="49" spans="1:14">
      <c r="A49" s="65" t="s">
        <v>44</v>
      </c>
      <c r="B49" s="9">
        <f>VLOOKUP(A49,Seguridad!$A$14:$F$67,6,FALSE)</f>
        <v>866620.07</v>
      </c>
      <c r="C49" s="9">
        <f>VLOOKUP(A49,Desarrollo!$A$13:$D$69,4,FALSE)</f>
        <v>396762.53</v>
      </c>
      <c r="D49" s="9">
        <f>IFERROR(VLOOKUP(A49,Ultracrecimiento!$A$6:$E$17,5,FALSE),0)</f>
        <v>0</v>
      </c>
      <c r="E49" s="9">
        <f>VLOOKUP(A49,Descentralizados!$A$6:$E$56,5,TRUE)/12</f>
        <v>387676.73059520521</v>
      </c>
      <c r="F49" s="63">
        <f t="shared" si="0"/>
        <v>1651059.3305952053</v>
      </c>
      <c r="I49" s="268" t="s">
        <v>37</v>
      </c>
      <c r="J49" s="259">
        <f t="shared" si="6"/>
        <v>338130.78</v>
      </c>
      <c r="K49" s="259">
        <f t="shared" si="7"/>
        <v>0</v>
      </c>
      <c r="L49" s="259">
        <f t="shared" si="8"/>
        <v>318581.70918618486</v>
      </c>
      <c r="M49" s="218">
        <f t="shared" si="9"/>
        <v>426257.88</v>
      </c>
      <c r="N49" s="215">
        <f t="shared" si="5"/>
        <v>1082970.3691861848</v>
      </c>
    </row>
    <row r="50" spans="1:14">
      <c r="A50" s="65" t="s">
        <v>45</v>
      </c>
      <c r="B50" s="9">
        <f>VLOOKUP(A50,Seguridad!$A$14:$F$67,6,FALSE)</f>
        <v>694695.99481048621</v>
      </c>
      <c r="C50" s="9">
        <f>VLOOKUP(A50,Desarrollo!$A$13:$D$69,4,FALSE)</f>
        <v>740279.33</v>
      </c>
      <c r="D50" s="9">
        <f>IFERROR(VLOOKUP(A50,Ultracrecimiento!$A$6:$E$17,5,FALSE),0)</f>
        <v>692933.70033506234</v>
      </c>
      <c r="E50" s="9">
        <f>VLOOKUP(A50,Descentralizados!$A$6:$E$56,5,TRUE)/12</f>
        <v>226538.45601436918</v>
      </c>
      <c r="F50" s="63">
        <f t="shared" si="0"/>
        <v>2354447.4811599175</v>
      </c>
      <c r="I50" s="268" t="s">
        <v>38</v>
      </c>
      <c r="J50" s="259">
        <f t="shared" si="6"/>
        <v>596772.57999999996</v>
      </c>
      <c r="K50" s="259">
        <f t="shared" si="7"/>
        <v>0</v>
      </c>
      <c r="L50" s="259">
        <f t="shared" si="8"/>
        <v>1492133.0810552647</v>
      </c>
      <c r="M50" s="218">
        <f t="shared" si="9"/>
        <v>1369331.44</v>
      </c>
      <c r="N50" s="215">
        <f t="shared" si="5"/>
        <v>3458237.1010552645</v>
      </c>
    </row>
    <row r="51" spans="1:14">
      <c r="A51" s="65" t="s">
        <v>46</v>
      </c>
      <c r="B51" s="9">
        <f>VLOOKUP(A51,Seguridad!$A$14:$F$67,6,FALSE)</f>
        <v>2050057.9454881048</v>
      </c>
      <c r="C51" s="9">
        <f>VLOOKUP(A51,Desarrollo!$A$13:$D$69,4,FALSE)</f>
        <v>1866091.67</v>
      </c>
      <c r="D51" s="9">
        <f>IFERROR(VLOOKUP(A51,Ultracrecimiento!$A$6:$E$17,5,FALSE),0)</f>
        <v>0</v>
      </c>
      <c r="E51" s="9">
        <f>VLOOKUP(A51,Descentralizados!$A$6:$E$56,5,TRUE)/12</f>
        <v>1602650.0471472517</v>
      </c>
      <c r="F51" s="63">
        <f t="shared" si="0"/>
        <v>5518799.6626353562</v>
      </c>
      <c r="I51" s="268" t="s">
        <v>40</v>
      </c>
      <c r="J51" s="259">
        <f t="shared" si="6"/>
        <v>277956.47999999998</v>
      </c>
      <c r="K51" s="259">
        <f t="shared" si="7"/>
        <v>0</v>
      </c>
      <c r="L51" s="259">
        <f t="shared" si="8"/>
        <v>296299.24716636958</v>
      </c>
      <c r="M51" s="218">
        <f t="shared" si="9"/>
        <v>347253.58</v>
      </c>
      <c r="N51" s="215">
        <f t="shared" si="5"/>
        <v>921509.30716636963</v>
      </c>
    </row>
    <row r="52" spans="1:14">
      <c r="A52" s="65" t="s">
        <v>47</v>
      </c>
      <c r="B52" s="9">
        <f>VLOOKUP(A52,Seguridad!$A$14:$F$67,6,FALSE)</f>
        <v>883790.21281116817</v>
      </c>
      <c r="C52" s="9">
        <f>VLOOKUP(A52,Desarrollo!$A$13:$D$69,4,FALSE)</f>
        <v>3104882.67</v>
      </c>
      <c r="D52" s="9">
        <f>IFERROR(VLOOKUP(A52,Ultracrecimiento!$A$6:$E$17,5,FALSE),0)</f>
        <v>0</v>
      </c>
      <c r="E52" s="9">
        <f>VLOOKUP(A52,Descentralizados!$A$6:$E$56,5,TRUE)/12</f>
        <v>3116858.5821466022</v>
      </c>
      <c r="F52" s="63">
        <f t="shared" si="0"/>
        <v>7105531.46495777</v>
      </c>
      <c r="I52" s="268" t="s">
        <v>41</v>
      </c>
      <c r="J52" s="259">
        <f t="shared" si="6"/>
        <v>512913.34</v>
      </c>
      <c r="K52" s="259">
        <f t="shared" si="7"/>
        <v>764034.65786521556</v>
      </c>
      <c r="L52" s="259">
        <f t="shared" si="8"/>
        <v>554516.23822377448</v>
      </c>
      <c r="M52" s="218">
        <f t="shared" si="9"/>
        <v>2601503.59</v>
      </c>
      <c r="N52" s="215">
        <f t="shared" si="5"/>
        <v>4432967.8260889901</v>
      </c>
    </row>
    <row r="53" spans="1:14">
      <c r="A53" s="65" t="s">
        <v>48</v>
      </c>
      <c r="B53" s="9">
        <f>VLOOKUP(A53,Seguridad!$A$14:$F$67,6,FALSE)</f>
        <v>1609101.8738792199</v>
      </c>
      <c r="C53" s="9">
        <f>VLOOKUP(A53,Desarrollo!$A$13:$D$69,4,FALSE)</f>
        <v>1224887.93</v>
      </c>
      <c r="D53" s="9">
        <f>IFERROR(VLOOKUP(A53,Ultracrecimiento!$A$6:$E$17,5,FALSE),0)</f>
        <v>1269095.1863141949</v>
      </c>
      <c r="E53" s="9">
        <f>VLOOKUP(A53,Descentralizados!$A$6:$E$56,5,TRUE)/12</f>
        <v>818888.96008620423</v>
      </c>
      <c r="F53" s="63">
        <f t="shared" si="0"/>
        <v>4921973.9502796195</v>
      </c>
      <c r="I53" s="268" t="s">
        <v>42</v>
      </c>
      <c r="J53" s="259">
        <f t="shared" si="6"/>
        <v>275520.81</v>
      </c>
      <c r="K53" s="259">
        <f t="shared" si="7"/>
        <v>0</v>
      </c>
      <c r="L53" s="259">
        <f t="shared" si="8"/>
        <v>170664.01485201481</v>
      </c>
      <c r="M53" s="218">
        <f t="shared" si="9"/>
        <v>416132.67</v>
      </c>
      <c r="N53" s="215">
        <f t="shared" si="5"/>
        <v>862317.49485201482</v>
      </c>
    </row>
    <row r="54" spans="1:14">
      <c r="A54" s="65" t="s">
        <v>49</v>
      </c>
      <c r="B54" s="9">
        <f>VLOOKUP(A54,Seguridad!$A$14:$F$67,6,FALSE)</f>
        <v>528179.13416023692</v>
      </c>
      <c r="C54" s="9">
        <f>VLOOKUP(A54,Desarrollo!$A$13:$D$69,4,FALSE)</f>
        <v>903715.62</v>
      </c>
      <c r="D54" s="9">
        <f>IFERROR(VLOOKUP(A54,Ultracrecimiento!$A$6:$E$17,5,FALSE),0)</f>
        <v>751545.30905609298</v>
      </c>
      <c r="E54" s="9">
        <f>VLOOKUP(A54,Descentralizados!$A$6:$E$56,5,TRUE)/12</f>
        <v>426311.16190823982</v>
      </c>
      <c r="F54" s="63">
        <f t="shared" si="0"/>
        <v>2609751.2251245696</v>
      </c>
      <c r="I54" s="268" t="s">
        <v>43</v>
      </c>
      <c r="J54" s="259">
        <f t="shared" si="6"/>
        <v>241728.62</v>
      </c>
      <c r="K54" s="259">
        <f t="shared" si="7"/>
        <v>0</v>
      </c>
      <c r="L54" s="259">
        <f t="shared" si="8"/>
        <v>215238.04648679288</v>
      </c>
      <c r="M54" s="218">
        <f t="shared" si="9"/>
        <v>369854.77</v>
      </c>
      <c r="N54" s="215">
        <f t="shared" si="5"/>
        <v>826821.43648679287</v>
      </c>
    </row>
    <row r="55" spans="1:14">
      <c r="A55" s="65" t="s">
        <v>50</v>
      </c>
      <c r="B55" s="9">
        <f>VLOOKUP(A55,Seguridad!$A$14:$F$67,6,FALSE)</f>
        <v>357179.05</v>
      </c>
      <c r="C55" s="9">
        <f>VLOOKUP(A55,Desarrollo!$A$13:$D$69,4,FALSE)</f>
        <v>317270.49</v>
      </c>
      <c r="D55" s="9">
        <f>IFERROR(VLOOKUP(A55,Ultracrecimiento!$A$6:$E$17,5,FALSE),0)</f>
        <v>0</v>
      </c>
      <c r="E55" s="9">
        <f>VLOOKUP(A55,Descentralizados!$A$6:$E$56,5,TRUE)/12</f>
        <v>223693.62403536774</v>
      </c>
      <c r="F55" s="63">
        <f t="shared" si="0"/>
        <v>898143.16403536778</v>
      </c>
      <c r="I55" s="268" t="s">
        <v>44</v>
      </c>
      <c r="J55" s="259">
        <f t="shared" si="6"/>
        <v>396762.53</v>
      </c>
      <c r="K55" s="259">
        <f t="shared" si="7"/>
        <v>0</v>
      </c>
      <c r="L55" s="259">
        <f t="shared" si="8"/>
        <v>387676.73059520521</v>
      </c>
      <c r="M55" s="218">
        <f t="shared" si="9"/>
        <v>866620.07</v>
      </c>
      <c r="N55" s="215">
        <f t="shared" si="5"/>
        <v>1651059.3305952051</v>
      </c>
    </row>
    <row r="56" spans="1:14">
      <c r="A56" s="65" t="s">
        <v>51</v>
      </c>
      <c r="B56" s="9">
        <f>VLOOKUP(A56,Seguridad!$A$14:$F$67,6,FALSE)</f>
        <v>388230.72</v>
      </c>
      <c r="C56" s="9">
        <f>VLOOKUP(A56,Desarrollo!$A$13:$D$69,4,FALSE)</f>
        <v>265360.78000000003</v>
      </c>
      <c r="D56" s="9">
        <f>IFERROR(VLOOKUP(A56,Ultracrecimiento!$A$6:$E$17,5,FALSE),0)</f>
        <v>0</v>
      </c>
      <c r="E56" s="9">
        <f>VLOOKUP(A56,Descentralizados!$A$6:$E$56,5,TRUE)/12</f>
        <v>295638.69233756658</v>
      </c>
      <c r="F56" s="63">
        <f t="shared" si="0"/>
        <v>949230.19233756652</v>
      </c>
      <c r="I56" s="268" t="s">
        <v>50</v>
      </c>
      <c r="J56" s="259">
        <f t="shared" si="6"/>
        <v>317270.49</v>
      </c>
      <c r="K56" s="259">
        <f t="shared" si="7"/>
        <v>0</v>
      </c>
      <c r="L56" s="259">
        <f t="shared" si="8"/>
        <v>223693.62403536774</v>
      </c>
      <c r="M56" s="218">
        <f t="shared" si="9"/>
        <v>357179.05</v>
      </c>
      <c r="N56" s="215">
        <f t="shared" si="5"/>
        <v>898143.16403536778</v>
      </c>
    </row>
    <row r="57" spans="1:14" ht="13.8" thickBot="1">
      <c r="A57" s="66" t="s">
        <v>52</v>
      </c>
      <c r="B57" s="12">
        <f>SUM(B6:B56)</f>
        <v>51006382.701817855</v>
      </c>
      <c r="C57" s="12">
        <f>SUM(C6:C56)</f>
        <v>36129275.810000002</v>
      </c>
      <c r="D57" s="12">
        <f>SUM(D6:D56)</f>
        <v>12751509.110443201</v>
      </c>
      <c r="E57" s="12">
        <f>SUM(E6:E56)</f>
        <v>35047857.530601978</v>
      </c>
      <c r="F57" s="20">
        <f>SUM(F6:F56)</f>
        <v>134935025.15286306</v>
      </c>
      <c r="I57" s="268" t="s">
        <v>51</v>
      </c>
      <c r="J57" s="259">
        <f t="shared" si="6"/>
        <v>265360.78000000003</v>
      </c>
      <c r="K57" s="259">
        <f t="shared" si="7"/>
        <v>0</v>
      </c>
      <c r="L57" s="259">
        <f t="shared" si="8"/>
        <v>295638.69233756658</v>
      </c>
      <c r="M57" s="218">
        <f t="shared" si="9"/>
        <v>388230.72</v>
      </c>
      <c r="N57" s="215">
        <f t="shared" si="5"/>
        <v>949230.19233756652</v>
      </c>
    </row>
    <row r="58" spans="1:14" ht="14.4" thickTop="1" thickBot="1">
      <c r="I58" s="269" t="s">
        <v>140</v>
      </c>
      <c r="J58" s="270">
        <f>SUM(J19:J57)</f>
        <v>14451710.329999996</v>
      </c>
      <c r="K58" s="270">
        <f>SUM(K19:K57)</f>
        <v>2759378.7255048729</v>
      </c>
      <c r="L58" s="270">
        <f>SUM(L19:L57)</f>
        <v>16482225.951222472</v>
      </c>
      <c r="M58" s="271">
        <f>SUM(M19:M57)</f>
        <v>26602553.082689542</v>
      </c>
      <c r="N58" s="266">
        <f>SUM(N19:N57)</f>
        <v>60295868.089416891</v>
      </c>
    </row>
    <row r="59" spans="1:14" ht="13.8" thickBot="1">
      <c r="I59" s="269" t="s">
        <v>52</v>
      </c>
      <c r="J59" s="270">
        <f>J58+J18</f>
        <v>36129275.809999995</v>
      </c>
      <c r="K59" s="270">
        <f>K58+K18</f>
        <v>12751509.110443199</v>
      </c>
      <c r="L59" s="270">
        <f>L58+L18</f>
        <v>35047857.530601978</v>
      </c>
      <c r="M59" s="271">
        <f>M58+M18</f>
        <v>51006382.701817863</v>
      </c>
      <c r="N59" s="266">
        <f>N58+N18</f>
        <v>134935025.15286303</v>
      </c>
    </row>
  </sheetData>
  <mergeCells count="8">
    <mergeCell ref="A3:F3"/>
    <mergeCell ref="I3:N3"/>
    <mergeCell ref="A4:F4"/>
    <mergeCell ref="I4:N4"/>
    <mergeCell ref="A1:F1"/>
    <mergeCell ref="I1:N1"/>
    <mergeCell ref="A2:F2"/>
    <mergeCell ref="I2:N2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U23" sqref="U23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3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16384" width="11.44140625" style="13"/>
  </cols>
  <sheetData>
    <row r="1" spans="1:21" ht="17.399999999999999">
      <c r="A1" s="339" t="s">
        <v>94</v>
      </c>
      <c r="B1" s="339"/>
      <c r="C1" s="339"/>
      <c r="D1" s="339"/>
      <c r="E1" s="339"/>
      <c r="F1" s="339"/>
      <c r="G1" s="39"/>
      <c r="H1" s="339" t="s">
        <v>113</v>
      </c>
      <c r="I1" s="339"/>
      <c r="J1" s="339"/>
      <c r="K1" s="339"/>
      <c r="L1" s="339"/>
      <c r="M1" s="339"/>
      <c r="O1" s="339" t="s">
        <v>94</v>
      </c>
      <c r="P1" s="339"/>
      <c r="Q1" s="339"/>
      <c r="R1" s="339"/>
      <c r="S1" s="339"/>
      <c r="T1" s="339"/>
      <c r="U1" s="89"/>
    </row>
    <row r="2" spans="1:21" ht="18.75" customHeight="1" thickBot="1">
      <c r="A2" s="340" t="s">
        <v>109</v>
      </c>
      <c r="B2" s="340"/>
      <c r="C2" s="340"/>
      <c r="D2" s="340"/>
      <c r="E2" s="340"/>
      <c r="F2" s="340"/>
      <c r="G2" s="42"/>
      <c r="H2" s="340" t="s">
        <v>110</v>
      </c>
      <c r="I2" s="340"/>
      <c r="J2" s="340"/>
      <c r="K2" s="340"/>
      <c r="L2" s="340"/>
      <c r="M2" s="340"/>
      <c r="O2" s="340" t="s">
        <v>111</v>
      </c>
      <c r="P2" s="340"/>
      <c r="Q2" s="340"/>
      <c r="R2" s="340"/>
      <c r="S2" s="340"/>
      <c r="T2" s="340"/>
      <c r="U2" s="42"/>
    </row>
    <row r="3" spans="1:21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</row>
    <row r="4" spans="1:21" ht="13.8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</row>
    <row r="5" spans="1:21">
      <c r="A5" s="1"/>
      <c r="B5" s="25">
        <f>$E$5*0.5</f>
        <v>18510344200.99181</v>
      </c>
      <c r="C5" s="25">
        <f>$E$5*0.25</f>
        <v>9255172100.4959049</v>
      </c>
      <c r="D5" s="25">
        <f>$E$5*0.25</f>
        <v>9255172100.4959049</v>
      </c>
      <c r="E5" s="25">
        <f>'Participación 2021'!B12-'Participación 2021'!B11-'Participación 2021'!B5</f>
        <v>37020688401.98362</v>
      </c>
      <c r="F5" s="26"/>
      <c r="G5" s="95">
        <v>7.8576423041586241E-2</v>
      </c>
      <c r="H5" s="1"/>
      <c r="I5" s="25">
        <f>$L$5*0.5</f>
        <v>18510344200.99181</v>
      </c>
      <c r="J5" s="25">
        <f>$L$5*0.25</f>
        <v>9255172100.4959049</v>
      </c>
      <c r="K5" s="25">
        <f>$L$5*0.25</f>
        <v>9255172100.4959049</v>
      </c>
      <c r="L5" s="25">
        <f>'Participación 2021'!B12-'Participación 2021'!B11-'Participación 2021'!B5</f>
        <v>37020688401.98362</v>
      </c>
      <c r="M5" s="26"/>
      <c r="O5" s="1"/>
      <c r="P5" s="25">
        <f>$S$5*0.5</f>
        <v>18510344200.99181</v>
      </c>
      <c r="Q5" s="25">
        <f>$S$5*0.25</f>
        <v>9255172100.4959049</v>
      </c>
      <c r="R5" s="25">
        <f>$S$5*0.25</f>
        <v>9255172100.4959049</v>
      </c>
      <c r="S5" s="25">
        <f>'Participación 2021'!B12-'Participación 2021'!B11-'Participación 2021'!B5</f>
        <v>37020688401.98362</v>
      </c>
      <c r="T5" s="26"/>
      <c r="U5" s="95">
        <v>7.8576423041586241E-2</v>
      </c>
    </row>
    <row r="6" spans="1:21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</row>
    <row r="7" spans="1:21" ht="13.8" thickTop="1">
      <c r="A7" s="44" t="s">
        <v>1</v>
      </c>
      <c r="B7" s="54">
        <f>IF('Datos Mun'!B5="AMM",$B$5*'Datos Mun'!AC5,0)</f>
        <v>0</v>
      </c>
      <c r="C7" s="48">
        <f>IF('Datos Mun'!B5="AMM",$C$5*'Datos Mun'!AF5,0)</f>
        <v>0</v>
      </c>
      <c r="D7" s="48">
        <f>IF('Datos Mun'!B5="AMM",$D$5*'Datos Mun'!AI5,0)</f>
        <v>0</v>
      </c>
      <c r="E7" s="49">
        <f>SUM(B7:D7)</f>
        <v>0</v>
      </c>
      <c r="F7" s="56">
        <f>E7/$E$58</f>
        <v>0</v>
      </c>
      <c r="G7" s="40"/>
      <c r="H7" s="44" t="s">
        <v>1</v>
      </c>
      <c r="I7" s="47">
        <f>IF('Datos Mun'!B5="AMM",0,$B$5*'Datos Mun'!AC5)</f>
        <v>441399.03880706831</v>
      </c>
      <c r="J7" s="48">
        <f>IF('Datos Mun'!B5="AMM",0,$J$5*'Datos Mun'!AF5)</f>
        <v>5059534.1550796358</v>
      </c>
      <c r="K7" s="48">
        <f>IF('Datos Mun'!B5="AMM",0,$K$5*'Datos Mun'!AI5)</f>
        <v>89184133.239850074</v>
      </c>
      <c r="L7" s="49">
        <f>SUM(I7:K7)</f>
        <v>94685066.433736771</v>
      </c>
      <c r="M7" s="56">
        <f>L7/$L$58</f>
        <v>1.205279505647343E-2</v>
      </c>
      <c r="O7" s="44" t="s">
        <v>1</v>
      </c>
      <c r="P7" s="54">
        <f>IF('Datos Mun'!D5="Zona de Crec",'Datos Mun'!AC5*'Art 14 F I'!$P$5,0)</f>
        <v>0</v>
      </c>
      <c r="Q7" s="48">
        <f>IF('Datos Mun'!D5="Zona de Crec",$Q$5*'Datos Mun'!AF5,0)</f>
        <v>0</v>
      </c>
      <c r="R7" s="48">
        <f>IF('Datos Mun'!D5="Zona de Crec",$R$5*'Datos Mun'!AI5,0)</f>
        <v>0</v>
      </c>
      <c r="S7" s="49">
        <f>SUM(P7:R7)</f>
        <v>0</v>
      </c>
      <c r="T7" s="56">
        <f>S7/$S$58</f>
        <v>0</v>
      </c>
      <c r="U7" s="40"/>
    </row>
    <row r="8" spans="1:21">
      <c r="A8" s="45" t="s">
        <v>2</v>
      </c>
      <c r="B8" s="50">
        <f>IF('Datos Mun'!B6="AMM",$B$5*'Datos Mun'!AC6,0)</f>
        <v>0</v>
      </c>
      <c r="C8" s="50">
        <f>IF('Datos Mun'!B6="AMM",$C$5*'Datos Mun'!AF6,0)</f>
        <v>0</v>
      </c>
      <c r="D8" s="50">
        <f>IF('Datos Mun'!B6="AMM",$D$5*'Datos Mun'!AI6,0)</f>
        <v>0</v>
      </c>
      <c r="E8" s="51">
        <f t="shared" ref="E8:E57" si="0">SUM(B8:D8)</f>
        <v>0</v>
      </c>
      <c r="F8" s="57">
        <f t="shared" ref="F8:F57" si="1">E8/$E$58</f>
        <v>0</v>
      </c>
      <c r="G8" s="40"/>
      <c r="H8" s="45" t="s">
        <v>2</v>
      </c>
      <c r="I8" s="50">
        <f>IF('Datos Mun'!B6="AMM",0,$B$5*'Datos Mun'!AC6)</f>
        <v>2649063.7316062292</v>
      </c>
      <c r="J8" s="50">
        <f>IF('Datos Mun'!B6="AMM",0,$J$5*'Datos Mun'!AF6)</f>
        <v>25825178.177290339</v>
      </c>
      <c r="K8" s="50">
        <f>IF('Datos Mun'!B6="AMM",0,$K$5*'Datos Mun'!AI6)</f>
        <v>21772988.535481054</v>
      </c>
      <c r="L8" s="51">
        <f t="shared" ref="L8:L57" si="2">SUM(I8:K8)</f>
        <v>50247230.444377623</v>
      </c>
      <c r="M8" s="57">
        <f t="shared" ref="M8:M57" si="3">L8/$L$58</f>
        <v>6.3961466523900596E-3</v>
      </c>
      <c r="O8" s="45" t="s">
        <v>2</v>
      </c>
      <c r="P8" s="50">
        <f>IF('Datos Mun'!D6="Zona de Crec",'Datos Mun'!AC6*'Art 14 F I'!$P$5,0)</f>
        <v>0</v>
      </c>
      <c r="Q8" s="50">
        <f>IF('Datos Mun'!D6="Zona de Crec",$Q$5*'Datos Mun'!AF6,0)</f>
        <v>0</v>
      </c>
      <c r="R8" s="50">
        <f>IF('Datos Mun'!D6="Zona de Crec",$R$5*'Datos Mun'!AI6,0)</f>
        <v>0</v>
      </c>
      <c r="S8" s="51">
        <f t="shared" ref="S8:S57" si="4">SUM(P8:R8)</f>
        <v>0</v>
      </c>
      <c r="T8" s="57">
        <f t="shared" ref="T8:T57" si="5">S8/$S$58</f>
        <v>0</v>
      </c>
      <c r="U8" s="40"/>
    </row>
    <row r="9" spans="1:21">
      <c r="A9" s="45" t="s">
        <v>3</v>
      </c>
      <c r="B9" s="50">
        <f>IF('Datos Mun'!B7="AMM",$B$5*'Datos Mun'!AC7,0)</f>
        <v>0</v>
      </c>
      <c r="C9" s="50">
        <f>IF('Datos Mun'!B7="AMM",$C$5*'Datos Mun'!AF7,0)</f>
        <v>0</v>
      </c>
      <c r="D9" s="50">
        <f>IF('Datos Mun'!B7="AMM",$D$5*'Datos Mun'!AI7,0)</f>
        <v>0</v>
      </c>
      <c r="E9" s="51">
        <f t="shared" si="0"/>
        <v>0</v>
      </c>
      <c r="F9" s="57">
        <f t="shared" si="1"/>
        <v>0</v>
      </c>
      <c r="G9" s="40"/>
      <c r="H9" s="45" t="s">
        <v>3</v>
      </c>
      <c r="I9" s="50">
        <f>IF('Datos Mun'!B7="AMM",0,$B$5*'Datos Mun'!AC7)</f>
        <v>775582.8704198323</v>
      </c>
      <c r="J9" s="50">
        <f>IF('Datos Mun'!B7="AMM",0,$J$5*'Datos Mun'!AF7)</f>
        <v>16941769.939882636</v>
      </c>
      <c r="K9" s="50">
        <f>IF('Datos Mun'!B7="AMM",0,$K$5*'Datos Mun'!AI7)</f>
        <v>107056733.53947356</v>
      </c>
      <c r="L9" s="51">
        <f t="shared" si="2"/>
        <v>124774086.34977603</v>
      </c>
      <c r="M9" s="57">
        <f t="shared" si="3"/>
        <v>1.5882932206474437E-2</v>
      </c>
      <c r="O9" s="45" t="s">
        <v>3</v>
      </c>
      <c r="P9" s="50">
        <f>IF('Datos Mun'!D7="Zona de Crec",'Datos Mun'!AC7*'Art 14 F I'!$P$5,0)</f>
        <v>0</v>
      </c>
      <c r="Q9" s="50">
        <f>IF('Datos Mun'!D7="Zona de Crec",$Q$5*'Datos Mun'!AF7,0)</f>
        <v>0</v>
      </c>
      <c r="R9" s="50">
        <f>IF('Datos Mun'!D7="Zona de Crec",$R$5*'Datos Mun'!AI7,0)</f>
        <v>0</v>
      </c>
      <c r="S9" s="51">
        <f t="shared" si="4"/>
        <v>0</v>
      </c>
      <c r="T9" s="57">
        <f t="shared" si="5"/>
        <v>0</v>
      </c>
      <c r="U9" s="40"/>
    </row>
    <row r="10" spans="1:21">
      <c r="A10" s="45" t="s">
        <v>4</v>
      </c>
      <c r="B10" s="50">
        <f>IF('Datos Mun'!B8="AMM",$B$5*'Datos Mun'!AC8,0)</f>
        <v>0</v>
      </c>
      <c r="C10" s="50">
        <f>IF('Datos Mun'!B8="AMM",$C$5*'Datos Mun'!AF8,0)</f>
        <v>0</v>
      </c>
      <c r="D10" s="50">
        <f>IF('Datos Mun'!B8="AMM",$D$5*'Datos Mun'!AI8,0)</f>
        <v>0</v>
      </c>
      <c r="E10" s="51">
        <f t="shared" si="0"/>
        <v>0</v>
      </c>
      <c r="F10" s="57">
        <f t="shared" si="1"/>
        <v>0</v>
      </c>
      <c r="G10" s="40"/>
      <c r="H10" s="45" t="s">
        <v>4</v>
      </c>
      <c r="I10" s="50">
        <f>IF('Datos Mun'!B8="AMM",0,$B$5*'Datos Mun'!AC8)</f>
        <v>167596414.46147671</v>
      </c>
      <c r="J10" s="50">
        <f>IF('Datos Mun'!B8="AMM",0,$J$5*'Datos Mun'!AF8)</f>
        <v>52115592.611599043</v>
      </c>
      <c r="K10" s="50">
        <f>IF('Datos Mun'!B8="AMM",0,$K$5*'Datos Mun'!AI8)</f>
        <v>100629580.43919785</v>
      </c>
      <c r="L10" s="51">
        <f t="shared" si="2"/>
        <v>320341587.51227361</v>
      </c>
      <c r="M10" s="57">
        <f t="shared" si="3"/>
        <v>4.0777407122091679E-2</v>
      </c>
      <c r="O10" s="45" t="s">
        <v>4</v>
      </c>
      <c r="P10" s="50">
        <f>IF('Datos Mun'!D8="Zona de Crec",'Datos Mun'!AC8*'Art 14 F I'!$P$5,0)</f>
        <v>0</v>
      </c>
      <c r="Q10" s="50">
        <f>IF('Datos Mun'!D8="Zona de Crec",$Q$5*'Datos Mun'!AF8,0)</f>
        <v>0</v>
      </c>
      <c r="R10" s="50">
        <f>IF('Datos Mun'!D8="Zona de Crec",$R$5*'Datos Mun'!AI8,0)</f>
        <v>0</v>
      </c>
      <c r="S10" s="51">
        <f t="shared" si="4"/>
        <v>0</v>
      </c>
      <c r="T10" s="57">
        <f t="shared" si="5"/>
        <v>0</v>
      </c>
      <c r="U10" s="40"/>
    </row>
    <row r="11" spans="1:21">
      <c r="A11" s="45" t="s">
        <v>5</v>
      </c>
      <c r="B11" s="50">
        <f>IF('Datos Mun'!B9="AMM",$B$5*'Datos Mun'!AC9,0)</f>
        <v>0</v>
      </c>
      <c r="C11" s="50">
        <f>IF('Datos Mun'!B9="AMM",$C$5*'Datos Mun'!AF9,0)</f>
        <v>0</v>
      </c>
      <c r="D11" s="50">
        <f>IF('Datos Mun'!B9="AMM",$D$5*'Datos Mun'!AI9,0)</f>
        <v>0</v>
      </c>
      <c r="E11" s="51">
        <f t="shared" si="0"/>
        <v>0</v>
      </c>
      <c r="F11" s="57">
        <f t="shared" si="1"/>
        <v>0</v>
      </c>
      <c r="G11" s="40"/>
      <c r="H11" s="45" t="s">
        <v>5</v>
      </c>
      <c r="I11" s="50">
        <f>IF('Datos Mun'!B9="AMM",0,$B$5*'Datos Mun'!AC9)</f>
        <v>7272546.3192012673</v>
      </c>
      <c r="J11" s="50">
        <f>IF('Datos Mun'!B9="AMM",0,$J$5*'Datos Mun'!AF9)</f>
        <v>122744400.62992397</v>
      </c>
      <c r="K11" s="50">
        <f>IF('Datos Mun'!B9="AMM",0,$K$5*'Datos Mun'!AI9)</f>
        <v>140502545.21944088</v>
      </c>
      <c r="L11" s="51">
        <f t="shared" si="2"/>
        <v>270519492.16856611</v>
      </c>
      <c r="M11" s="57">
        <f t="shared" si="3"/>
        <v>3.4435377411608993E-2</v>
      </c>
      <c r="O11" s="45" t="s">
        <v>5</v>
      </c>
      <c r="P11" s="50">
        <f>IF('Datos Mun'!D9="Zona de Crec",'Datos Mun'!AC9*'Art 14 F I'!$P$5,0)</f>
        <v>0</v>
      </c>
      <c r="Q11" s="50">
        <f>IF('Datos Mun'!D9="Zona de Crec",$Q$5*'Datos Mun'!AF9,0)</f>
        <v>0</v>
      </c>
      <c r="R11" s="50">
        <f>IF('Datos Mun'!D9="Zona de Crec",$R$5*'Datos Mun'!AI9,0)</f>
        <v>0</v>
      </c>
      <c r="S11" s="51">
        <f t="shared" si="4"/>
        <v>0</v>
      </c>
      <c r="T11" s="57">
        <f t="shared" si="5"/>
        <v>0</v>
      </c>
      <c r="U11" s="40"/>
    </row>
    <row r="12" spans="1:21">
      <c r="A12" s="45" t="s">
        <v>6</v>
      </c>
      <c r="B12" s="50">
        <f>IF('Datos Mun'!B10="AMM",$B$5*'Datos Mun'!AC10,0)</f>
        <v>1534471408.4276359</v>
      </c>
      <c r="C12" s="50">
        <f>IF('Datos Mun'!B10="AMM",$C$5*'Datos Mun'!AF10,0)</f>
        <v>897644420.80893433</v>
      </c>
      <c r="D12" s="50">
        <f>IF('Datos Mun'!B10="AMM",$D$5*'Datos Mun'!AI10,0)</f>
        <v>357633574.17199379</v>
      </c>
      <c r="E12" s="51">
        <f t="shared" si="0"/>
        <v>2789749403.4085641</v>
      </c>
      <c r="F12" s="57">
        <f t="shared" si="1"/>
        <v>9.5654578594180015E-2</v>
      </c>
      <c r="G12" s="40"/>
      <c r="H12" s="45" t="s">
        <v>6</v>
      </c>
      <c r="I12" s="50">
        <f>IF('Datos Mun'!B10="AMM",0,$B$5*'Datos Mun'!AC10)</f>
        <v>0</v>
      </c>
      <c r="J12" s="50">
        <f>IF('Datos Mun'!B10="AMM",0,$J$5*'Datos Mun'!AF10)</f>
        <v>0</v>
      </c>
      <c r="K12" s="50">
        <f>IF('Datos Mun'!B10="AMM",0,$K$5*'Datos Mun'!AI10)</f>
        <v>0</v>
      </c>
      <c r="L12" s="51">
        <f t="shared" si="2"/>
        <v>0</v>
      </c>
      <c r="M12" s="57">
        <f t="shared" si="3"/>
        <v>0</v>
      </c>
      <c r="O12" s="45" t="s">
        <v>6</v>
      </c>
      <c r="P12" s="50">
        <f>IF('Datos Mun'!D10="Zona de Crec",'Datos Mun'!AC10*'Art 14 F I'!$P$5,0)</f>
        <v>1534471408.4276359</v>
      </c>
      <c r="Q12" s="50">
        <f>IF('Datos Mun'!D10="Zona de Crec",$Q$5*'Datos Mun'!AF10,0)</f>
        <v>897644420.80893433</v>
      </c>
      <c r="R12" s="50">
        <f>IF('Datos Mun'!D10="Zona de Crec",$R$5*'Datos Mun'!AI10,0)</f>
        <v>357633574.17199379</v>
      </c>
      <c r="S12" s="51">
        <f t="shared" si="4"/>
        <v>2789749403.4085641</v>
      </c>
      <c r="T12" s="57">
        <f t="shared" si="5"/>
        <v>0.26217672652556578</v>
      </c>
      <c r="U12" s="40"/>
    </row>
    <row r="13" spans="1:21">
      <c r="A13" s="45" t="s">
        <v>7</v>
      </c>
      <c r="B13" s="50">
        <f>IF('Datos Mun'!B11="AMM",$B$5*'Datos Mun'!AC11,0)</f>
        <v>0</v>
      </c>
      <c r="C13" s="50">
        <f>IF('Datos Mun'!B11="AMM",$C$5*'Datos Mun'!AF11,0)</f>
        <v>0</v>
      </c>
      <c r="D13" s="50">
        <f>IF('Datos Mun'!B11="AMM",$D$5*'Datos Mun'!AI11,0)</f>
        <v>0</v>
      </c>
      <c r="E13" s="51">
        <f t="shared" si="0"/>
        <v>0</v>
      </c>
      <c r="F13" s="57">
        <f t="shared" si="1"/>
        <v>0</v>
      </c>
      <c r="G13" s="40"/>
      <c r="H13" s="45" t="s">
        <v>7</v>
      </c>
      <c r="I13" s="50">
        <f>IF('Datos Mun'!B11="AMM",0,$B$5*'Datos Mun'!AC11)</f>
        <v>3940298.5835997611</v>
      </c>
      <c r="J13" s="50">
        <f>IF('Datos Mun'!B11="AMM",0,$J$5*'Datos Mun'!AF11)</f>
        <v>78567688.767489895</v>
      </c>
      <c r="K13" s="50">
        <f>IF('Datos Mun'!B11="AMM",0,$K$5*'Datos Mun'!AI11)</f>
        <v>279183074.71875089</v>
      </c>
      <c r="L13" s="51">
        <f t="shared" si="2"/>
        <v>361691062.06984055</v>
      </c>
      <c r="M13" s="57">
        <f t="shared" si="3"/>
        <v>4.604092713962258E-2</v>
      </c>
      <c r="O13" s="45" t="s">
        <v>7</v>
      </c>
      <c r="P13" s="50">
        <f>IF('Datos Mun'!D11="Zona de Crec",'Datos Mun'!AC11*'Art 14 F I'!$P$5,0)</f>
        <v>0</v>
      </c>
      <c r="Q13" s="50">
        <f>IF('Datos Mun'!D11="Zona de Crec",$Q$5*'Datos Mun'!AF11,0)</f>
        <v>0</v>
      </c>
      <c r="R13" s="50">
        <f>IF('Datos Mun'!D11="Zona de Crec",$R$5*'Datos Mun'!AI11,0)</f>
        <v>0</v>
      </c>
      <c r="S13" s="51">
        <f t="shared" si="4"/>
        <v>0</v>
      </c>
      <c r="T13" s="57">
        <f t="shared" si="5"/>
        <v>0</v>
      </c>
      <c r="U13" s="40"/>
    </row>
    <row r="14" spans="1:21">
      <c r="A14" s="45" t="s">
        <v>8</v>
      </c>
      <c r="B14" s="50">
        <f>IF('Datos Mun'!B12="AMM",$B$5*'Datos Mun'!AC12,0)</f>
        <v>0</v>
      </c>
      <c r="C14" s="50">
        <f>IF('Datos Mun'!B12="AMM",$C$5*'Datos Mun'!AF12,0)</f>
        <v>0</v>
      </c>
      <c r="D14" s="50">
        <f>IF('Datos Mun'!B12="AMM",$D$5*'Datos Mun'!AI12,0)</f>
        <v>0</v>
      </c>
      <c r="E14" s="51">
        <f t="shared" si="0"/>
        <v>0</v>
      </c>
      <c r="F14" s="57">
        <f t="shared" si="1"/>
        <v>0</v>
      </c>
      <c r="G14" s="40"/>
      <c r="H14" s="45" t="s">
        <v>8</v>
      </c>
      <c r="I14" s="50">
        <f>IF('Datos Mun'!B12="AMM",0,$B$5*'Datos Mun'!AC12)</f>
        <v>3040021.4878720599</v>
      </c>
      <c r="J14" s="50">
        <f>IF('Datos Mun'!B12="AMM",0,$J$5*'Datos Mun'!AF12)</f>
        <v>15077883.301192157</v>
      </c>
      <c r="K14" s="50">
        <f>IF('Datos Mun'!B12="AMM",0,$K$5*'Datos Mun'!AI12)</f>
        <v>17129111.131723568</v>
      </c>
      <c r="L14" s="51">
        <f t="shared" si="2"/>
        <v>35247015.920787781</v>
      </c>
      <c r="M14" s="57">
        <f t="shared" si="3"/>
        <v>4.4867165989983812E-3</v>
      </c>
      <c r="O14" s="45" t="s">
        <v>8</v>
      </c>
      <c r="P14" s="50">
        <f>IF('Datos Mun'!D12="Zona de Crec",'Datos Mun'!AC12*'Art 14 F I'!$P$5,0)</f>
        <v>0</v>
      </c>
      <c r="Q14" s="50">
        <f>IF('Datos Mun'!D12="Zona de Crec",$Q$5*'Datos Mun'!AF12,0)</f>
        <v>0</v>
      </c>
      <c r="R14" s="50">
        <f>IF('Datos Mun'!D12="Zona de Crec",$R$5*'Datos Mun'!AI12,0)</f>
        <v>0</v>
      </c>
      <c r="S14" s="51">
        <f t="shared" si="4"/>
        <v>0</v>
      </c>
      <c r="T14" s="57">
        <f t="shared" si="5"/>
        <v>0</v>
      </c>
      <c r="U14" s="40"/>
    </row>
    <row r="15" spans="1:21">
      <c r="A15" s="45" t="s">
        <v>9</v>
      </c>
      <c r="B15" s="50">
        <f>IF('Datos Mun'!B13="AMM",$B$5*'Datos Mun'!AC13,0)</f>
        <v>91679577.57261622</v>
      </c>
      <c r="C15" s="50">
        <f>IF('Datos Mun'!B13="AMM",$C$5*'Datos Mun'!AF13,0)</f>
        <v>191067341.35089651</v>
      </c>
      <c r="D15" s="50">
        <f>IF('Datos Mun'!B13="AMM",$D$5*'Datos Mun'!AI13,0)</f>
        <v>191146692.90183482</v>
      </c>
      <c r="E15" s="51">
        <f t="shared" si="0"/>
        <v>473893611.82534754</v>
      </c>
      <c r="F15" s="57">
        <f t="shared" si="1"/>
        <v>1.6248804886289228E-2</v>
      </c>
      <c r="G15" s="40"/>
      <c r="H15" s="45" t="s">
        <v>9</v>
      </c>
      <c r="I15" s="50">
        <f>IF('Datos Mun'!B13="AMM",0,$B$5*'Datos Mun'!AC13)</f>
        <v>0</v>
      </c>
      <c r="J15" s="50">
        <f>IF('Datos Mun'!B13="AMM",0,$J$5*'Datos Mun'!AF13)</f>
        <v>0</v>
      </c>
      <c r="K15" s="50">
        <f>IF('Datos Mun'!B13="AMM",0,$K$5*'Datos Mun'!AI13)</f>
        <v>0</v>
      </c>
      <c r="L15" s="51">
        <f t="shared" si="2"/>
        <v>0</v>
      </c>
      <c r="M15" s="57">
        <f t="shared" si="3"/>
        <v>0</v>
      </c>
      <c r="O15" s="45" t="s">
        <v>9</v>
      </c>
      <c r="P15" s="50">
        <f>IF('Datos Mun'!D13="Zona de Crec",'Datos Mun'!AC13*'Art 14 F I'!$P$5,0)</f>
        <v>91679577.57261622</v>
      </c>
      <c r="Q15" s="50">
        <f>IF('Datos Mun'!D13="Zona de Crec",$Q$5*'Datos Mun'!AF13,0)</f>
        <v>191067341.35089651</v>
      </c>
      <c r="R15" s="50">
        <f>IF('Datos Mun'!D13="Zona de Crec",$R$5*'Datos Mun'!AI13,0)</f>
        <v>191146692.90183482</v>
      </c>
      <c r="S15" s="51">
        <f t="shared" si="4"/>
        <v>473893611.82534754</v>
      </c>
      <c r="T15" s="57">
        <f t="shared" si="5"/>
        <v>4.4535855341681752E-2</v>
      </c>
      <c r="U15" s="40"/>
    </row>
    <row r="16" spans="1:21">
      <c r="A16" s="45" t="s">
        <v>10</v>
      </c>
      <c r="B16" s="50">
        <f>IF('Datos Mun'!B14="AMM",$B$5*'Datos Mun'!AC14,0)</f>
        <v>0</v>
      </c>
      <c r="C16" s="50">
        <f>IF('Datos Mun'!B14="AMM",$C$5*'Datos Mun'!AF14,0)</f>
        <v>0</v>
      </c>
      <c r="D16" s="50">
        <f>IF('Datos Mun'!B14="AMM",$D$5*'Datos Mun'!AI14,0)</f>
        <v>0</v>
      </c>
      <c r="E16" s="51">
        <f t="shared" si="0"/>
        <v>0</v>
      </c>
      <c r="F16" s="57">
        <f t="shared" si="1"/>
        <v>0</v>
      </c>
      <c r="G16" s="40"/>
      <c r="H16" s="45" t="s">
        <v>10</v>
      </c>
      <c r="I16" s="50">
        <f>IF('Datos Mun'!B14="AMM",0,$B$5*'Datos Mun'!AC14)</f>
        <v>10974623.260151515</v>
      </c>
      <c r="J16" s="50">
        <f>IF('Datos Mun'!B14="AMM",0,$J$5*'Datos Mun'!AF14)</f>
        <v>144348016.73661572</v>
      </c>
      <c r="K16" s="50">
        <f>IF('Datos Mun'!B14="AMM",0,$K$5*'Datos Mun'!AI14)</f>
        <v>93337601.28210184</v>
      </c>
      <c r="L16" s="51">
        <f t="shared" si="2"/>
        <v>248660241.27886906</v>
      </c>
      <c r="M16" s="57">
        <f t="shared" si="3"/>
        <v>3.1652836500092256E-2</v>
      </c>
      <c r="O16" s="45" t="s">
        <v>10</v>
      </c>
      <c r="P16" s="50">
        <f>IF('Datos Mun'!D14="Zona de Crec",'Datos Mun'!AC14*'Art 14 F I'!$P$5,0)</f>
        <v>10974623.260151515</v>
      </c>
      <c r="Q16" s="50">
        <f>IF('Datos Mun'!D14="Zona de Crec",$Q$5*'Datos Mun'!AF14,0)</f>
        <v>144348016.73661572</v>
      </c>
      <c r="R16" s="50">
        <f>IF('Datos Mun'!D14="Zona de Crec",$R$5*'Datos Mun'!AI14,0)</f>
        <v>93337601.28210184</v>
      </c>
      <c r="S16" s="51">
        <f t="shared" si="4"/>
        <v>248660241.27886906</v>
      </c>
      <c r="T16" s="57">
        <f t="shared" si="5"/>
        <v>2.3368739857385547E-2</v>
      </c>
      <c r="U16" s="40"/>
    </row>
    <row r="17" spans="1:21">
      <c r="A17" s="45" t="s">
        <v>11</v>
      </c>
      <c r="B17" s="50">
        <f>IF('Datos Mun'!B15="AMM",$B$5*'Datos Mun'!AC15,0)</f>
        <v>0</v>
      </c>
      <c r="C17" s="50">
        <f>IF('Datos Mun'!B15="AMM",$C$5*'Datos Mun'!AF15,0)</f>
        <v>0</v>
      </c>
      <c r="D17" s="50">
        <f>IF('Datos Mun'!B15="AMM",$D$5*'Datos Mun'!AI15,0)</f>
        <v>0</v>
      </c>
      <c r="E17" s="51">
        <f t="shared" si="0"/>
        <v>0</v>
      </c>
      <c r="F17" s="57">
        <f t="shared" si="1"/>
        <v>0</v>
      </c>
      <c r="G17" s="40"/>
      <c r="H17" s="45" t="s">
        <v>11</v>
      </c>
      <c r="I17" s="50">
        <f>IF('Datos Mun'!B15="AMM",0,$B$5*'Datos Mun'!AC15)</f>
        <v>8400919.4058304057</v>
      </c>
      <c r="J17" s="50">
        <f>IF('Datos Mun'!B15="AMM",0,$J$5*'Datos Mun'!AF15)</f>
        <v>31781527.555318348</v>
      </c>
      <c r="K17" s="50">
        <f>IF('Datos Mun'!B15="AMM",0,$K$5*'Datos Mun'!AI15)</f>
        <v>40696554.004121527</v>
      </c>
      <c r="L17" s="51">
        <f t="shared" si="2"/>
        <v>80879000.965270281</v>
      </c>
      <c r="M17" s="57">
        <f t="shared" si="3"/>
        <v>1.0295372435408534E-2</v>
      </c>
      <c r="O17" s="45" t="s">
        <v>11</v>
      </c>
      <c r="P17" s="50">
        <f>IF('Datos Mun'!D15="Zona de Crec",'Datos Mun'!AC15*'Art 14 F I'!$P$5,0)</f>
        <v>0</v>
      </c>
      <c r="Q17" s="50">
        <f>IF('Datos Mun'!D15="Zona de Crec",$Q$5*'Datos Mun'!AF15,0)</f>
        <v>0</v>
      </c>
      <c r="R17" s="50">
        <f>IF('Datos Mun'!D15="Zona de Crec",$R$5*'Datos Mun'!AI15,0)</f>
        <v>0</v>
      </c>
      <c r="S17" s="51">
        <f t="shared" si="4"/>
        <v>0</v>
      </c>
      <c r="T17" s="57">
        <f t="shared" si="5"/>
        <v>0</v>
      </c>
      <c r="U17" s="40"/>
    </row>
    <row r="18" spans="1:21">
      <c r="A18" s="45" t="s">
        <v>12</v>
      </c>
      <c r="B18" s="50">
        <f>IF('Datos Mun'!B16="AMM",$B$5*'Datos Mun'!AC16,0)</f>
        <v>0</v>
      </c>
      <c r="C18" s="50">
        <f>IF('Datos Mun'!B16="AMM",$C$5*'Datos Mun'!AF16,0)</f>
        <v>0</v>
      </c>
      <c r="D18" s="50">
        <f>IF('Datos Mun'!B16="AMM",$D$5*'Datos Mun'!AI16,0)</f>
        <v>0</v>
      </c>
      <c r="E18" s="51">
        <f t="shared" si="0"/>
        <v>0</v>
      </c>
      <c r="F18" s="57">
        <f t="shared" si="1"/>
        <v>0</v>
      </c>
      <c r="G18" s="40"/>
      <c r="H18" s="45" t="s">
        <v>12</v>
      </c>
      <c r="I18" s="50">
        <f>IF('Datos Mun'!B16="AMM",0,$B$5*'Datos Mun'!AC16)</f>
        <v>5096861.8050636584</v>
      </c>
      <c r="J18" s="50">
        <f>IF('Datos Mun'!B16="AMM",0,$J$5*'Datos Mun'!AF16)</f>
        <v>105810076.16948879</v>
      </c>
      <c r="K18" s="50">
        <f>IF('Datos Mun'!B16="AMM",0,$K$5*'Datos Mun'!AI16)</f>
        <v>126510376.93179125</v>
      </c>
      <c r="L18" s="51">
        <f t="shared" si="2"/>
        <v>237417314.9063437</v>
      </c>
      <c r="M18" s="57">
        <f t="shared" si="3"/>
        <v>3.0221684867559988E-2</v>
      </c>
      <c r="O18" s="45" t="s">
        <v>12</v>
      </c>
      <c r="P18" s="50">
        <f>IF('Datos Mun'!D16="Zona de Crec",'Datos Mun'!AC16*'Art 14 F I'!$P$5,0)</f>
        <v>0</v>
      </c>
      <c r="Q18" s="50">
        <f>IF('Datos Mun'!D16="Zona de Crec",$Q$5*'Datos Mun'!AF16,0)</f>
        <v>0</v>
      </c>
      <c r="R18" s="50">
        <f>IF('Datos Mun'!D16="Zona de Crec",$R$5*'Datos Mun'!AI16,0)</f>
        <v>0</v>
      </c>
      <c r="S18" s="51">
        <f t="shared" si="4"/>
        <v>0</v>
      </c>
      <c r="T18" s="57">
        <f t="shared" si="5"/>
        <v>0</v>
      </c>
      <c r="U18" s="40"/>
    </row>
    <row r="19" spans="1:21">
      <c r="A19" s="45" t="s">
        <v>13</v>
      </c>
      <c r="B19" s="50">
        <f>IF('Datos Mun'!B17="AMM",$B$5*'Datos Mun'!AC17,0)</f>
        <v>0</v>
      </c>
      <c r="C19" s="50">
        <f>IF('Datos Mun'!B17="AMM",$C$5*'Datos Mun'!AF17,0)</f>
        <v>0</v>
      </c>
      <c r="D19" s="50">
        <f>IF('Datos Mun'!B17="AMM",$D$5*'Datos Mun'!AI17,0)</f>
        <v>0</v>
      </c>
      <c r="E19" s="51">
        <f t="shared" si="0"/>
        <v>0</v>
      </c>
      <c r="F19" s="57">
        <f t="shared" si="1"/>
        <v>0</v>
      </c>
      <c r="G19" s="40"/>
      <c r="H19" s="45" t="s">
        <v>13</v>
      </c>
      <c r="I19" s="50">
        <f>IF('Datos Mun'!B17="AMM",0,$B$5*'Datos Mun'!AC17)</f>
        <v>43055006.090255558</v>
      </c>
      <c r="J19" s="50">
        <f>IF('Datos Mun'!B17="AMM",0,$J$5*'Datos Mun'!AF17)</f>
        <v>96497895.149017751</v>
      </c>
      <c r="K19" s="50">
        <f>IF('Datos Mun'!B17="AMM",0,$K$5*'Datos Mun'!AI17)</f>
        <v>56965245.261496887</v>
      </c>
      <c r="L19" s="51">
        <f t="shared" si="2"/>
        <v>196518146.50077021</v>
      </c>
      <c r="M19" s="57">
        <f t="shared" si="3"/>
        <v>2.5015485903570774E-2</v>
      </c>
      <c r="O19" s="45" t="s">
        <v>13</v>
      </c>
      <c r="P19" s="50">
        <f>IF('Datos Mun'!D17="Zona de Crec",'Datos Mun'!AC17*'Art 14 F I'!$P$5,0)</f>
        <v>43055006.090255558</v>
      </c>
      <c r="Q19" s="50">
        <f>IF('Datos Mun'!D17="Zona de Crec",$Q$5*'Datos Mun'!AF17,0)</f>
        <v>96497895.149017751</v>
      </c>
      <c r="R19" s="50">
        <f>IF('Datos Mun'!D17="Zona de Crec",$R$5*'Datos Mun'!AI17,0)</f>
        <v>56965245.261496887</v>
      </c>
      <c r="S19" s="51">
        <f t="shared" si="4"/>
        <v>196518146.50077021</v>
      </c>
      <c r="T19" s="57">
        <f t="shared" si="5"/>
        <v>1.8468499102282251E-2</v>
      </c>
      <c r="U19" s="40"/>
    </row>
    <row r="20" spans="1:21">
      <c r="A20" s="45" t="s">
        <v>14</v>
      </c>
      <c r="B20" s="50">
        <f>IF('Datos Mun'!B18="AMM",$B$5*'Datos Mun'!AC18,0)</f>
        <v>0</v>
      </c>
      <c r="C20" s="50">
        <f>IF('Datos Mun'!B18="AMM",$C$5*'Datos Mun'!AF18,0)</f>
        <v>0</v>
      </c>
      <c r="D20" s="50">
        <f>IF('Datos Mun'!B18="AMM",$D$5*'Datos Mun'!AI18,0)</f>
        <v>0</v>
      </c>
      <c r="E20" s="51">
        <f t="shared" si="0"/>
        <v>0</v>
      </c>
      <c r="F20" s="57">
        <f t="shared" si="1"/>
        <v>0</v>
      </c>
      <c r="G20" s="40"/>
      <c r="H20" s="45" t="s">
        <v>14</v>
      </c>
      <c r="I20" s="50">
        <f>IF('Datos Mun'!B18="AMM",0,$B$5*'Datos Mun'!AC18)</f>
        <v>856811.63257940987</v>
      </c>
      <c r="J20" s="50">
        <f>IF('Datos Mun'!B18="AMM",0,$J$5*'Datos Mun'!AF18)</f>
        <v>158436682.06229225</v>
      </c>
      <c r="K20" s="50">
        <f>IF('Datos Mun'!B18="AMM",0,$K$5*'Datos Mun'!AI18)</f>
        <v>886149949.56747854</v>
      </c>
      <c r="L20" s="51">
        <f t="shared" si="2"/>
        <v>1045443443.2623502</v>
      </c>
      <c r="M20" s="57">
        <f t="shared" si="3"/>
        <v>0.13307817208528025</v>
      </c>
      <c r="O20" s="45" t="s">
        <v>14</v>
      </c>
      <c r="P20" s="50">
        <f>IF('Datos Mun'!D18="Zona de Crec",'Datos Mun'!AC18*'Art 14 F I'!$P$5,0)</f>
        <v>0</v>
      </c>
      <c r="Q20" s="50">
        <f>IF('Datos Mun'!D18="Zona de Crec",$Q$5*'Datos Mun'!AF18,0)</f>
        <v>0</v>
      </c>
      <c r="R20" s="50">
        <f>IF('Datos Mun'!D18="Zona de Crec",$R$5*'Datos Mun'!AI18,0)</f>
        <v>0</v>
      </c>
      <c r="S20" s="51">
        <f t="shared" si="4"/>
        <v>0</v>
      </c>
      <c r="T20" s="57">
        <f t="shared" si="5"/>
        <v>0</v>
      </c>
      <c r="U20" s="40"/>
    </row>
    <row r="21" spans="1:21">
      <c r="A21" s="45" t="s">
        <v>15</v>
      </c>
      <c r="B21" s="50">
        <f>IF('Datos Mun'!B19="AMM",$B$5*'Datos Mun'!AC19,0)</f>
        <v>0</v>
      </c>
      <c r="C21" s="50">
        <f>IF('Datos Mun'!B19="AMM",$C$5*'Datos Mun'!AF19,0)</f>
        <v>0</v>
      </c>
      <c r="D21" s="50">
        <f>IF('Datos Mun'!B19="AMM",$D$5*'Datos Mun'!AI19,0)</f>
        <v>0</v>
      </c>
      <c r="E21" s="51">
        <f t="shared" si="0"/>
        <v>0</v>
      </c>
      <c r="F21" s="57">
        <f t="shared" si="1"/>
        <v>0</v>
      </c>
      <c r="G21" s="40"/>
      <c r="H21" s="45" t="s">
        <v>15</v>
      </c>
      <c r="I21" s="50">
        <f>IF('Datos Mun'!B19="AMM",0,$B$5*'Datos Mun'!AC19)</f>
        <v>843091.9601235796</v>
      </c>
      <c r="J21" s="50">
        <f>IF('Datos Mun'!B19="AMM",0,$J$5*'Datos Mun'!AF19)</f>
        <v>17444789.443937827</v>
      </c>
      <c r="K21" s="50">
        <f>IF('Datos Mun'!B19="AMM",0,$K$5*'Datos Mun'!AI19)</f>
        <v>11282038.270208117</v>
      </c>
      <c r="L21" s="51">
        <f t="shared" si="2"/>
        <v>29569919.674269523</v>
      </c>
      <c r="M21" s="57">
        <f t="shared" si="3"/>
        <v>3.7640590548644838E-3</v>
      </c>
      <c r="O21" s="45" t="s">
        <v>15</v>
      </c>
      <c r="P21" s="50">
        <f>IF('Datos Mun'!D19="Zona de Crec",'Datos Mun'!AC19*'Art 14 F I'!$P$5,0)</f>
        <v>0</v>
      </c>
      <c r="Q21" s="50">
        <f>IF('Datos Mun'!D19="Zona de Crec",$Q$5*'Datos Mun'!AF19,0)</f>
        <v>0</v>
      </c>
      <c r="R21" s="50">
        <f>IF('Datos Mun'!D19="Zona de Crec",$R$5*'Datos Mun'!AI19,0)</f>
        <v>0</v>
      </c>
      <c r="S21" s="51">
        <f t="shared" si="4"/>
        <v>0</v>
      </c>
      <c r="T21" s="57">
        <f t="shared" si="5"/>
        <v>0</v>
      </c>
      <c r="U21" s="40"/>
    </row>
    <row r="22" spans="1:21">
      <c r="A22" s="45" t="s">
        <v>16</v>
      </c>
      <c r="B22" s="50">
        <f>IF('Datos Mun'!B20="AMM",$B$5*'Datos Mun'!AC20,0)</f>
        <v>0</v>
      </c>
      <c r="C22" s="50">
        <f>IF('Datos Mun'!B20="AMM",$C$5*'Datos Mun'!AF20,0)</f>
        <v>0</v>
      </c>
      <c r="D22" s="50">
        <f>IF('Datos Mun'!B20="AMM",$D$5*'Datos Mun'!AI20,0)</f>
        <v>0</v>
      </c>
      <c r="E22" s="51">
        <f t="shared" si="0"/>
        <v>0</v>
      </c>
      <c r="F22" s="57">
        <f t="shared" si="1"/>
        <v>0</v>
      </c>
      <c r="G22" s="40"/>
      <c r="H22" s="45" t="s">
        <v>16</v>
      </c>
      <c r="I22" s="50">
        <f>IF('Datos Mun'!B20="AMM",0,$B$5*'Datos Mun'!AC20)</f>
        <v>1973553.1979014375</v>
      </c>
      <c r="J22" s="50">
        <f>IF('Datos Mun'!B20="AMM",0,$J$5*'Datos Mun'!AF20)</f>
        <v>17729641.001304355</v>
      </c>
      <c r="K22" s="50">
        <f>IF('Datos Mun'!B20="AMM",0,$K$5*'Datos Mun'!AI20)</f>
        <v>73374035.008653373</v>
      </c>
      <c r="L22" s="51">
        <f t="shared" si="2"/>
        <v>93077229.207859159</v>
      </c>
      <c r="M22" s="57">
        <f t="shared" si="3"/>
        <v>1.1848127802200195E-2</v>
      </c>
      <c r="O22" s="45" t="s">
        <v>16</v>
      </c>
      <c r="P22" s="50">
        <f>IF('Datos Mun'!D20="Zona de Crec",'Datos Mun'!AC20*'Art 14 F I'!$P$5,0)</f>
        <v>0</v>
      </c>
      <c r="Q22" s="50">
        <f>IF('Datos Mun'!D20="Zona de Crec",$Q$5*'Datos Mun'!AF20,0)</f>
        <v>0</v>
      </c>
      <c r="R22" s="50">
        <f>IF('Datos Mun'!D20="Zona de Crec",$R$5*'Datos Mun'!AI20,0)</f>
        <v>0</v>
      </c>
      <c r="S22" s="51">
        <f t="shared" si="4"/>
        <v>0</v>
      </c>
      <c r="T22" s="57">
        <f t="shared" si="5"/>
        <v>0</v>
      </c>
      <c r="U22" s="40"/>
    </row>
    <row r="23" spans="1:21">
      <c r="A23" s="45" t="s">
        <v>17</v>
      </c>
      <c r="B23" s="50">
        <f>IF('Datos Mun'!B21="AMM",$B$5*'Datos Mun'!AC21,0)</f>
        <v>0</v>
      </c>
      <c r="C23" s="50">
        <f>IF('Datos Mun'!B21="AMM",$C$5*'Datos Mun'!AF21,0)</f>
        <v>0</v>
      </c>
      <c r="D23" s="50">
        <f>IF('Datos Mun'!B21="AMM",$D$5*'Datos Mun'!AI21,0)</f>
        <v>0</v>
      </c>
      <c r="E23" s="51">
        <f t="shared" si="0"/>
        <v>0</v>
      </c>
      <c r="F23" s="57">
        <f t="shared" si="1"/>
        <v>0</v>
      </c>
      <c r="G23" s="40"/>
      <c r="H23" s="45" t="s">
        <v>17</v>
      </c>
      <c r="I23" s="50">
        <f>IF('Datos Mun'!B21="AMM",0,$B$5*'Datos Mun'!AC21)</f>
        <v>1672651.2721858828</v>
      </c>
      <c r="J23" s="50">
        <f>IF('Datos Mun'!B21="AMM",0,$J$5*'Datos Mun'!AF21)</f>
        <v>208578915.30589607</v>
      </c>
      <c r="K23" s="50">
        <f>IF('Datos Mun'!B21="AMM",0,$K$5*'Datos Mun'!AI21)</f>
        <v>388976814.17113608</v>
      </c>
      <c r="L23" s="51">
        <f t="shared" si="2"/>
        <v>599228380.74921799</v>
      </c>
      <c r="M23" s="57">
        <f t="shared" si="3"/>
        <v>7.6277887709432737E-2</v>
      </c>
      <c r="O23" s="45" t="s">
        <v>17</v>
      </c>
      <c r="P23" s="50">
        <f>IF('Datos Mun'!D21="Zona de Crec",'Datos Mun'!AC21*'Art 14 F I'!$P$5,0)</f>
        <v>0</v>
      </c>
      <c r="Q23" s="50">
        <f>IF('Datos Mun'!D21="Zona de Crec",$Q$5*'Datos Mun'!AF21,0)</f>
        <v>0</v>
      </c>
      <c r="R23" s="50">
        <f>IF('Datos Mun'!D21="Zona de Crec",$R$5*'Datos Mun'!AI21,0)</f>
        <v>0</v>
      </c>
      <c r="S23" s="51">
        <f t="shared" si="4"/>
        <v>0</v>
      </c>
      <c r="T23" s="57">
        <f t="shared" si="5"/>
        <v>0</v>
      </c>
      <c r="U23" s="40"/>
    </row>
    <row r="24" spans="1:21">
      <c r="A24" s="45" t="s">
        <v>18</v>
      </c>
      <c r="B24" s="50">
        <f>IF('Datos Mun'!B22="AMM",$B$5*'Datos Mun'!AC22,0)</f>
        <v>249798071.56825015</v>
      </c>
      <c r="C24" s="50">
        <f>IF('Datos Mun'!B22="AMM",$C$5*'Datos Mun'!AF22,0)</f>
        <v>562533963.3089056</v>
      </c>
      <c r="D24" s="50">
        <f>IF('Datos Mun'!B22="AMM",$D$5*'Datos Mun'!AI22,0)</f>
        <v>269858928.26490957</v>
      </c>
      <c r="E24" s="51">
        <f t="shared" si="0"/>
        <v>1082190963.1420653</v>
      </c>
      <c r="F24" s="57">
        <f t="shared" si="1"/>
        <v>3.71060283806516E-2</v>
      </c>
      <c r="G24" s="40"/>
      <c r="H24" s="45" t="s">
        <v>18</v>
      </c>
      <c r="I24" s="50">
        <f>IF('Datos Mun'!B22="AMM",0,$B$5*'Datos Mun'!AC22)</f>
        <v>0</v>
      </c>
      <c r="J24" s="50">
        <f>IF('Datos Mun'!B22="AMM",0,$J$5*'Datos Mun'!AF22)</f>
        <v>0</v>
      </c>
      <c r="K24" s="50">
        <f>IF('Datos Mun'!B22="AMM",0,$K$5*'Datos Mun'!AI22)</f>
        <v>0</v>
      </c>
      <c r="L24" s="51">
        <f t="shared" si="2"/>
        <v>0</v>
      </c>
      <c r="M24" s="57">
        <f t="shared" si="3"/>
        <v>0</v>
      </c>
      <c r="O24" s="45" t="s">
        <v>18</v>
      </c>
      <c r="P24" s="50">
        <f>IF('Datos Mun'!D22="Zona de Crec",'Datos Mun'!AC22*'Art 14 F I'!$P$5,0)</f>
        <v>249798071.56825015</v>
      </c>
      <c r="Q24" s="50">
        <f>IF('Datos Mun'!D22="Zona de Crec",$Q$5*'Datos Mun'!AF22,0)</f>
        <v>562533963.3089056</v>
      </c>
      <c r="R24" s="50">
        <f>IF('Datos Mun'!D22="Zona de Crec",$R$5*'Datos Mun'!AI22,0)</f>
        <v>269858928.26490957</v>
      </c>
      <c r="S24" s="51">
        <f t="shared" si="4"/>
        <v>1082190963.1420653</v>
      </c>
      <c r="T24" s="57">
        <f t="shared" si="5"/>
        <v>0.10170278514818408</v>
      </c>
      <c r="U24" s="40"/>
    </row>
    <row r="25" spans="1:21">
      <c r="A25" s="45" t="s">
        <v>19</v>
      </c>
      <c r="B25" s="50">
        <f>IF('Datos Mun'!B23="AMM",$B$5*'Datos Mun'!AC23,0)</f>
        <v>0</v>
      </c>
      <c r="C25" s="50">
        <f>IF('Datos Mun'!B23="AMM",$C$5*'Datos Mun'!AF23,0)</f>
        <v>0</v>
      </c>
      <c r="D25" s="50">
        <f>IF('Datos Mun'!B23="AMM",$D$5*'Datos Mun'!AI23,0)</f>
        <v>0</v>
      </c>
      <c r="E25" s="51">
        <f t="shared" si="0"/>
        <v>0</v>
      </c>
      <c r="F25" s="57">
        <f t="shared" si="1"/>
        <v>0</v>
      </c>
      <c r="G25" s="40"/>
      <c r="H25" s="45" t="s">
        <v>19</v>
      </c>
      <c r="I25" s="50">
        <f>IF('Datos Mun'!B23="AMM",0,$B$5*'Datos Mun'!AC23)</f>
        <v>1810042.3525472139</v>
      </c>
      <c r="J25" s="50">
        <f>IF('Datos Mun'!B23="AMM",0,$J$5*'Datos Mun'!AF23)</f>
        <v>48355494.719519824</v>
      </c>
      <c r="K25" s="50">
        <f>IF('Datos Mun'!B23="AMM",0,$K$5*'Datos Mun'!AI23)</f>
        <v>74180121.56074965</v>
      </c>
      <c r="L25" s="51">
        <f t="shared" si="2"/>
        <v>124345658.63281669</v>
      </c>
      <c r="M25" s="57">
        <f t="shared" si="3"/>
        <v>1.5828396135861469E-2</v>
      </c>
      <c r="O25" s="45" t="s">
        <v>19</v>
      </c>
      <c r="P25" s="50">
        <f>IF('Datos Mun'!D23="Zona de Crec",'Datos Mun'!AC23*'Art 14 F I'!$P$5,0)</f>
        <v>0</v>
      </c>
      <c r="Q25" s="50">
        <f>IF('Datos Mun'!D23="Zona de Crec",$Q$5*'Datos Mun'!AF23,0)</f>
        <v>0</v>
      </c>
      <c r="R25" s="50">
        <f>IF('Datos Mun'!D23="Zona de Crec",$R$5*'Datos Mun'!AI23,0)</f>
        <v>0</v>
      </c>
      <c r="S25" s="51">
        <f t="shared" si="4"/>
        <v>0</v>
      </c>
      <c r="T25" s="57">
        <f t="shared" si="5"/>
        <v>0</v>
      </c>
      <c r="U25" s="40"/>
    </row>
    <row r="26" spans="1:21">
      <c r="A26" s="45" t="s">
        <v>20</v>
      </c>
      <c r="B26" s="50">
        <f>IF('Datos Mun'!B24="AMM",$B$5*'Datos Mun'!AC24,0)</f>
        <v>453408084.37933117</v>
      </c>
      <c r="C26" s="50">
        <f>IF('Datos Mun'!B24="AMM",$C$5*'Datos Mun'!AF24,0)</f>
        <v>657687125.32548392</v>
      </c>
      <c r="D26" s="50">
        <f>IF('Datos Mun'!B24="AMM",$D$5*'Datos Mun'!AI24,0)</f>
        <v>434614113.73370117</v>
      </c>
      <c r="E26" s="51">
        <f t="shared" si="0"/>
        <v>1545709323.4385164</v>
      </c>
      <c r="F26" s="57">
        <f t="shared" si="1"/>
        <v>5.2999087940284378E-2</v>
      </c>
      <c r="G26" s="40"/>
      <c r="H26" s="45" t="s">
        <v>20</v>
      </c>
      <c r="I26" s="50">
        <f>IF('Datos Mun'!B24="AMM",0,$B$5*'Datos Mun'!AC24)</f>
        <v>0</v>
      </c>
      <c r="J26" s="50">
        <f>IF('Datos Mun'!B24="AMM",0,$J$5*'Datos Mun'!AF24)</f>
        <v>0</v>
      </c>
      <c r="K26" s="50">
        <f>IF('Datos Mun'!B24="AMM",0,$K$5*'Datos Mun'!AI24)</f>
        <v>0</v>
      </c>
      <c r="L26" s="51">
        <f t="shared" si="2"/>
        <v>0</v>
      </c>
      <c r="M26" s="57">
        <f t="shared" si="3"/>
        <v>0</v>
      </c>
      <c r="O26" s="45" t="s">
        <v>20</v>
      </c>
      <c r="P26" s="50">
        <f>IF('Datos Mun'!D24="Zona de Crec",'Datos Mun'!AC24*'Art 14 F I'!$P$5,0)</f>
        <v>453408084.37933117</v>
      </c>
      <c r="Q26" s="50">
        <f>IF('Datos Mun'!D24="Zona de Crec",$Q$5*'Datos Mun'!AF24,0)</f>
        <v>657687125.32548392</v>
      </c>
      <c r="R26" s="50">
        <f>IF('Datos Mun'!D24="Zona de Crec",$R$5*'Datos Mun'!AI24,0)</f>
        <v>434614113.73370117</v>
      </c>
      <c r="S26" s="51">
        <f t="shared" si="4"/>
        <v>1545709323.4385164</v>
      </c>
      <c r="T26" s="57">
        <f t="shared" si="5"/>
        <v>0.14526358893885488</v>
      </c>
      <c r="U26" s="40"/>
    </row>
    <row r="27" spans="1:21">
      <c r="A27" s="45" t="s">
        <v>21</v>
      </c>
      <c r="B27" s="50">
        <f>IF('Datos Mun'!B25="AMM",$B$5*'Datos Mun'!AC25,0)</f>
        <v>0</v>
      </c>
      <c r="C27" s="50">
        <f>IF('Datos Mun'!B25="AMM",$C$5*'Datos Mun'!AF25,0)</f>
        <v>0</v>
      </c>
      <c r="D27" s="50">
        <f>IF('Datos Mun'!B25="AMM",$D$5*'Datos Mun'!AI25,0)</f>
        <v>0</v>
      </c>
      <c r="E27" s="51">
        <f t="shared" si="0"/>
        <v>0</v>
      </c>
      <c r="F27" s="57">
        <f t="shared" si="1"/>
        <v>0</v>
      </c>
      <c r="G27" s="40"/>
      <c r="H27" s="45" t="s">
        <v>21</v>
      </c>
      <c r="I27" s="50">
        <f>IF('Datos Mun'!B25="AMM",0,$B$5*'Datos Mun'!AC25)</f>
        <v>13812533.351622375</v>
      </c>
      <c r="J27" s="50">
        <f>IF('Datos Mun'!B25="AMM",0,$J$5*'Datos Mun'!AF25)</f>
        <v>72826952.942244589</v>
      </c>
      <c r="K27" s="50">
        <f>IF('Datos Mun'!B25="AMM",0,$K$5*'Datos Mun'!AI25)</f>
        <v>158738313.67076719</v>
      </c>
      <c r="L27" s="51">
        <f t="shared" si="2"/>
        <v>245377799.96463415</v>
      </c>
      <c r="M27" s="57">
        <f t="shared" si="3"/>
        <v>3.1235003002842064E-2</v>
      </c>
      <c r="O27" s="45" t="s">
        <v>21</v>
      </c>
      <c r="P27" s="50">
        <f>IF('Datos Mun'!D25="Zona de Crec",'Datos Mun'!AC25*'Art 14 F I'!$P$5,0)</f>
        <v>0</v>
      </c>
      <c r="Q27" s="50">
        <f>IF('Datos Mun'!D25="Zona de Crec",$Q$5*'Datos Mun'!AF25,0)</f>
        <v>0</v>
      </c>
      <c r="R27" s="50">
        <f>IF('Datos Mun'!D25="Zona de Crec",$R$5*'Datos Mun'!AI25,0)</f>
        <v>0</v>
      </c>
      <c r="S27" s="51">
        <f t="shared" si="4"/>
        <v>0</v>
      </c>
      <c r="T27" s="57">
        <f t="shared" si="5"/>
        <v>0</v>
      </c>
      <c r="U27" s="40"/>
    </row>
    <row r="28" spans="1:21">
      <c r="A28" s="45" t="s">
        <v>22</v>
      </c>
      <c r="B28" s="50">
        <f>IF('Datos Mun'!B26="AMM",$B$5*'Datos Mun'!AC26,0)</f>
        <v>0</v>
      </c>
      <c r="C28" s="50">
        <f>IF('Datos Mun'!B26="AMM",$C$5*'Datos Mun'!AF26,0)</f>
        <v>0</v>
      </c>
      <c r="D28" s="50">
        <f>IF('Datos Mun'!B26="AMM",$D$5*'Datos Mun'!AI26,0)</f>
        <v>0</v>
      </c>
      <c r="E28" s="51">
        <f t="shared" si="0"/>
        <v>0</v>
      </c>
      <c r="F28" s="57">
        <f t="shared" si="1"/>
        <v>0</v>
      </c>
      <c r="G28" s="40"/>
      <c r="H28" s="45" t="s">
        <v>22</v>
      </c>
      <c r="I28" s="50">
        <f>IF('Datos Mun'!B26="AMM",0,$B$5*'Datos Mun'!AC26)</f>
        <v>677295.59662454179</v>
      </c>
      <c r="J28" s="50">
        <f>IF('Datos Mun'!B26="AMM",0,$J$5*'Datos Mun'!AF26)</f>
        <v>10852637.986629672</v>
      </c>
      <c r="K28" s="50">
        <f>IF('Datos Mun'!B26="AMM",0,$K$5*'Datos Mun'!AI26)</f>
        <v>51790926.891797185</v>
      </c>
      <c r="L28" s="51">
        <f t="shared" si="2"/>
        <v>63320860.475051403</v>
      </c>
      <c r="M28" s="57">
        <f t="shared" si="3"/>
        <v>8.060334991045786E-3</v>
      </c>
      <c r="O28" s="45" t="s">
        <v>22</v>
      </c>
      <c r="P28" s="50">
        <f>IF('Datos Mun'!D26="Zona de Crec",'Datos Mun'!AC26*'Art 14 F I'!$P$5,0)</f>
        <v>0</v>
      </c>
      <c r="Q28" s="50">
        <f>IF('Datos Mun'!D26="Zona de Crec",$Q$5*'Datos Mun'!AF26,0)</f>
        <v>0</v>
      </c>
      <c r="R28" s="50">
        <f>IF('Datos Mun'!D26="Zona de Crec",$R$5*'Datos Mun'!AI26,0)</f>
        <v>0</v>
      </c>
      <c r="S28" s="51">
        <f t="shared" si="4"/>
        <v>0</v>
      </c>
      <c r="T28" s="57">
        <f t="shared" si="5"/>
        <v>0</v>
      </c>
      <c r="U28" s="40"/>
    </row>
    <row r="29" spans="1:21">
      <c r="A29" s="45" t="s">
        <v>23</v>
      </c>
      <c r="B29" s="50">
        <f>IF('Datos Mun'!B27="AMM",$B$5*'Datos Mun'!AC27,0)</f>
        <v>0</v>
      </c>
      <c r="C29" s="50">
        <f>IF('Datos Mun'!B27="AMM",$C$5*'Datos Mun'!AF27,0)</f>
        <v>0</v>
      </c>
      <c r="D29" s="50">
        <f>IF('Datos Mun'!B27="AMM",$D$5*'Datos Mun'!AI27,0)</f>
        <v>0</v>
      </c>
      <c r="E29" s="51">
        <f t="shared" si="0"/>
        <v>0</v>
      </c>
      <c r="F29" s="57">
        <f t="shared" si="1"/>
        <v>0</v>
      </c>
      <c r="G29" s="40"/>
      <c r="H29" s="45" t="s">
        <v>23</v>
      </c>
      <c r="I29" s="50">
        <f>IF('Datos Mun'!B27="AMM",0,$B$5*'Datos Mun'!AC27)</f>
        <v>154544.29797098914</v>
      </c>
      <c r="J29" s="50">
        <f>IF('Datos Mun'!B27="AMM",0,$J$5*'Datos Mun'!AF27)</f>
        <v>36819169.057673991</v>
      </c>
      <c r="K29" s="50">
        <f>IF('Datos Mun'!B27="AMM",0,$K$5*'Datos Mun'!AI27)</f>
        <v>163083230.44312856</v>
      </c>
      <c r="L29" s="51">
        <f t="shared" si="2"/>
        <v>200056943.79877353</v>
      </c>
      <c r="M29" s="57">
        <f t="shared" si="3"/>
        <v>2.5465951855443821E-2</v>
      </c>
      <c r="O29" s="45" t="s">
        <v>23</v>
      </c>
      <c r="P29" s="50">
        <f>IF('Datos Mun'!D27="Zona de Crec",'Datos Mun'!AC27*'Art 14 F I'!$P$5,0)</f>
        <v>0</v>
      </c>
      <c r="Q29" s="50">
        <f>IF('Datos Mun'!D27="Zona de Crec",$Q$5*'Datos Mun'!AF27,0)</f>
        <v>0</v>
      </c>
      <c r="R29" s="50">
        <f>IF('Datos Mun'!D27="Zona de Crec",$R$5*'Datos Mun'!AI27,0)</f>
        <v>0</v>
      </c>
      <c r="S29" s="51">
        <f t="shared" si="4"/>
        <v>0</v>
      </c>
      <c r="T29" s="57">
        <f t="shared" si="5"/>
        <v>0</v>
      </c>
      <c r="U29" s="40"/>
    </row>
    <row r="30" spans="1:21">
      <c r="A30" s="45" t="s">
        <v>24</v>
      </c>
      <c r="B30" s="50">
        <f>IF('Datos Mun'!B28="AMM",$B$5*'Datos Mun'!AC28,0)</f>
        <v>0</v>
      </c>
      <c r="C30" s="50">
        <f>IF('Datos Mun'!B28="AMM",$C$5*'Datos Mun'!AF28,0)</f>
        <v>0</v>
      </c>
      <c r="D30" s="50">
        <f>IF('Datos Mun'!B28="AMM",$D$5*'Datos Mun'!AI28,0)</f>
        <v>0</v>
      </c>
      <c r="E30" s="51">
        <f t="shared" si="0"/>
        <v>0</v>
      </c>
      <c r="F30" s="57">
        <f t="shared" si="1"/>
        <v>0</v>
      </c>
      <c r="G30" s="40"/>
      <c r="H30" s="45" t="s">
        <v>24</v>
      </c>
      <c r="I30" s="50">
        <f>IF('Datos Mun'!B28="AMM",0,$B$5*'Datos Mun'!AC28)</f>
        <v>16349903.958041834</v>
      </c>
      <c r="J30" s="50">
        <f>IF('Datos Mun'!B28="AMM",0,$J$5*'Datos Mun'!AF28)</f>
        <v>142915996.6692912</v>
      </c>
      <c r="K30" s="50">
        <f>IF('Datos Mun'!B28="AMM",0,$K$5*'Datos Mun'!AI28)</f>
        <v>172231365.73308051</v>
      </c>
      <c r="L30" s="51">
        <f t="shared" si="2"/>
        <v>331497266.36041355</v>
      </c>
      <c r="M30" s="57">
        <f t="shared" si="3"/>
        <v>4.2197452710448141E-2</v>
      </c>
      <c r="O30" s="45" t="s">
        <v>24</v>
      </c>
      <c r="P30" s="50">
        <f>IF('Datos Mun'!D28="Zona de Crec",'Datos Mun'!AC28*'Art 14 F I'!$P$5,0)</f>
        <v>16349903.958041834</v>
      </c>
      <c r="Q30" s="50">
        <f>IF('Datos Mun'!D28="Zona de Crec",$Q$5*'Datos Mun'!AF28,0)</f>
        <v>142915996.6692912</v>
      </c>
      <c r="R30" s="50">
        <f>IF('Datos Mun'!D28="Zona de Crec",$R$5*'Datos Mun'!AI28,0)</f>
        <v>172231365.73308051</v>
      </c>
      <c r="S30" s="51">
        <f t="shared" si="4"/>
        <v>331497266.36041355</v>
      </c>
      <c r="T30" s="57">
        <f t="shared" si="5"/>
        <v>3.1153647005124397E-2</v>
      </c>
      <c r="U30" s="40"/>
    </row>
    <row r="31" spans="1:21">
      <c r="A31" s="45" t="s">
        <v>25</v>
      </c>
      <c r="B31" s="50">
        <f>IF('Datos Mun'!B29="AMM",$B$5*'Datos Mun'!AC29,0)</f>
        <v>993836584.16855311</v>
      </c>
      <c r="C31" s="50">
        <f>IF('Datos Mun'!B29="AMM",$C$5*'Datos Mun'!AF29,0)</f>
        <v>877242662.8156718</v>
      </c>
      <c r="D31" s="50">
        <f>IF('Datos Mun'!B29="AMM",$D$5*'Datos Mun'!AI29,0)</f>
        <v>568802694.22058308</v>
      </c>
      <c r="E31" s="51">
        <f t="shared" si="0"/>
        <v>2439881941.2048078</v>
      </c>
      <c r="F31" s="57">
        <f t="shared" si="1"/>
        <v>8.3658366812567775E-2</v>
      </c>
      <c r="G31" s="40"/>
      <c r="H31" s="45" t="s">
        <v>25</v>
      </c>
      <c r="I31" s="50">
        <f>IF('Datos Mun'!B29="AMM",0,$B$5*'Datos Mun'!AC29)</f>
        <v>0</v>
      </c>
      <c r="J31" s="50">
        <f>IF('Datos Mun'!B29="AMM",0,$J$5*'Datos Mun'!AF29)</f>
        <v>0</v>
      </c>
      <c r="K31" s="50">
        <f>IF('Datos Mun'!B29="AMM",0,$K$5*'Datos Mun'!AI29)</f>
        <v>0</v>
      </c>
      <c r="L31" s="51">
        <f t="shared" si="2"/>
        <v>0</v>
      </c>
      <c r="M31" s="57">
        <f t="shared" si="3"/>
        <v>0</v>
      </c>
      <c r="O31" s="45" t="s">
        <v>25</v>
      </c>
      <c r="P31" s="50">
        <f>IF('Datos Mun'!D29="Zona de Crec",'Datos Mun'!AC29*'Art 14 F I'!$P$5,0)</f>
        <v>0</v>
      </c>
      <c r="Q31" s="50">
        <f>IF('Datos Mun'!D29="Zona de Crec",$Q$5*'Datos Mun'!AF29,0)</f>
        <v>0</v>
      </c>
      <c r="R31" s="50">
        <f>IF('Datos Mun'!D29="Zona de Crec",$R$5*'Datos Mun'!AI29,0)</f>
        <v>0</v>
      </c>
      <c r="S31" s="51">
        <f t="shared" si="4"/>
        <v>0</v>
      </c>
      <c r="T31" s="57">
        <f t="shared" si="5"/>
        <v>0</v>
      </c>
      <c r="U31" s="40"/>
    </row>
    <row r="32" spans="1:21">
      <c r="A32" s="45" t="s">
        <v>26</v>
      </c>
      <c r="B32" s="50">
        <f>IF('Datos Mun'!B30="AMM",$B$5*'Datos Mun'!AC30,0)</f>
        <v>0</v>
      </c>
      <c r="C32" s="50">
        <f>IF('Datos Mun'!B30="AMM",$C$5*'Datos Mun'!AF30,0)</f>
        <v>0</v>
      </c>
      <c r="D32" s="50">
        <f>IF('Datos Mun'!B30="AMM",$D$5*'Datos Mun'!AI30,0)</f>
        <v>0</v>
      </c>
      <c r="E32" s="51">
        <f t="shared" si="0"/>
        <v>0</v>
      </c>
      <c r="F32" s="57">
        <f t="shared" si="1"/>
        <v>0</v>
      </c>
      <c r="G32" s="40"/>
      <c r="H32" s="45" t="s">
        <v>26</v>
      </c>
      <c r="I32" s="50">
        <f>IF('Datos Mun'!B30="AMM",0,$B$5*'Datos Mun'!AC30)</f>
        <v>947242.27025500266</v>
      </c>
      <c r="J32" s="50">
        <f>IF('Datos Mun'!B30="AMM",0,$J$5*'Datos Mun'!AF30)</f>
        <v>13410151.060805285</v>
      </c>
      <c r="K32" s="50">
        <f>IF('Datos Mun'!B30="AMM",0,$K$5*'Datos Mun'!AI30)</f>
        <v>12430802.334365081</v>
      </c>
      <c r="L32" s="51">
        <f t="shared" si="2"/>
        <v>26788195.665425368</v>
      </c>
      <c r="M32" s="57">
        <f t="shared" si="3"/>
        <v>3.4099636241374663E-3</v>
      </c>
      <c r="O32" s="45" t="s">
        <v>26</v>
      </c>
      <c r="P32" s="50">
        <f>IF('Datos Mun'!D30="Zona de Crec",'Datos Mun'!AC30*'Art 14 F I'!$P$5,0)</f>
        <v>0</v>
      </c>
      <c r="Q32" s="50">
        <f>IF('Datos Mun'!D30="Zona de Crec",$Q$5*'Datos Mun'!AF30,0)</f>
        <v>0</v>
      </c>
      <c r="R32" s="50">
        <f>IF('Datos Mun'!D30="Zona de Crec",$R$5*'Datos Mun'!AI30,0)</f>
        <v>0</v>
      </c>
      <c r="S32" s="51">
        <f t="shared" si="4"/>
        <v>0</v>
      </c>
      <c r="T32" s="57">
        <f t="shared" si="5"/>
        <v>0</v>
      </c>
      <c r="U32" s="40"/>
    </row>
    <row r="33" spans="1:21">
      <c r="A33" s="45" t="s">
        <v>27</v>
      </c>
      <c r="B33" s="50">
        <f>IF('Datos Mun'!B31="AMM",$B$5*'Datos Mun'!AC31,0)</f>
        <v>0</v>
      </c>
      <c r="C33" s="50">
        <f>IF('Datos Mun'!B31="AMM",$C$5*'Datos Mun'!AF31,0)</f>
        <v>0</v>
      </c>
      <c r="D33" s="50">
        <f>IF('Datos Mun'!B31="AMM",$D$5*'Datos Mun'!AI31,0)</f>
        <v>0</v>
      </c>
      <c r="E33" s="51">
        <f t="shared" si="0"/>
        <v>0</v>
      </c>
      <c r="F33" s="57">
        <f t="shared" si="1"/>
        <v>0</v>
      </c>
      <c r="G33" s="40"/>
      <c r="H33" s="45" t="s">
        <v>27</v>
      </c>
      <c r="I33" s="50">
        <f>IF('Datos Mun'!B31="AMM",0,$B$5*'Datos Mun'!AC31)</f>
        <v>1287521.7143930066</v>
      </c>
      <c r="J33" s="50">
        <f>IF('Datos Mun'!B31="AMM",0,$J$5*'Datos Mun'!AF31)</f>
        <v>25568714.778665036</v>
      </c>
      <c r="K33" s="50">
        <f>IF('Datos Mun'!B31="AMM",0,$K$5*'Datos Mun'!AI31)</f>
        <v>32392923.207366042</v>
      </c>
      <c r="L33" s="51">
        <f t="shared" si="2"/>
        <v>59249159.700424083</v>
      </c>
      <c r="M33" s="57">
        <f t="shared" si="3"/>
        <v>7.5420338817339862E-3</v>
      </c>
      <c r="O33" s="45" t="s">
        <v>27</v>
      </c>
      <c r="P33" s="50">
        <f>IF('Datos Mun'!D31="Zona de Crec",'Datos Mun'!AC31*'Art 14 F I'!$P$5,0)</f>
        <v>0</v>
      </c>
      <c r="Q33" s="50">
        <f>IF('Datos Mun'!D31="Zona de Crec",$Q$5*'Datos Mun'!AF31,0)</f>
        <v>0</v>
      </c>
      <c r="R33" s="50">
        <f>IF('Datos Mun'!D31="Zona de Crec",$R$5*'Datos Mun'!AI31,0)</f>
        <v>0</v>
      </c>
      <c r="S33" s="51">
        <f t="shared" si="4"/>
        <v>0</v>
      </c>
      <c r="T33" s="57">
        <f t="shared" si="5"/>
        <v>0</v>
      </c>
      <c r="U33" s="40"/>
    </row>
    <row r="34" spans="1:21">
      <c r="A34" s="45" t="s">
        <v>28</v>
      </c>
      <c r="B34" s="50">
        <f>IF('Datos Mun'!B32="AMM",$B$5*'Datos Mun'!AC32,0)</f>
        <v>0</v>
      </c>
      <c r="C34" s="50">
        <f>IF('Datos Mun'!B32="AMM",$C$5*'Datos Mun'!AF32,0)</f>
        <v>0</v>
      </c>
      <c r="D34" s="50">
        <f>IF('Datos Mun'!B32="AMM",$D$5*'Datos Mun'!AI32,0)</f>
        <v>0</v>
      </c>
      <c r="E34" s="51">
        <f t="shared" si="0"/>
        <v>0</v>
      </c>
      <c r="F34" s="57">
        <f t="shared" si="1"/>
        <v>0</v>
      </c>
      <c r="G34" s="40"/>
      <c r="H34" s="45" t="s">
        <v>28</v>
      </c>
      <c r="I34" s="50">
        <f>IF('Datos Mun'!B32="AMM",0,$B$5*'Datos Mun'!AC32)</f>
        <v>1829947.9878247734</v>
      </c>
      <c r="J34" s="50">
        <f>IF('Datos Mun'!B32="AMM",0,$J$5*'Datos Mun'!AF32)</f>
        <v>11475346.762131739</v>
      </c>
      <c r="K34" s="50">
        <f>IF('Datos Mun'!B32="AMM",0,$K$5*'Datos Mun'!AI32)</f>
        <v>12794815.102180265</v>
      </c>
      <c r="L34" s="51">
        <f t="shared" si="2"/>
        <v>26100109.852136776</v>
      </c>
      <c r="M34" s="57">
        <f t="shared" si="3"/>
        <v>3.3223747613822384E-3</v>
      </c>
      <c r="O34" s="45" t="s">
        <v>28</v>
      </c>
      <c r="P34" s="50">
        <f>IF('Datos Mun'!D32="Zona de Crec",'Datos Mun'!AC32*'Art 14 F I'!$P$5,0)</f>
        <v>0</v>
      </c>
      <c r="Q34" s="50">
        <f>IF('Datos Mun'!D32="Zona de Crec",$Q$5*'Datos Mun'!AF32,0)</f>
        <v>0</v>
      </c>
      <c r="R34" s="50">
        <f>IF('Datos Mun'!D32="Zona de Crec",$R$5*'Datos Mun'!AI32,0)</f>
        <v>0</v>
      </c>
      <c r="S34" s="51">
        <f t="shared" si="4"/>
        <v>0</v>
      </c>
      <c r="T34" s="57">
        <f t="shared" si="5"/>
        <v>0</v>
      </c>
      <c r="U34" s="40"/>
    </row>
    <row r="35" spans="1:21">
      <c r="A35" s="45" t="s">
        <v>29</v>
      </c>
      <c r="B35" s="50">
        <f>IF('Datos Mun'!B33="AMM",$B$5*'Datos Mun'!AC33,0)</f>
        <v>0</v>
      </c>
      <c r="C35" s="50">
        <f>IF('Datos Mun'!B33="AMM",$C$5*'Datos Mun'!AF33,0)</f>
        <v>0</v>
      </c>
      <c r="D35" s="50">
        <f>IF('Datos Mun'!B33="AMM",$D$5*'Datos Mun'!AI33,0)</f>
        <v>0</v>
      </c>
      <c r="E35" s="51">
        <f t="shared" si="0"/>
        <v>0</v>
      </c>
      <c r="F35" s="57">
        <f t="shared" si="1"/>
        <v>0</v>
      </c>
      <c r="G35" s="40"/>
      <c r="H35" s="45" t="s">
        <v>29</v>
      </c>
      <c r="I35" s="50">
        <f>IF('Datos Mun'!B33="AMM",0,$B$5*'Datos Mun'!AC33)</f>
        <v>2434002.8318453403</v>
      </c>
      <c r="J35" s="50">
        <f>IF('Datos Mun'!B33="AMM",0,$J$5*'Datos Mun'!AF33)</f>
        <v>12320882.193101216</v>
      </c>
      <c r="K35" s="50">
        <f>IF('Datos Mun'!B33="AMM",0,$K$5*'Datos Mun'!AI33)</f>
        <v>49261021.637974866</v>
      </c>
      <c r="L35" s="51">
        <f t="shared" si="2"/>
        <v>64015906.662921421</v>
      </c>
      <c r="M35" s="57">
        <f t="shared" si="3"/>
        <v>8.1488098643569123E-3</v>
      </c>
      <c r="O35" s="45" t="s">
        <v>29</v>
      </c>
      <c r="P35" s="50">
        <f>IF('Datos Mun'!D33="Zona de Crec",'Datos Mun'!AC33*'Art 14 F I'!$P$5,0)</f>
        <v>0</v>
      </c>
      <c r="Q35" s="50">
        <f>IF('Datos Mun'!D33="Zona de Crec",$Q$5*'Datos Mun'!AF33,0)</f>
        <v>0</v>
      </c>
      <c r="R35" s="50">
        <f>IF('Datos Mun'!D33="Zona de Crec",$R$5*'Datos Mun'!AI33,0)</f>
        <v>0</v>
      </c>
      <c r="S35" s="51">
        <f t="shared" si="4"/>
        <v>0</v>
      </c>
      <c r="T35" s="57">
        <f t="shared" si="5"/>
        <v>0</v>
      </c>
      <c r="U35" s="40"/>
    </row>
    <row r="36" spans="1:21">
      <c r="A36" s="45" t="s">
        <v>30</v>
      </c>
      <c r="B36" s="50">
        <f>IF('Datos Mun'!B34="AMM",$B$5*'Datos Mun'!AC34,0)</f>
        <v>0</v>
      </c>
      <c r="C36" s="50">
        <f>IF('Datos Mun'!B34="AMM",$C$5*'Datos Mun'!AF34,0)</f>
        <v>0</v>
      </c>
      <c r="D36" s="50">
        <f>IF('Datos Mun'!B34="AMM",$D$5*'Datos Mun'!AI34,0)</f>
        <v>0</v>
      </c>
      <c r="E36" s="51">
        <f t="shared" si="0"/>
        <v>0</v>
      </c>
      <c r="F36" s="57">
        <f t="shared" si="1"/>
        <v>0</v>
      </c>
      <c r="G36" s="40"/>
      <c r="H36" s="45" t="s">
        <v>30</v>
      </c>
      <c r="I36" s="50">
        <f>IF('Datos Mun'!B34="AMM",0,$B$5*'Datos Mun'!AC34)</f>
        <v>257985.28149499735</v>
      </c>
      <c r="J36" s="50">
        <f>IF('Datos Mun'!B34="AMM",0,$J$5*'Datos Mun'!AF34)</f>
        <v>16613931.424219254</v>
      </c>
      <c r="K36" s="50">
        <f>IF('Datos Mun'!B34="AMM",0,$K$5*'Datos Mun'!AI34)</f>
        <v>126677811.45183055</v>
      </c>
      <c r="L36" s="51">
        <f t="shared" si="2"/>
        <v>143549728.15754479</v>
      </c>
      <c r="M36" s="57">
        <f t="shared" si="3"/>
        <v>1.8272949674764026E-2</v>
      </c>
      <c r="O36" s="45" t="s">
        <v>30</v>
      </c>
      <c r="P36" s="50">
        <f>IF('Datos Mun'!D34="Zona de Crec",'Datos Mun'!AC34*'Art 14 F I'!$P$5,0)</f>
        <v>0</v>
      </c>
      <c r="Q36" s="50">
        <f>IF('Datos Mun'!D34="Zona de Crec",$Q$5*'Datos Mun'!AF34,0)</f>
        <v>0</v>
      </c>
      <c r="R36" s="50">
        <f>IF('Datos Mun'!D34="Zona de Crec",$R$5*'Datos Mun'!AI34,0)</f>
        <v>0</v>
      </c>
      <c r="S36" s="51">
        <f t="shared" si="4"/>
        <v>0</v>
      </c>
      <c r="T36" s="57">
        <f t="shared" si="5"/>
        <v>0</v>
      </c>
      <c r="U36" s="40"/>
    </row>
    <row r="37" spans="1:21">
      <c r="A37" s="45" t="s">
        <v>31</v>
      </c>
      <c r="B37" s="50">
        <f>IF('Datos Mun'!B35="AMM",$B$5*'Datos Mun'!AC35,0)</f>
        <v>309081069.48736483</v>
      </c>
      <c r="C37" s="50">
        <f>IF('Datos Mun'!B35="AMM",$C$5*'Datos Mun'!AF35,0)</f>
        <v>646627084.1090591</v>
      </c>
      <c r="D37" s="50">
        <f>IF('Datos Mun'!B35="AMM",$D$5*'Datos Mun'!AI35,0)</f>
        <v>322627451.95692611</v>
      </c>
      <c r="E37" s="51">
        <f t="shared" si="0"/>
        <v>1278335605.55335</v>
      </c>
      <c r="F37" s="57">
        <f t="shared" si="1"/>
        <v>4.3831411345312751E-2</v>
      </c>
      <c r="G37" s="40"/>
      <c r="H37" s="45" t="s">
        <v>31</v>
      </c>
      <c r="I37" s="50">
        <f>IF('Datos Mun'!B35="AMM",0,$B$5*'Datos Mun'!AC35)</f>
        <v>0</v>
      </c>
      <c r="J37" s="50">
        <f>IF('Datos Mun'!B35="AMM",0,$J$5*'Datos Mun'!AF35)</f>
        <v>0</v>
      </c>
      <c r="K37" s="50">
        <f>IF('Datos Mun'!B35="AMM",0,$K$5*'Datos Mun'!AI35)</f>
        <v>0</v>
      </c>
      <c r="L37" s="51">
        <f t="shared" si="2"/>
        <v>0</v>
      </c>
      <c r="M37" s="57">
        <f t="shared" si="3"/>
        <v>0</v>
      </c>
      <c r="O37" s="45" t="s">
        <v>31</v>
      </c>
      <c r="P37" s="50">
        <f>IF('Datos Mun'!D35="Zona de Crec",'Datos Mun'!AC35*'Art 14 F I'!$P$5,0)</f>
        <v>309081069.48736483</v>
      </c>
      <c r="Q37" s="50">
        <f>IF('Datos Mun'!D35="Zona de Crec",$Q$5*'Datos Mun'!AF35,0)</f>
        <v>646627084.1090591</v>
      </c>
      <c r="R37" s="50">
        <f>IF('Datos Mun'!D35="Zona de Crec",$R$5*'Datos Mun'!AI35,0)</f>
        <v>322627451.95692611</v>
      </c>
      <c r="S37" s="51">
        <f t="shared" si="4"/>
        <v>1278335605.55335</v>
      </c>
      <c r="T37" s="57">
        <f t="shared" si="5"/>
        <v>0.12013618286128579</v>
      </c>
      <c r="U37" s="40"/>
    </row>
    <row r="38" spans="1:21">
      <c r="A38" s="45" t="s">
        <v>32</v>
      </c>
      <c r="B38" s="50">
        <f>IF('Datos Mun'!B36="AMM",$B$5*'Datos Mun'!AC36,0)</f>
        <v>0</v>
      </c>
      <c r="C38" s="50">
        <f>IF('Datos Mun'!B36="AMM",$C$5*'Datos Mun'!AF36,0)</f>
        <v>0</v>
      </c>
      <c r="D38" s="50">
        <f>IF('Datos Mun'!B36="AMM",$D$5*'Datos Mun'!AI36,0)</f>
        <v>0</v>
      </c>
      <c r="E38" s="51">
        <f t="shared" si="0"/>
        <v>0</v>
      </c>
      <c r="F38" s="57">
        <f t="shared" si="1"/>
        <v>0</v>
      </c>
      <c r="G38" s="40"/>
      <c r="H38" s="45" t="s">
        <v>32</v>
      </c>
      <c r="I38" s="50">
        <f>IF('Datos Mun'!B36="AMM",0,$B$5*'Datos Mun'!AC36)</f>
        <v>4351520.4466479011</v>
      </c>
      <c r="J38" s="50">
        <f>IF('Datos Mun'!B36="AMM",0,$J$5*'Datos Mun'!AF36)</f>
        <v>81455661.277628615</v>
      </c>
      <c r="K38" s="50">
        <f>IF('Datos Mun'!B36="AMM",0,$K$5*'Datos Mun'!AI36)</f>
        <v>29648297.744781263</v>
      </c>
      <c r="L38" s="51">
        <f t="shared" si="2"/>
        <v>115455479.46905777</v>
      </c>
      <c r="M38" s="57">
        <f t="shared" si="3"/>
        <v>1.4696733968722323E-2</v>
      </c>
      <c r="O38" s="45" t="s">
        <v>32</v>
      </c>
      <c r="P38" s="50">
        <f>IF('Datos Mun'!D36="Zona de Crec",'Datos Mun'!AC36*'Art 14 F I'!$P$5,0)</f>
        <v>0</v>
      </c>
      <c r="Q38" s="50">
        <f>IF('Datos Mun'!D36="Zona de Crec",$Q$5*'Datos Mun'!AF36,0)</f>
        <v>0</v>
      </c>
      <c r="R38" s="50">
        <f>IF('Datos Mun'!D36="Zona de Crec",$R$5*'Datos Mun'!AI36,0)</f>
        <v>0</v>
      </c>
      <c r="S38" s="51">
        <f t="shared" si="4"/>
        <v>0</v>
      </c>
      <c r="T38" s="57">
        <f t="shared" si="5"/>
        <v>0</v>
      </c>
      <c r="U38" s="40"/>
    </row>
    <row r="39" spans="1:21">
      <c r="A39" s="45" t="s">
        <v>33</v>
      </c>
      <c r="B39" s="50">
        <f>IF('Datos Mun'!B37="AMM",$B$5*'Datos Mun'!AC37,0)</f>
        <v>0</v>
      </c>
      <c r="C39" s="50">
        <f>IF('Datos Mun'!B37="AMM",$C$5*'Datos Mun'!AF37,0)</f>
        <v>0</v>
      </c>
      <c r="D39" s="50">
        <f>IF('Datos Mun'!B37="AMM",$D$5*'Datos Mun'!AI37,0)</f>
        <v>0</v>
      </c>
      <c r="E39" s="51">
        <f t="shared" si="0"/>
        <v>0</v>
      </c>
      <c r="F39" s="57">
        <f t="shared" si="1"/>
        <v>0</v>
      </c>
      <c r="G39" s="40"/>
      <c r="H39" s="45" t="s">
        <v>33</v>
      </c>
      <c r="I39" s="50">
        <f>IF('Datos Mun'!B37="AMM",0,$B$5*'Datos Mun'!AC37)</f>
        <v>31147292.026523836</v>
      </c>
      <c r="J39" s="50">
        <f>IF('Datos Mun'!B37="AMM",0,$J$5*'Datos Mun'!AF37)</f>
        <v>169442969.29066253</v>
      </c>
      <c r="K39" s="50">
        <f>IF('Datos Mun'!B37="AMM",0,$K$5*'Datos Mun'!AI37)</f>
        <v>411259949.83862966</v>
      </c>
      <c r="L39" s="51">
        <f t="shared" si="2"/>
        <v>611850211.15581608</v>
      </c>
      <c r="M39" s="57">
        <f t="shared" si="3"/>
        <v>7.7884564885233792E-2</v>
      </c>
      <c r="O39" s="45" t="s">
        <v>33</v>
      </c>
      <c r="P39" s="50">
        <f>IF('Datos Mun'!D37="Zona de Crec",'Datos Mun'!AC37*'Art 14 F I'!$P$5,0)</f>
        <v>0</v>
      </c>
      <c r="Q39" s="50">
        <f>IF('Datos Mun'!D37="Zona de Crec",$Q$5*'Datos Mun'!AF37,0)</f>
        <v>0</v>
      </c>
      <c r="R39" s="50">
        <f>IF('Datos Mun'!D37="Zona de Crec",$R$5*'Datos Mun'!AI37,0)</f>
        <v>0</v>
      </c>
      <c r="S39" s="51">
        <f t="shared" si="4"/>
        <v>0</v>
      </c>
      <c r="T39" s="57">
        <f t="shared" si="5"/>
        <v>0</v>
      </c>
      <c r="U39" s="40"/>
    </row>
    <row r="40" spans="1:21">
      <c r="A40" s="45" t="s">
        <v>34</v>
      </c>
      <c r="B40" s="50">
        <f>IF('Datos Mun'!B38="AMM",$B$5*'Datos Mun'!AC38,0)</f>
        <v>0</v>
      </c>
      <c r="C40" s="50">
        <f>IF('Datos Mun'!B38="AMM",$C$5*'Datos Mun'!AF38,0)</f>
        <v>0</v>
      </c>
      <c r="D40" s="50">
        <f>IF('Datos Mun'!B38="AMM",$D$5*'Datos Mun'!AI38,0)</f>
        <v>0</v>
      </c>
      <c r="E40" s="51">
        <f t="shared" si="0"/>
        <v>0</v>
      </c>
      <c r="F40" s="57">
        <f t="shared" si="1"/>
        <v>0</v>
      </c>
      <c r="G40" s="40"/>
      <c r="H40" s="45" t="s">
        <v>34</v>
      </c>
      <c r="I40" s="50">
        <f>IF('Datos Mun'!B38="AMM",0,$B$5*'Datos Mun'!AC38)</f>
        <v>4803835.4074642928</v>
      </c>
      <c r="J40" s="50">
        <f>IF('Datos Mun'!B38="AMM",0,$J$5*'Datos Mun'!AF38)</f>
        <v>12694041.237552367</v>
      </c>
      <c r="K40" s="50">
        <f>IF('Datos Mun'!B38="AMM",0,$K$5*'Datos Mun'!AI38)</f>
        <v>69632892.48992762</v>
      </c>
      <c r="L40" s="51">
        <f t="shared" si="2"/>
        <v>87130769.134944275</v>
      </c>
      <c r="M40" s="57">
        <f t="shared" si="3"/>
        <v>1.1091181989414577E-2</v>
      </c>
      <c r="O40" s="45" t="s">
        <v>34</v>
      </c>
      <c r="P40" s="50">
        <f>IF('Datos Mun'!D38="Zona de Crec",'Datos Mun'!AC38*'Art 14 F I'!$P$5,0)</f>
        <v>0</v>
      </c>
      <c r="Q40" s="50">
        <f>IF('Datos Mun'!D38="Zona de Crec",$Q$5*'Datos Mun'!AF38,0)</f>
        <v>0</v>
      </c>
      <c r="R40" s="50">
        <f>IF('Datos Mun'!D38="Zona de Crec",$R$5*'Datos Mun'!AI38,0)</f>
        <v>0</v>
      </c>
      <c r="S40" s="51">
        <f t="shared" si="4"/>
        <v>0</v>
      </c>
      <c r="T40" s="57">
        <f t="shared" si="5"/>
        <v>0</v>
      </c>
      <c r="U40" s="40"/>
    </row>
    <row r="41" spans="1:21">
      <c r="A41" s="45" t="s">
        <v>35</v>
      </c>
      <c r="B41" s="50">
        <f>IF('Datos Mun'!B39="AMM",$B$5*'Datos Mun'!AC39,0)</f>
        <v>0</v>
      </c>
      <c r="C41" s="50">
        <f>IF('Datos Mun'!B39="AMM",$C$5*'Datos Mun'!AF39,0)</f>
        <v>0</v>
      </c>
      <c r="D41" s="50">
        <f>IF('Datos Mun'!B39="AMM",$D$5*'Datos Mun'!AI39,0)</f>
        <v>0</v>
      </c>
      <c r="E41" s="51">
        <f t="shared" si="0"/>
        <v>0</v>
      </c>
      <c r="F41" s="57">
        <f t="shared" si="1"/>
        <v>0</v>
      </c>
      <c r="G41" s="40"/>
      <c r="H41" s="45" t="s">
        <v>35</v>
      </c>
      <c r="I41" s="50">
        <f>IF('Datos Mun'!B39="AMM",0,$B$5*'Datos Mun'!AC39)</f>
        <v>1393940.1305567296</v>
      </c>
      <c r="J41" s="50">
        <f>IF('Datos Mun'!B39="AMM",0,$J$5*'Datos Mun'!AF39)</f>
        <v>6515627.5813565459</v>
      </c>
      <c r="K41" s="50">
        <f>IF('Datos Mun'!B39="AMM",0,$K$5*'Datos Mun'!AI39)</f>
        <v>2765269.1640123869</v>
      </c>
      <c r="L41" s="51">
        <f t="shared" si="2"/>
        <v>10674836.875925662</v>
      </c>
      <c r="M41" s="57">
        <f t="shared" si="3"/>
        <v>1.3588375228828513E-3</v>
      </c>
      <c r="O41" s="45" t="s">
        <v>35</v>
      </c>
      <c r="P41" s="50">
        <f>IF('Datos Mun'!D39="Zona de Crec",'Datos Mun'!AC39*'Art 14 F I'!$P$5,0)</f>
        <v>0</v>
      </c>
      <c r="Q41" s="50">
        <f>IF('Datos Mun'!D39="Zona de Crec",$Q$5*'Datos Mun'!AF39,0)</f>
        <v>0</v>
      </c>
      <c r="R41" s="50">
        <f>IF('Datos Mun'!D39="Zona de Crec",$R$5*'Datos Mun'!AI39,0)</f>
        <v>0</v>
      </c>
      <c r="S41" s="51">
        <f t="shared" si="4"/>
        <v>0</v>
      </c>
      <c r="T41" s="57">
        <f t="shared" si="5"/>
        <v>0</v>
      </c>
      <c r="U41" s="40"/>
    </row>
    <row r="42" spans="1:21">
      <c r="A42" s="45" t="s">
        <v>36</v>
      </c>
      <c r="B42" s="50">
        <f>IF('Datos Mun'!B40="AMM",$B$5*'Datos Mun'!AC40,0)</f>
        <v>0</v>
      </c>
      <c r="C42" s="50">
        <f>IF('Datos Mun'!B40="AMM",$C$5*'Datos Mun'!AF40,0)</f>
        <v>0</v>
      </c>
      <c r="D42" s="50">
        <f>IF('Datos Mun'!B40="AMM",$D$5*'Datos Mun'!AI40,0)</f>
        <v>0</v>
      </c>
      <c r="E42" s="51">
        <f t="shared" si="0"/>
        <v>0</v>
      </c>
      <c r="F42" s="57">
        <f t="shared" si="1"/>
        <v>0</v>
      </c>
      <c r="G42" s="40"/>
      <c r="H42" s="45" t="s">
        <v>36</v>
      </c>
      <c r="I42" s="50">
        <f>IF('Datos Mun'!B40="AMM",0,$B$5*'Datos Mun'!AC40)</f>
        <v>65350.195130394772</v>
      </c>
      <c r="J42" s="50">
        <f>IF('Datos Mun'!B40="AMM",0,$J$5*'Datos Mun'!AF40)</f>
        <v>32000280.700791128</v>
      </c>
      <c r="K42" s="50">
        <f>IF('Datos Mun'!B40="AMM",0,$K$5*'Datos Mun'!AI40)</f>
        <v>235406098.0779666</v>
      </c>
      <c r="L42" s="51">
        <f t="shared" si="2"/>
        <v>267471728.97388813</v>
      </c>
      <c r="M42" s="57">
        <f t="shared" si="3"/>
        <v>3.4047416917418243E-2</v>
      </c>
      <c r="O42" s="45" t="s">
        <v>36</v>
      </c>
      <c r="P42" s="50">
        <f>IF('Datos Mun'!D40="Zona de Crec",'Datos Mun'!AC40*'Art 14 F I'!$P$5,0)</f>
        <v>0</v>
      </c>
      <c r="Q42" s="50">
        <f>IF('Datos Mun'!D40="Zona de Crec",$Q$5*'Datos Mun'!AF40,0)</f>
        <v>0</v>
      </c>
      <c r="R42" s="50">
        <f>IF('Datos Mun'!D40="Zona de Crec",$R$5*'Datos Mun'!AI40,0)</f>
        <v>0</v>
      </c>
      <c r="S42" s="51">
        <f t="shared" si="4"/>
        <v>0</v>
      </c>
      <c r="T42" s="57">
        <f t="shared" si="5"/>
        <v>0</v>
      </c>
      <c r="U42" s="40"/>
    </row>
    <row r="43" spans="1:21">
      <c r="A43" s="45" t="s">
        <v>37</v>
      </c>
      <c r="B43" s="50">
        <f>IF('Datos Mun'!B41="AMM",$B$5*'Datos Mun'!AC41,0)</f>
        <v>0</v>
      </c>
      <c r="C43" s="50">
        <f>IF('Datos Mun'!B41="AMM",$C$5*'Datos Mun'!AF41,0)</f>
        <v>0</v>
      </c>
      <c r="D43" s="50">
        <f>IF('Datos Mun'!B41="AMM",$D$5*'Datos Mun'!AI41,0)</f>
        <v>0</v>
      </c>
      <c r="E43" s="51">
        <f t="shared" si="0"/>
        <v>0</v>
      </c>
      <c r="F43" s="57">
        <f t="shared" si="1"/>
        <v>0</v>
      </c>
      <c r="G43" s="40"/>
      <c r="H43" s="45" t="s">
        <v>37</v>
      </c>
      <c r="I43" s="50">
        <f>IF('Datos Mun'!B41="AMM",0,$B$5*'Datos Mun'!AC41)</f>
        <v>3109862.7100451938</v>
      </c>
      <c r="J43" s="50">
        <f>IF('Datos Mun'!B41="AMM",0,$J$5*'Datos Mun'!AF41)</f>
        <v>91751605.458724648</v>
      </c>
      <c r="K43" s="50">
        <f>IF('Datos Mun'!B41="AMM",0,$K$5*'Datos Mun'!AI41)</f>
        <v>71374112.631128103</v>
      </c>
      <c r="L43" s="51">
        <f t="shared" si="2"/>
        <v>166235580.79989794</v>
      </c>
      <c r="M43" s="57">
        <f t="shared" si="3"/>
        <v>2.1160711630034884E-2</v>
      </c>
      <c r="O43" s="45" t="s">
        <v>37</v>
      </c>
      <c r="P43" s="50">
        <f>IF('Datos Mun'!D41="Zona de Crec",'Datos Mun'!AC41*'Art 14 F I'!$P$5,0)</f>
        <v>0</v>
      </c>
      <c r="Q43" s="50">
        <f>IF('Datos Mun'!D41="Zona de Crec",$Q$5*'Datos Mun'!AF41,0)</f>
        <v>0</v>
      </c>
      <c r="R43" s="50">
        <f>IF('Datos Mun'!D41="Zona de Crec",$R$5*'Datos Mun'!AI41,0)</f>
        <v>0</v>
      </c>
      <c r="S43" s="51">
        <f t="shared" si="4"/>
        <v>0</v>
      </c>
      <c r="T43" s="57">
        <f t="shared" si="5"/>
        <v>0</v>
      </c>
      <c r="U43" s="40"/>
    </row>
    <row r="44" spans="1:21">
      <c r="A44" s="45" t="s">
        <v>38</v>
      </c>
      <c r="B44" s="50">
        <f>IF('Datos Mun'!B42="AMM",$B$5*'Datos Mun'!AC42,0)</f>
        <v>0</v>
      </c>
      <c r="C44" s="50">
        <f>IF('Datos Mun'!B42="AMM",$C$5*'Datos Mun'!AF42,0)</f>
        <v>0</v>
      </c>
      <c r="D44" s="50">
        <f>IF('Datos Mun'!B42="AMM",$D$5*'Datos Mun'!AI42,0)</f>
        <v>0</v>
      </c>
      <c r="E44" s="51">
        <f t="shared" si="0"/>
        <v>0</v>
      </c>
      <c r="F44" s="57">
        <f t="shared" si="1"/>
        <v>0</v>
      </c>
      <c r="G44" s="40"/>
      <c r="H44" s="45" t="s">
        <v>38</v>
      </c>
      <c r="I44" s="50">
        <f>IF('Datos Mun'!B42="AMM",0,$B$5*'Datos Mun'!AC42)</f>
        <v>58715324.305313937</v>
      </c>
      <c r="J44" s="50">
        <f>IF('Datos Mun'!B42="AMM",0,$J$5*'Datos Mun'!AF42)</f>
        <v>132145882.24330832</v>
      </c>
      <c r="K44" s="50">
        <f>IF('Datos Mun'!B42="AMM",0,$K$5*'Datos Mun'!AI42)</f>
        <v>256117330.25647822</v>
      </c>
      <c r="L44" s="51">
        <f t="shared" si="2"/>
        <v>446978536.80510044</v>
      </c>
      <c r="M44" s="57">
        <f t="shared" si="3"/>
        <v>5.6897469703149559E-2</v>
      </c>
      <c r="O44" s="45" t="s">
        <v>38</v>
      </c>
      <c r="P44" s="50">
        <f>IF('Datos Mun'!D42="Zona de Crec",'Datos Mun'!AC42*'Art 14 F I'!$P$5,0)</f>
        <v>0</v>
      </c>
      <c r="Q44" s="50">
        <f>IF('Datos Mun'!D42="Zona de Crec",$Q$5*'Datos Mun'!AF42,0)</f>
        <v>0</v>
      </c>
      <c r="R44" s="50">
        <f>IF('Datos Mun'!D42="Zona de Crec",$R$5*'Datos Mun'!AI42,0)</f>
        <v>0</v>
      </c>
      <c r="S44" s="51">
        <f t="shared" si="4"/>
        <v>0</v>
      </c>
      <c r="T44" s="57">
        <f t="shared" si="5"/>
        <v>0</v>
      </c>
      <c r="U44" s="40"/>
    </row>
    <row r="45" spans="1:21">
      <c r="A45" s="45" t="s">
        <v>39</v>
      </c>
      <c r="B45" s="50">
        <f>IF('Datos Mun'!B43="AMM",$B$5*'Datos Mun'!AC43,0)</f>
        <v>6954756010.0653915</v>
      </c>
      <c r="C45" s="50">
        <f>IF('Datos Mun'!B43="AMM",$C$5*'Datos Mun'!AF43,0)</f>
        <v>1561502409.2975554</v>
      </c>
      <c r="D45" s="50">
        <f>IF('Datos Mun'!B43="AMM",$D$5*'Datos Mun'!AI43,0)</f>
        <v>1202514551.5281024</v>
      </c>
      <c r="E45" s="51">
        <f t="shared" si="0"/>
        <v>9718772970.8910503</v>
      </c>
      <c r="F45" s="57">
        <f t="shared" si="1"/>
        <v>0.33323607197378868</v>
      </c>
      <c r="G45" s="40"/>
      <c r="H45" s="45" t="s">
        <v>39</v>
      </c>
      <c r="I45" s="50">
        <f>IF('Datos Mun'!B43="AMM",0,$B$5*'Datos Mun'!AC43)</f>
        <v>0</v>
      </c>
      <c r="J45" s="50">
        <f>IF('Datos Mun'!B43="AMM",0,$J$5*'Datos Mun'!AF43)</f>
        <v>0</v>
      </c>
      <c r="K45" s="50">
        <f>IF('Datos Mun'!B43="AMM",0,$K$5*'Datos Mun'!AI43)</f>
        <v>0</v>
      </c>
      <c r="L45" s="51">
        <f t="shared" si="2"/>
        <v>0</v>
      </c>
      <c r="M45" s="57">
        <f t="shared" si="3"/>
        <v>0</v>
      </c>
      <c r="O45" s="45" t="s">
        <v>39</v>
      </c>
      <c r="P45" s="50">
        <f>IF('Datos Mun'!D43="Zona de Crec",'Datos Mun'!AC43*'Art 14 F I'!$P$5,0)</f>
        <v>0</v>
      </c>
      <c r="Q45" s="50">
        <f>IF('Datos Mun'!D43="Zona de Crec",$Q$5*'Datos Mun'!AF43,0)</f>
        <v>0</v>
      </c>
      <c r="R45" s="50">
        <f>IF('Datos Mun'!D43="Zona de Crec",$R$5*'Datos Mun'!AI43,0)</f>
        <v>0</v>
      </c>
      <c r="S45" s="51">
        <f t="shared" si="4"/>
        <v>0</v>
      </c>
      <c r="T45" s="57">
        <f t="shared" si="5"/>
        <v>0</v>
      </c>
      <c r="U45" s="40"/>
    </row>
    <row r="46" spans="1:21">
      <c r="A46" s="45" t="s">
        <v>40</v>
      </c>
      <c r="B46" s="50">
        <f>IF('Datos Mun'!B44="AMM",$B$5*'Datos Mun'!AC44,0)</f>
        <v>0</v>
      </c>
      <c r="C46" s="50">
        <f>IF('Datos Mun'!B44="AMM",$C$5*'Datos Mun'!AF44,0)</f>
        <v>0</v>
      </c>
      <c r="D46" s="50">
        <f>IF('Datos Mun'!B44="AMM",$D$5*'Datos Mun'!AI44,0)</f>
        <v>0</v>
      </c>
      <c r="E46" s="51">
        <f t="shared" si="0"/>
        <v>0</v>
      </c>
      <c r="F46" s="57">
        <f t="shared" si="1"/>
        <v>0</v>
      </c>
      <c r="G46" s="40"/>
      <c r="H46" s="45" t="s">
        <v>40</v>
      </c>
      <c r="I46" s="50">
        <f>IF('Datos Mun'!B44="AMM",0,$B$5*'Datos Mun'!AC44)</f>
        <v>1749278.4888667373</v>
      </c>
      <c r="J46" s="50">
        <f>IF('Datos Mun'!B44="AMM",0,$J$5*'Datos Mun'!AF44)</f>
        <v>26575682.843424015</v>
      </c>
      <c r="K46" s="50">
        <f>IF('Datos Mun'!B44="AMM",0,$K$5*'Datos Mun'!AI44)</f>
        <v>72594381.842351347</v>
      </c>
      <c r="L46" s="51">
        <f t="shared" si="2"/>
        <v>100919343.1746421</v>
      </c>
      <c r="M46" s="57">
        <f t="shared" si="3"/>
        <v>1.2846378065004731E-2</v>
      </c>
      <c r="O46" s="45" t="s">
        <v>40</v>
      </c>
      <c r="P46" s="50">
        <f>IF('Datos Mun'!D44="Zona de Crec",'Datos Mun'!AC44*'Art 14 F I'!$P$5,0)</f>
        <v>0</v>
      </c>
      <c r="Q46" s="50">
        <f>IF('Datos Mun'!D44="Zona de Crec",$Q$5*'Datos Mun'!AF44,0)</f>
        <v>0</v>
      </c>
      <c r="R46" s="50">
        <f>IF('Datos Mun'!D44="Zona de Crec",$R$5*'Datos Mun'!AI44,0)</f>
        <v>0</v>
      </c>
      <c r="S46" s="51">
        <f t="shared" si="4"/>
        <v>0</v>
      </c>
      <c r="T46" s="57">
        <f t="shared" si="5"/>
        <v>0</v>
      </c>
      <c r="U46" s="40"/>
    </row>
    <row r="47" spans="1:21">
      <c r="A47" s="45" t="s">
        <v>41</v>
      </c>
      <c r="B47" s="50">
        <f>IF('Datos Mun'!B45="AMM",$B$5*'Datos Mun'!AC45,0)</f>
        <v>0</v>
      </c>
      <c r="C47" s="50">
        <f>IF('Datos Mun'!B45="AMM",$C$5*'Datos Mun'!AF45,0)</f>
        <v>0</v>
      </c>
      <c r="D47" s="50">
        <f>IF('Datos Mun'!B45="AMM",$D$5*'Datos Mun'!AI45,0)</f>
        <v>0</v>
      </c>
      <c r="E47" s="51">
        <f t="shared" si="0"/>
        <v>0</v>
      </c>
      <c r="F47" s="57">
        <f t="shared" si="1"/>
        <v>0</v>
      </c>
      <c r="G47" s="40"/>
      <c r="H47" s="45" t="s">
        <v>41</v>
      </c>
      <c r="I47" s="50">
        <f>IF('Datos Mun'!B45="AMM",0,$B$5*'Datos Mun'!AC45)</f>
        <v>42383293.524796881</v>
      </c>
      <c r="J47" s="50">
        <f>IF('Datos Mun'!B45="AMM",0,$J$5*'Datos Mun'!AF45)</f>
        <v>207755094.30468023</v>
      </c>
      <c r="K47" s="50">
        <f>IF('Datos Mun'!B45="AMM",0,$K$5*'Datos Mun'!AI45)</f>
        <v>105815064.86545244</v>
      </c>
      <c r="L47" s="51">
        <f t="shared" si="2"/>
        <v>355953452.69492954</v>
      </c>
      <c r="M47" s="57">
        <f t="shared" si="3"/>
        <v>4.531056666658749E-2</v>
      </c>
      <c r="O47" s="45" t="s">
        <v>41</v>
      </c>
      <c r="P47" s="50">
        <f>IF('Datos Mun'!D45="Zona de Crec",'Datos Mun'!AC45*'Art 14 F I'!$P$5,0)</f>
        <v>42383293.524796881</v>
      </c>
      <c r="Q47" s="50">
        <f>IF('Datos Mun'!D45="Zona de Crec",$Q$5*'Datos Mun'!AF45,0)</f>
        <v>207755094.30468023</v>
      </c>
      <c r="R47" s="50">
        <f>IF('Datos Mun'!D45="Zona de Crec",$R$5*'Datos Mun'!AI45,0)</f>
        <v>105815064.86545244</v>
      </c>
      <c r="S47" s="51">
        <f t="shared" si="4"/>
        <v>355953452.69492954</v>
      </c>
      <c r="T47" s="57">
        <f t="shared" si="5"/>
        <v>3.3452005011276702E-2</v>
      </c>
      <c r="U47" s="40"/>
    </row>
    <row r="48" spans="1:21">
      <c r="A48" s="45" t="s">
        <v>42</v>
      </c>
      <c r="B48" s="50">
        <f>IF('Datos Mun'!B46="AMM",$B$5*'Datos Mun'!AC46,0)</f>
        <v>0</v>
      </c>
      <c r="C48" s="50">
        <f>IF('Datos Mun'!B46="AMM",$C$5*'Datos Mun'!AF46,0)</f>
        <v>0</v>
      </c>
      <c r="D48" s="50">
        <f>IF('Datos Mun'!B46="AMM",$D$5*'Datos Mun'!AI46,0)</f>
        <v>0</v>
      </c>
      <c r="E48" s="51">
        <f t="shared" si="0"/>
        <v>0</v>
      </c>
      <c r="F48" s="57">
        <f t="shared" si="1"/>
        <v>0</v>
      </c>
      <c r="G48" s="40"/>
      <c r="H48" s="45" t="s">
        <v>42</v>
      </c>
      <c r="I48" s="50">
        <f>IF('Datos Mun'!B46="AMM",0,$B$5*'Datos Mun'!AC46)</f>
        <v>1894392.787381924</v>
      </c>
      <c r="J48" s="50">
        <f>IF('Datos Mun'!B46="AMM",0,$J$5*'Datos Mun'!AF46)</f>
        <v>36346895.822305143</v>
      </c>
      <c r="K48" s="50">
        <f>IF('Datos Mun'!B46="AMM",0,$K$5*'Datos Mun'!AI46)</f>
        <v>60034249.776921138</v>
      </c>
      <c r="L48" s="51">
        <f t="shared" si="2"/>
        <v>98275538.386608213</v>
      </c>
      <c r="M48" s="57">
        <f t="shared" si="3"/>
        <v>1.2509838856873153E-2</v>
      </c>
      <c r="O48" s="45" t="s">
        <v>42</v>
      </c>
      <c r="P48" s="50">
        <f>IF('Datos Mun'!D46="Zona de Crec",'Datos Mun'!AC46*'Art 14 F I'!$P$5,0)</f>
        <v>0</v>
      </c>
      <c r="Q48" s="50">
        <f>IF('Datos Mun'!D46="Zona de Crec",$Q$5*'Datos Mun'!AF46,0)</f>
        <v>0</v>
      </c>
      <c r="R48" s="50">
        <f>IF('Datos Mun'!D46="Zona de Crec",$R$5*'Datos Mun'!AI46,0)</f>
        <v>0</v>
      </c>
      <c r="S48" s="51">
        <f t="shared" si="4"/>
        <v>0</v>
      </c>
      <c r="T48" s="57">
        <f t="shared" si="5"/>
        <v>0</v>
      </c>
      <c r="U48" s="40"/>
    </row>
    <row r="49" spans="1:21">
      <c r="A49" s="45" t="s">
        <v>43</v>
      </c>
      <c r="B49" s="50">
        <f>IF('Datos Mun'!B47="AMM",$B$5*'Datos Mun'!AC47,0)</f>
        <v>0</v>
      </c>
      <c r="C49" s="50">
        <f>IF('Datos Mun'!B47="AMM",$C$5*'Datos Mun'!AF47,0)</f>
        <v>0</v>
      </c>
      <c r="D49" s="50">
        <f>IF('Datos Mun'!B47="AMM",$D$5*'Datos Mun'!AI47,0)</f>
        <v>0</v>
      </c>
      <c r="E49" s="51">
        <f t="shared" si="0"/>
        <v>0</v>
      </c>
      <c r="F49" s="57">
        <f t="shared" si="1"/>
        <v>0</v>
      </c>
      <c r="G49" s="40"/>
      <c r="H49" s="45" t="s">
        <v>43</v>
      </c>
      <c r="I49" s="50">
        <f>IF('Datos Mun'!B47="AMM",0,$B$5*'Datos Mun'!AC47)</f>
        <v>611930.45257007144</v>
      </c>
      <c r="J49" s="50">
        <f>IF('Datos Mun'!B47="AMM",0,$J$5*'Datos Mun'!AF47)</f>
        <v>18014295.394604608</v>
      </c>
      <c r="K49" s="50">
        <f>IF('Datos Mun'!B47="AMM",0,$K$5*'Datos Mun'!AI47)</f>
        <v>42969551.569277741</v>
      </c>
      <c r="L49" s="51">
        <f t="shared" si="2"/>
        <v>61595777.416452423</v>
      </c>
      <c r="M49" s="57">
        <f t="shared" si="3"/>
        <v>7.8407431024427529E-3</v>
      </c>
      <c r="O49" s="45" t="s">
        <v>43</v>
      </c>
      <c r="P49" s="50">
        <f>IF('Datos Mun'!D47="Zona de Crec",'Datos Mun'!AC47*'Art 14 F I'!$P$5,0)</f>
        <v>0</v>
      </c>
      <c r="Q49" s="50">
        <f>IF('Datos Mun'!D47="Zona de Crec",$Q$5*'Datos Mun'!AF47,0)</f>
        <v>0</v>
      </c>
      <c r="R49" s="50">
        <f>IF('Datos Mun'!D47="Zona de Crec",$R$5*'Datos Mun'!AI47,0)</f>
        <v>0</v>
      </c>
      <c r="S49" s="51">
        <f t="shared" si="4"/>
        <v>0</v>
      </c>
      <c r="T49" s="57">
        <f t="shared" si="5"/>
        <v>0</v>
      </c>
      <c r="U49" s="40"/>
    </row>
    <row r="50" spans="1:21">
      <c r="A50" s="45" t="s">
        <v>44</v>
      </c>
      <c r="B50" s="50">
        <f>IF('Datos Mun'!B48="AMM",$B$5*'Datos Mun'!AC48,0)</f>
        <v>0</v>
      </c>
      <c r="C50" s="50">
        <f>IF('Datos Mun'!B48="AMM",$C$5*'Datos Mun'!AF48,0)</f>
        <v>0</v>
      </c>
      <c r="D50" s="50">
        <f>IF('Datos Mun'!B48="AMM",$D$5*'Datos Mun'!AI48,0)</f>
        <v>0</v>
      </c>
      <c r="E50" s="51">
        <f t="shared" si="0"/>
        <v>0</v>
      </c>
      <c r="F50" s="57">
        <f t="shared" si="1"/>
        <v>0</v>
      </c>
      <c r="G50" s="40"/>
      <c r="H50" s="45" t="s">
        <v>44</v>
      </c>
      <c r="I50" s="50">
        <f>IF('Datos Mun'!B48="AMM",0,$B$5*'Datos Mun'!AC48)</f>
        <v>37828229.527361475</v>
      </c>
      <c r="J50" s="50">
        <f>IF('Datos Mun'!B48="AMM",0,$J$5*'Datos Mun'!AF48)</f>
        <v>80560980.803144887</v>
      </c>
      <c r="K50" s="50">
        <f>IF('Datos Mun'!B48="AMM",0,$K$5*'Datos Mun'!AI48)</f>
        <v>111488249.92907076</v>
      </c>
      <c r="L50" s="51">
        <f t="shared" si="2"/>
        <v>229877460.2595771</v>
      </c>
      <c r="M50" s="57">
        <f t="shared" si="3"/>
        <v>2.9261910256463585E-2</v>
      </c>
      <c r="O50" s="45" t="s">
        <v>44</v>
      </c>
      <c r="P50" s="50">
        <f>IF('Datos Mun'!D48="Zona de Crec",'Datos Mun'!AC48*'Art 14 F I'!$P$5,0)</f>
        <v>0</v>
      </c>
      <c r="Q50" s="50">
        <f>IF('Datos Mun'!D48="Zona de Crec",$Q$5*'Datos Mun'!AF48,0)</f>
        <v>0</v>
      </c>
      <c r="R50" s="50">
        <f>IF('Datos Mun'!D48="Zona de Crec",$R$5*'Datos Mun'!AI48,0)</f>
        <v>0</v>
      </c>
      <c r="S50" s="51">
        <f t="shared" si="4"/>
        <v>0</v>
      </c>
      <c r="T50" s="57">
        <f t="shared" si="5"/>
        <v>0</v>
      </c>
      <c r="U50" s="40"/>
    </row>
    <row r="51" spans="1:21">
      <c r="A51" s="45" t="s">
        <v>45</v>
      </c>
      <c r="B51" s="50">
        <f>IF('Datos Mun'!B49="AMM",$B$5*'Datos Mun'!AC49,0)</f>
        <v>35341988.48327639</v>
      </c>
      <c r="C51" s="50">
        <f>IF('Datos Mun'!B49="AMM",$C$5*'Datos Mun'!AF49,0)</f>
        <v>154083338.48464534</v>
      </c>
      <c r="D51" s="50">
        <f>IF('Datos Mun'!B49="AMM",$D$5*'Datos Mun'!AI49,0)</f>
        <v>170485849.37560406</v>
      </c>
      <c r="E51" s="51">
        <f t="shared" si="0"/>
        <v>359911176.34352577</v>
      </c>
      <c r="F51" s="57">
        <f t="shared" si="1"/>
        <v>1.2340589395739945E-2</v>
      </c>
      <c r="G51" s="40"/>
      <c r="H51" s="45" t="s">
        <v>45</v>
      </c>
      <c r="I51" s="50">
        <f>IF('Datos Mun'!B49="AMM",0,$B$5*'Datos Mun'!AC49)</f>
        <v>0</v>
      </c>
      <c r="J51" s="50">
        <f>IF('Datos Mun'!B49="AMM",0,$J$5*'Datos Mun'!AF49)</f>
        <v>0</v>
      </c>
      <c r="K51" s="50">
        <f>IF('Datos Mun'!B49="AMM",0,$K$5*'Datos Mun'!AI49)</f>
        <v>0</v>
      </c>
      <c r="L51" s="51">
        <f t="shared" si="2"/>
        <v>0</v>
      </c>
      <c r="M51" s="57">
        <f t="shared" si="3"/>
        <v>0</v>
      </c>
      <c r="O51" s="45" t="s">
        <v>45</v>
      </c>
      <c r="P51" s="50">
        <f>IF('Datos Mun'!D49="Zona de Crec",'Datos Mun'!AC49*'Art 14 F I'!$P$5,0)</f>
        <v>35341988.48327639</v>
      </c>
      <c r="Q51" s="50">
        <f>IF('Datos Mun'!D49="Zona de Crec",$Q$5*'Datos Mun'!AF49,0)</f>
        <v>154083338.48464534</v>
      </c>
      <c r="R51" s="50">
        <f>IF('Datos Mun'!D49="Zona de Crec",$R$5*'Datos Mun'!AI49,0)</f>
        <v>170485849.37560406</v>
      </c>
      <c r="S51" s="51">
        <f t="shared" si="4"/>
        <v>359911176.34352577</v>
      </c>
      <c r="T51" s="57">
        <f t="shared" si="5"/>
        <v>3.3823946315185212E-2</v>
      </c>
      <c r="U51" s="40"/>
    </row>
    <row r="52" spans="1:21">
      <c r="A52" s="45" t="s">
        <v>46</v>
      </c>
      <c r="B52" s="50">
        <f>IF('Datos Mun'!B50="AMM",$B$5*'Datos Mun'!AC50,0)</f>
        <v>1702258714.6507628</v>
      </c>
      <c r="C52" s="50">
        <f>IF('Datos Mun'!B50="AMM",$C$5*'Datos Mun'!AF50,0)</f>
        <v>561895070.74626958</v>
      </c>
      <c r="D52" s="50">
        <f>IF('Datos Mun'!B50="AMM",$D$5*'Datos Mun'!AI50,0)</f>
        <v>282043773.6575222</v>
      </c>
      <c r="E52" s="51">
        <f t="shared" si="0"/>
        <v>2546197559.0545545</v>
      </c>
      <c r="F52" s="57">
        <f t="shared" si="1"/>
        <v>8.7303703419136111E-2</v>
      </c>
      <c r="G52" s="40"/>
      <c r="H52" s="45" t="s">
        <v>46</v>
      </c>
      <c r="I52" s="50">
        <f>IF('Datos Mun'!B50="AMM",0,$B$5*'Datos Mun'!AC50)</f>
        <v>0</v>
      </c>
      <c r="J52" s="50">
        <f>IF('Datos Mun'!B50="AMM",0,$J$5*'Datos Mun'!AF50)</f>
        <v>0</v>
      </c>
      <c r="K52" s="50">
        <f>IF('Datos Mun'!B50="AMM",0,$K$5*'Datos Mun'!AI50)</f>
        <v>0</v>
      </c>
      <c r="L52" s="51">
        <f t="shared" si="2"/>
        <v>0</v>
      </c>
      <c r="M52" s="57">
        <f t="shared" si="3"/>
        <v>0</v>
      </c>
      <c r="O52" s="45" t="s">
        <v>46</v>
      </c>
      <c r="P52" s="50">
        <f>IF('Datos Mun'!D50="Zona de Crec",'Datos Mun'!AC50*'Art 14 F I'!$P$5,0)</f>
        <v>0</v>
      </c>
      <c r="Q52" s="50">
        <f>IF('Datos Mun'!D50="Zona de Crec",$Q$5*'Datos Mun'!AF50,0)</f>
        <v>0</v>
      </c>
      <c r="R52" s="50">
        <f>IF('Datos Mun'!D50="Zona de Crec",$R$5*'Datos Mun'!AI50,0)</f>
        <v>0</v>
      </c>
      <c r="S52" s="51">
        <f t="shared" si="4"/>
        <v>0</v>
      </c>
      <c r="T52" s="57">
        <f t="shared" si="5"/>
        <v>0</v>
      </c>
      <c r="U52" s="40"/>
    </row>
    <row r="53" spans="1:21">
      <c r="A53" s="45" t="s">
        <v>47</v>
      </c>
      <c r="B53" s="50">
        <f>IF('Datos Mun'!B51="AMM",$B$5*'Datos Mun'!AC51,0)</f>
        <v>4677791884.2446127</v>
      </c>
      <c r="C53" s="50">
        <f>IF('Datos Mun'!B51="AMM",$C$5*'Datos Mun'!AF51,0)</f>
        <v>181283136.68437713</v>
      </c>
      <c r="D53" s="50">
        <f>IF('Datos Mun'!B51="AMM",$D$5*'Datos Mun'!AI51,0)</f>
        <v>92809345.783755183</v>
      </c>
      <c r="E53" s="51">
        <f t="shared" si="0"/>
        <v>4951884366.7127447</v>
      </c>
      <c r="F53" s="57">
        <f t="shared" si="1"/>
        <v>0.16978959176988329</v>
      </c>
      <c r="G53" s="40"/>
      <c r="H53" s="45" t="s">
        <v>47</v>
      </c>
      <c r="I53" s="50">
        <f>IF('Datos Mun'!B51="AMM",0,$B$5*'Datos Mun'!AC51)</f>
        <v>0</v>
      </c>
      <c r="J53" s="50">
        <f>IF('Datos Mun'!B51="AMM",0,$J$5*'Datos Mun'!AF51)</f>
        <v>0</v>
      </c>
      <c r="K53" s="50">
        <f>IF('Datos Mun'!B51="AMM",0,$K$5*'Datos Mun'!AI51)</f>
        <v>0</v>
      </c>
      <c r="L53" s="51">
        <f t="shared" si="2"/>
        <v>0</v>
      </c>
      <c r="M53" s="57">
        <f t="shared" si="3"/>
        <v>0</v>
      </c>
      <c r="O53" s="45" t="s">
        <v>47</v>
      </c>
      <c r="P53" s="50">
        <f>IF('Datos Mun'!D51="Zona de Crec",'Datos Mun'!AC51*'Art 14 F I'!$P$5,0)</f>
        <v>0</v>
      </c>
      <c r="Q53" s="50">
        <f>IF('Datos Mun'!D51="Zona de Crec",$Q$5*'Datos Mun'!AF51,0)</f>
        <v>0</v>
      </c>
      <c r="R53" s="50">
        <f>IF('Datos Mun'!D51="Zona de Crec",$R$5*'Datos Mun'!AI51,0)</f>
        <v>0</v>
      </c>
      <c r="S53" s="51">
        <f t="shared" si="4"/>
        <v>0</v>
      </c>
      <c r="T53" s="57">
        <f t="shared" si="5"/>
        <v>0</v>
      </c>
      <c r="U53" s="40"/>
    </row>
    <row r="54" spans="1:21">
      <c r="A54" s="45" t="s">
        <v>48</v>
      </c>
      <c r="B54" s="50">
        <f>IF('Datos Mun'!B52="AMM",$B$5*'Datos Mun'!AC52,0)</f>
        <v>532031231.84353942</v>
      </c>
      <c r="C54" s="50">
        <f>IF('Datos Mun'!B52="AMM",$C$5*'Datos Mun'!AF52,0)</f>
        <v>436417772.96514851</v>
      </c>
      <c r="D54" s="50">
        <f>IF('Datos Mun'!B52="AMM",$D$5*'Datos Mun'!AI52,0)</f>
        <v>332554339.63300806</v>
      </c>
      <c r="E54" s="51">
        <f t="shared" si="0"/>
        <v>1301003344.4416959</v>
      </c>
      <c r="F54" s="57">
        <f t="shared" si="1"/>
        <v>4.4608639940970266E-2</v>
      </c>
      <c r="G54" s="40"/>
      <c r="H54" s="45" t="s">
        <v>48</v>
      </c>
      <c r="I54" s="50">
        <f>IF('Datos Mun'!B52="AMM",0,$B$5*'Datos Mun'!AC52)</f>
        <v>0</v>
      </c>
      <c r="J54" s="50">
        <f>IF('Datos Mun'!B52="AMM",0,$J$5*'Datos Mun'!AF52)</f>
        <v>0</v>
      </c>
      <c r="K54" s="50">
        <f>IF('Datos Mun'!B52="AMM",0,$K$5*'Datos Mun'!AI52)</f>
        <v>0</v>
      </c>
      <c r="L54" s="51">
        <f t="shared" si="2"/>
        <v>0</v>
      </c>
      <c r="M54" s="57">
        <f t="shared" si="3"/>
        <v>0</v>
      </c>
      <c r="O54" s="45" t="s">
        <v>48</v>
      </c>
      <c r="P54" s="50">
        <f>IF('Datos Mun'!D52="Zona de Crec",'Datos Mun'!AC52*'Art 14 F I'!$P$5,0)</f>
        <v>532031231.84353942</v>
      </c>
      <c r="Q54" s="50">
        <f>IF('Datos Mun'!D52="Zona de Crec",$Q$5*'Datos Mun'!AF52,0)</f>
        <v>436417772.96514851</v>
      </c>
      <c r="R54" s="50">
        <f>IF('Datos Mun'!D52="Zona de Crec",$R$5*'Datos Mun'!AI52,0)</f>
        <v>332554339.63300806</v>
      </c>
      <c r="S54" s="51">
        <f t="shared" si="4"/>
        <v>1301003344.4416959</v>
      </c>
      <c r="T54" s="57">
        <f t="shared" si="5"/>
        <v>0.12226646509101639</v>
      </c>
      <c r="U54" s="40"/>
    </row>
    <row r="55" spans="1:21">
      <c r="A55" s="45" t="s">
        <v>49</v>
      </c>
      <c r="B55" s="50">
        <f>IF('Datos Mun'!B53="AMM",$B$5*'Datos Mun'!AC53,0)</f>
        <v>482441077.6892193</v>
      </c>
      <c r="C55" s="50">
        <f>IF('Datos Mun'!B53="AMM",$C$5*'Datos Mun'!AF53,0)</f>
        <v>79622182.84164682</v>
      </c>
      <c r="D55" s="50">
        <f>IF('Datos Mun'!B53="AMM",$D$5*'Datos Mun'!AI53,0)</f>
        <v>115235218.8100438</v>
      </c>
      <c r="E55" s="51">
        <f t="shared" si="0"/>
        <v>677298479.34090996</v>
      </c>
      <c r="F55" s="57">
        <f t="shared" si="1"/>
        <v>2.3223125541195981E-2</v>
      </c>
      <c r="G55" s="40"/>
      <c r="H55" s="45" t="s">
        <v>49</v>
      </c>
      <c r="I55" s="50">
        <f>IF('Datos Mun'!B53="AMM",0,$B$5*'Datos Mun'!AC53)</f>
        <v>0</v>
      </c>
      <c r="J55" s="50">
        <f>IF('Datos Mun'!B53="AMM",0,$J$5*'Datos Mun'!AF53)</f>
        <v>0</v>
      </c>
      <c r="K55" s="50">
        <f>IF('Datos Mun'!B53="AMM",0,$K$5*'Datos Mun'!AI53)</f>
        <v>0</v>
      </c>
      <c r="L55" s="51">
        <f t="shared" si="2"/>
        <v>0</v>
      </c>
      <c r="M55" s="57">
        <f t="shared" si="3"/>
        <v>0</v>
      </c>
      <c r="O55" s="45" t="s">
        <v>49</v>
      </c>
      <c r="P55" s="50">
        <f>IF('Datos Mun'!D53="Zona de Crec",'Datos Mun'!AC53*'Art 14 F I'!$P$5,0)</f>
        <v>482441077.6892193</v>
      </c>
      <c r="Q55" s="50">
        <f>IF('Datos Mun'!D53="Zona de Crec",$Q$5*'Datos Mun'!AF53,0)</f>
        <v>79622182.84164682</v>
      </c>
      <c r="R55" s="50">
        <f>IF('Datos Mun'!D53="Zona de Crec",$R$5*'Datos Mun'!AI53,0)</f>
        <v>115235218.8100438</v>
      </c>
      <c r="S55" s="51">
        <f t="shared" si="4"/>
        <v>677298479.34090996</v>
      </c>
      <c r="T55" s="57">
        <f t="shared" si="5"/>
        <v>6.3651558802157254E-2</v>
      </c>
      <c r="U55" s="40"/>
    </row>
    <row r="56" spans="1:21">
      <c r="A56" s="45" t="s">
        <v>50</v>
      </c>
      <c r="B56" s="50">
        <f>IF('Datos Mun'!B54="AMM",$B$5*'Datos Mun'!AC54,0)</f>
        <v>0</v>
      </c>
      <c r="C56" s="50">
        <f>IF('Datos Mun'!B54="AMM",$C$5*'Datos Mun'!AF54,0)</f>
        <v>0</v>
      </c>
      <c r="D56" s="50">
        <f>IF('Datos Mun'!B54="AMM",$D$5*'Datos Mun'!AI54,0)</f>
        <v>0</v>
      </c>
      <c r="E56" s="51">
        <f t="shared" si="0"/>
        <v>0</v>
      </c>
      <c r="F56" s="57">
        <f t="shared" si="1"/>
        <v>0</v>
      </c>
      <c r="G56" s="40"/>
      <c r="H56" s="45" t="s">
        <v>50</v>
      </c>
      <c r="I56" s="50">
        <f>IF('Datos Mun'!B54="AMM",0,$B$5*'Datos Mun'!AC54)</f>
        <v>5452932.9825641075</v>
      </c>
      <c r="J56" s="50">
        <f>IF('Datos Mun'!B54="AMM",0,$J$5*'Datos Mun'!AF54)</f>
        <v>40301281.434510961</v>
      </c>
      <c r="K56" s="50">
        <f>IF('Datos Mun'!B54="AMM",0,$K$5*'Datos Mun'!AI54)</f>
        <v>97838546.86307025</v>
      </c>
      <c r="L56" s="51">
        <f t="shared" si="2"/>
        <v>143592761.28014532</v>
      </c>
      <c r="M56" s="57">
        <f t="shared" si="3"/>
        <v>1.8278427512261317E-2</v>
      </c>
      <c r="O56" s="45" t="s">
        <v>50</v>
      </c>
      <c r="P56" s="50">
        <f>IF('Datos Mun'!D54="Zona de Crec",'Datos Mun'!AC54*'Art 14 F I'!$P$5,0)</f>
        <v>0</v>
      </c>
      <c r="Q56" s="50">
        <f>IF('Datos Mun'!D54="Zona de Crec",$Q$5*'Datos Mun'!AF54,0)</f>
        <v>0</v>
      </c>
      <c r="R56" s="50">
        <f>IF('Datos Mun'!D54="Zona de Crec",$R$5*'Datos Mun'!AI54,0)</f>
        <v>0</v>
      </c>
      <c r="S56" s="51">
        <f t="shared" si="4"/>
        <v>0</v>
      </c>
      <c r="T56" s="57">
        <f t="shared" si="5"/>
        <v>0</v>
      </c>
      <c r="U56" s="40"/>
    </row>
    <row r="57" spans="1:21">
      <c r="A57" s="45" t="s">
        <v>51</v>
      </c>
      <c r="B57" s="50">
        <f>IF('Datos Mun'!B55="AMM",$B$5*'Datos Mun'!AC55,0)</f>
        <v>0</v>
      </c>
      <c r="C57" s="50">
        <f>IF('Datos Mun'!B55="AMM",$C$5*'Datos Mun'!AF55,0)</f>
        <v>0</v>
      </c>
      <c r="D57" s="50">
        <f>IF('Datos Mun'!B55="AMM",$D$5*'Datos Mun'!AI55,0)</f>
        <v>0</v>
      </c>
      <c r="E57" s="51">
        <f t="shared" si="0"/>
        <v>0</v>
      </c>
      <c r="F57" s="57">
        <f t="shared" si="1"/>
        <v>0</v>
      </c>
      <c r="G57" s="40"/>
      <c r="H57" s="45" t="s">
        <v>51</v>
      </c>
      <c r="I57" s="50">
        <f>IF('Datos Mun'!B55="AMM",0,$B$5*'Datos Mun'!AC55)</f>
        <v>1791450.6663379341</v>
      </c>
      <c r="J57" s="50">
        <f>IF('Datos Mun'!B55="AMM",0,$J$5*'Datos Mun'!AF55)</f>
        <v>23886424.764005382</v>
      </c>
      <c r="K57" s="50">
        <f>IF('Datos Mun'!B55="AMM",0,$K$5*'Datos Mun'!AI55)</f>
        <v>61569458.054707512</v>
      </c>
      <c r="L57" s="51">
        <f t="shared" si="2"/>
        <v>87247333.485050827</v>
      </c>
      <c r="M57" s="57">
        <f t="shared" si="3"/>
        <v>1.1106019875425973E-2</v>
      </c>
      <c r="O57" s="45" t="s">
        <v>51</v>
      </c>
      <c r="P57" s="50">
        <f>IF('Datos Mun'!D55="Zona de Crec",'Datos Mun'!AC55*'Art 14 F I'!$P$5,0)</f>
        <v>0</v>
      </c>
      <c r="Q57" s="50">
        <f>IF('Datos Mun'!D55="Zona de Crec",$Q$5*'Datos Mun'!AF55,0)</f>
        <v>0</v>
      </c>
      <c r="R57" s="50">
        <f>IF('Datos Mun'!D55="Zona de Crec",$R$5*'Datos Mun'!AI55,0)</f>
        <v>0</v>
      </c>
      <c r="S57" s="51">
        <f t="shared" si="4"/>
        <v>0</v>
      </c>
      <c r="T57" s="57">
        <f t="shared" si="5"/>
        <v>0</v>
      </c>
      <c r="U57" s="40"/>
    </row>
    <row r="58" spans="1:21" ht="13.8" thickBot="1">
      <c r="A58" s="46" t="s">
        <v>52</v>
      </c>
      <c r="B58" s="52">
        <f>SUM(B7:B57)</f>
        <v>18016895702.580555</v>
      </c>
      <c r="C58" s="52">
        <f>SUM(C7:C57)</f>
        <v>6807606508.7385931</v>
      </c>
      <c r="D58" s="52">
        <f>SUM(D7:D57)</f>
        <v>4340326534.0379848</v>
      </c>
      <c r="E58" s="53">
        <f>SUM(E7:E57)</f>
        <v>29164828745.357132</v>
      </c>
      <c r="F58" s="60">
        <f>SUM(F7:F57)</f>
        <v>1</v>
      </c>
      <c r="G58" s="41"/>
      <c r="H58" s="46" t="s">
        <v>52</v>
      </c>
      <c r="I58" s="52">
        <f>SUM(I7:I57)</f>
        <v>493448498.41125596</v>
      </c>
      <c r="J58" s="52">
        <f>SUM(J7:J57)</f>
        <v>2447565591.7573104</v>
      </c>
      <c r="K58" s="52">
        <f>SUM(K7:K57)</f>
        <v>4914845566.4579201</v>
      </c>
      <c r="L58" s="53">
        <f>SUM(L7:L57)</f>
        <v>7855859656.6264868</v>
      </c>
      <c r="M58" s="55">
        <f>SUM(M7:M57)</f>
        <v>1</v>
      </c>
      <c r="O58" s="46" t="s">
        <v>52</v>
      </c>
      <c r="P58" s="52">
        <f>SUM(P7:P57)</f>
        <v>3801015336.2844791</v>
      </c>
      <c r="Q58" s="52">
        <f>SUM(Q7:Q57)</f>
        <v>4217200232.0543251</v>
      </c>
      <c r="R58" s="52">
        <f>SUM(R7:R57)</f>
        <v>2622505445.9901533</v>
      </c>
      <c r="S58" s="53">
        <f>SUM(S7:S57)</f>
        <v>10640721014.328957</v>
      </c>
      <c r="T58" s="60">
        <f>SUM(T7:T57)</f>
        <v>0.99999999999999989</v>
      </c>
      <c r="U58" s="41"/>
    </row>
    <row r="59" spans="1:21" ht="13.8" thickTop="1"/>
    <row r="61" spans="1:21">
      <c r="E61" s="59"/>
      <c r="F61" s="59"/>
      <c r="S61" s="59"/>
      <c r="T61" s="59"/>
    </row>
    <row r="62" spans="1:21">
      <c r="E62" s="59"/>
      <c r="F62" s="59"/>
      <c r="L62" s="22">
        <f>L58+E58</f>
        <v>37020688401.98362</v>
      </c>
      <c r="S62" s="59"/>
      <c r="T62" s="59"/>
    </row>
    <row r="63" spans="1:21">
      <c r="E63" s="59"/>
      <c r="F63" s="59"/>
      <c r="S63" s="59"/>
      <c r="T63" s="59"/>
    </row>
    <row r="64" spans="1:21">
      <c r="E64" s="59"/>
      <c r="F64" s="59"/>
      <c r="S64" s="59"/>
      <c r="T64" s="59"/>
    </row>
    <row r="65" spans="5:20">
      <c r="E65" s="59"/>
      <c r="F65" s="59"/>
      <c r="S65" s="59"/>
      <c r="T65" s="59"/>
    </row>
    <row r="66" spans="5:20">
      <c r="E66" s="59"/>
      <c r="F66" s="59"/>
      <c r="S66" s="59"/>
      <c r="T66" s="59"/>
    </row>
    <row r="67" spans="5:20">
      <c r="E67" s="59"/>
      <c r="F67" s="59"/>
      <c r="S67" s="59"/>
      <c r="T67" s="59"/>
    </row>
    <row r="68" spans="5:20">
      <c r="E68" s="59"/>
      <c r="F68" s="59"/>
      <c r="S68" s="59"/>
      <c r="T68" s="59"/>
    </row>
    <row r="69" spans="5:20">
      <c r="E69" s="59"/>
      <c r="F69" s="59"/>
      <c r="S69" s="59"/>
      <c r="T69" s="59"/>
    </row>
    <row r="70" spans="5:20">
      <c r="E70" s="59"/>
      <c r="F70" s="59"/>
      <c r="S70" s="59"/>
      <c r="T70" s="59"/>
    </row>
    <row r="71" spans="5:20">
      <c r="E71" s="59"/>
      <c r="F71" s="59"/>
      <c r="S71" s="59"/>
      <c r="T71" s="59"/>
    </row>
    <row r="72" spans="5:20">
      <c r="E72" s="59"/>
      <c r="F72" s="59"/>
      <c r="S72" s="59"/>
      <c r="T72" s="59"/>
    </row>
    <row r="73" spans="5:20">
      <c r="E73" s="59"/>
      <c r="F73" s="59"/>
      <c r="S73" s="59"/>
      <c r="T73" s="59"/>
    </row>
    <row r="74" spans="5:20">
      <c r="E74" s="59"/>
      <c r="F74" s="59"/>
      <c r="S74" s="59"/>
      <c r="T74" s="59"/>
    </row>
    <row r="75" spans="5:20">
      <c r="E75" s="59"/>
      <c r="F75" s="59"/>
      <c r="S75" s="59"/>
      <c r="T75" s="59"/>
    </row>
    <row r="76" spans="5:20">
      <c r="E76" s="59"/>
      <c r="F76" s="59"/>
      <c r="S76" s="59"/>
      <c r="T76" s="59"/>
    </row>
    <row r="77" spans="5:20">
      <c r="E77" s="59"/>
      <c r="F77" s="59"/>
      <c r="S77" s="59"/>
      <c r="T77" s="59"/>
    </row>
    <row r="78" spans="5:20">
      <c r="E78" s="59"/>
      <c r="F78" s="59"/>
      <c r="S78" s="59"/>
      <c r="T78" s="59"/>
    </row>
    <row r="79" spans="5:20">
      <c r="E79" s="59"/>
      <c r="F79" s="59"/>
      <c r="S79" s="59"/>
      <c r="T79" s="59"/>
    </row>
    <row r="80" spans="5:20">
      <c r="E80" s="59"/>
      <c r="F80" s="59"/>
      <c r="S80" s="59"/>
      <c r="T80" s="59"/>
    </row>
    <row r="81" spans="5:20">
      <c r="E81" s="59"/>
      <c r="F81" s="59"/>
      <c r="S81" s="59"/>
      <c r="T81" s="59"/>
    </row>
    <row r="82" spans="5:20">
      <c r="E82" s="59"/>
      <c r="F82" s="59"/>
      <c r="S82" s="59"/>
      <c r="T82" s="59"/>
    </row>
    <row r="83" spans="5:20">
      <c r="E83" s="59"/>
      <c r="F83" s="59"/>
      <c r="S83" s="59"/>
      <c r="T83" s="59"/>
    </row>
    <row r="84" spans="5:20">
      <c r="E84" s="59"/>
      <c r="F84" s="59"/>
      <c r="S84" s="59"/>
      <c r="T84" s="59"/>
    </row>
    <row r="85" spans="5:20">
      <c r="E85" s="59"/>
      <c r="F85" s="59"/>
      <c r="S85" s="59"/>
      <c r="T85" s="59"/>
    </row>
    <row r="86" spans="5:20">
      <c r="E86" s="59"/>
      <c r="F86" s="59"/>
      <c r="S86" s="59"/>
      <c r="T86" s="59"/>
    </row>
    <row r="87" spans="5:20">
      <c r="E87" s="59"/>
      <c r="F87" s="59"/>
      <c r="S87" s="59"/>
      <c r="T87" s="59"/>
    </row>
    <row r="88" spans="5:20">
      <c r="E88" s="59"/>
      <c r="F88" s="59"/>
      <c r="S88" s="59"/>
      <c r="T88" s="59"/>
    </row>
    <row r="89" spans="5:20">
      <c r="E89" s="59"/>
      <c r="F89" s="59"/>
      <c r="S89" s="59"/>
      <c r="T89" s="59"/>
    </row>
    <row r="90" spans="5:20">
      <c r="E90" s="59"/>
      <c r="F90" s="59"/>
      <c r="S90" s="59"/>
      <c r="T90" s="59"/>
    </row>
    <row r="91" spans="5:20">
      <c r="E91" s="59"/>
      <c r="F91" s="59"/>
      <c r="S91" s="59"/>
      <c r="T91" s="59"/>
    </row>
    <row r="92" spans="5:20">
      <c r="E92" s="59"/>
      <c r="F92" s="59"/>
      <c r="S92" s="59"/>
      <c r="T92" s="59"/>
    </row>
    <row r="93" spans="5:20">
      <c r="E93" s="59"/>
      <c r="F93" s="59"/>
      <c r="S93" s="59"/>
      <c r="T93" s="59"/>
    </row>
    <row r="94" spans="5:20">
      <c r="E94" s="59"/>
      <c r="F94" s="59"/>
      <c r="S94" s="59"/>
      <c r="T94" s="59"/>
    </row>
    <row r="95" spans="5:20">
      <c r="E95" s="59"/>
      <c r="F95" s="59"/>
      <c r="S95" s="59"/>
      <c r="T95" s="59"/>
    </row>
    <row r="96" spans="5:20">
      <c r="E96" s="59"/>
      <c r="F96" s="59"/>
      <c r="S96" s="59"/>
      <c r="T96" s="59"/>
    </row>
    <row r="97" spans="5:20">
      <c r="E97" s="59"/>
      <c r="F97" s="59"/>
      <c r="S97" s="59"/>
      <c r="T97" s="59"/>
    </row>
    <row r="98" spans="5:20">
      <c r="E98" s="59"/>
      <c r="F98" s="59"/>
      <c r="S98" s="59"/>
      <c r="T98" s="59"/>
    </row>
    <row r="99" spans="5:20">
      <c r="E99" s="59"/>
      <c r="F99" s="59"/>
      <c r="S99" s="59"/>
      <c r="T99" s="59"/>
    </row>
    <row r="100" spans="5:20">
      <c r="E100" s="59"/>
      <c r="F100" s="59"/>
      <c r="S100" s="59"/>
      <c r="T100" s="59"/>
    </row>
    <row r="101" spans="5:20">
      <c r="E101" s="59"/>
      <c r="F101" s="59"/>
      <c r="S101" s="59"/>
      <c r="T101" s="59"/>
    </row>
    <row r="102" spans="5:20">
      <c r="E102" s="59"/>
      <c r="F102" s="59"/>
      <c r="S102" s="59"/>
      <c r="T102" s="59"/>
    </row>
    <row r="103" spans="5:20">
      <c r="E103" s="59"/>
      <c r="F103" s="59"/>
      <c r="S103" s="59"/>
      <c r="T103" s="59"/>
    </row>
    <row r="104" spans="5:20">
      <c r="E104" s="59"/>
      <c r="F104" s="59"/>
      <c r="S104" s="59"/>
      <c r="T104" s="59"/>
    </row>
    <row r="105" spans="5:20">
      <c r="E105" s="59"/>
      <c r="F105" s="59"/>
      <c r="S105" s="59"/>
      <c r="T105" s="59"/>
    </row>
    <row r="106" spans="5:20">
      <c r="E106" s="59"/>
      <c r="F106" s="59"/>
      <c r="S106" s="59"/>
      <c r="T106" s="59"/>
    </row>
    <row r="107" spans="5:20">
      <c r="E107" s="59"/>
      <c r="F107" s="59"/>
      <c r="S107" s="59"/>
      <c r="T107" s="59"/>
    </row>
    <row r="108" spans="5:20">
      <c r="E108" s="59"/>
      <c r="F108" s="59"/>
      <c r="S108" s="59"/>
      <c r="T108" s="59"/>
    </row>
    <row r="109" spans="5:20">
      <c r="E109" s="59"/>
      <c r="F109" s="59"/>
      <c r="S109" s="59"/>
      <c r="T109" s="59"/>
    </row>
    <row r="110" spans="5:20">
      <c r="E110" s="59"/>
      <c r="F110" s="59"/>
      <c r="S110" s="59"/>
      <c r="T110" s="59"/>
    </row>
    <row r="111" spans="5:20">
      <c r="E111" s="59"/>
      <c r="F111" s="59"/>
      <c r="S111" s="59"/>
      <c r="T111" s="59"/>
    </row>
  </sheetData>
  <mergeCells count="6"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showGridLines="0" zoomScaleNormal="100" zoomScaleSheetLayoutView="100" workbookViewId="0">
      <selection activeCell="E4" sqref="E4"/>
    </sheetView>
  </sheetViews>
  <sheetFormatPr baseColWidth="10" defaultColWidth="11.44140625" defaultRowHeight="13.2"/>
  <cols>
    <col min="1" max="1" width="50.5546875" style="67" customWidth="1"/>
    <col min="2" max="2" width="15.6640625" style="67" customWidth="1"/>
    <col min="3" max="3" width="13.6640625" style="67" bestFit="1" customWidth="1"/>
    <col min="4" max="4" width="25.6640625" style="67" bestFit="1" customWidth="1"/>
    <col min="5" max="5" width="18.44140625" style="67" customWidth="1"/>
    <col min="6" max="6" width="16.44140625" style="67" bestFit="1" customWidth="1"/>
    <col min="7" max="7" width="13.77734375" style="67" bestFit="1" customWidth="1"/>
    <col min="8" max="9" width="12.6640625" style="67" bestFit="1" customWidth="1"/>
    <col min="10" max="16384" width="11.44140625" style="67"/>
  </cols>
  <sheetData>
    <row r="1" spans="1:10" ht="27.75" customHeight="1">
      <c r="A1" s="288" t="s">
        <v>196</v>
      </c>
      <c r="B1" s="288"/>
      <c r="C1" s="288"/>
      <c r="D1" s="288"/>
      <c r="E1" s="288"/>
      <c r="F1" s="288"/>
      <c r="G1" s="288"/>
    </row>
    <row r="2" spans="1:10" ht="26.4">
      <c r="A2" s="99" t="s">
        <v>115</v>
      </c>
      <c r="B2" s="99" t="s">
        <v>195</v>
      </c>
      <c r="C2" s="99" t="s">
        <v>210</v>
      </c>
      <c r="D2" s="99" t="s">
        <v>208</v>
      </c>
      <c r="E2" s="99" t="s">
        <v>211</v>
      </c>
      <c r="F2" s="99" t="s">
        <v>98</v>
      </c>
      <c r="G2" s="99" t="s">
        <v>99</v>
      </c>
      <c r="H2" s="99" t="s">
        <v>118</v>
      </c>
    </row>
    <row r="3" spans="1:10" ht="25.5" customHeight="1">
      <c r="A3" s="100" t="s">
        <v>55</v>
      </c>
      <c r="B3" s="283">
        <v>2407211799</v>
      </c>
      <c r="C3" s="283">
        <v>0</v>
      </c>
      <c r="D3" s="283">
        <v>0</v>
      </c>
      <c r="E3" s="283">
        <f>132473089-13352797.99</f>
        <v>119120291.01000001</v>
      </c>
      <c r="F3" s="102">
        <v>0.2</v>
      </c>
      <c r="G3" s="283">
        <f>(B3+C3+D3+E3)*F3</f>
        <v>505266418.00200009</v>
      </c>
      <c r="H3" s="296">
        <f>(B3+C3+D3+E3)-G3</f>
        <v>2021065672.0080001</v>
      </c>
      <c r="J3" s="287"/>
    </row>
    <row r="4" spans="1:10" ht="25.5" customHeight="1">
      <c r="A4" s="100" t="s">
        <v>60</v>
      </c>
      <c r="B4" s="283">
        <v>63946951</v>
      </c>
      <c r="C4" s="283">
        <v>0</v>
      </c>
      <c r="D4" s="283">
        <v>0</v>
      </c>
      <c r="E4" s="283">
        <v>7609579</v>
      </c>
      <c r="F4" s="102">
        <v>1</v>
      </c>
      <c r="G4" s="283">
        <f t="shared" ref="G4:G12" si="0">(B4+C4+D4+E4)*F4</f>
        <v>71556530</v>
      </c>
      <c r="H4" s="296">
        <f t="shared" ref="H4:H12" si="1">(B4+C4+D4+E4)-G4</f>
        <v>0</v>
      </c>
      <c r="J4" s="287"/>
    </row>
    <row r="5" spans="1:10" ht="25.5" customHeight="1">
      <c r="A5" s="100" t="s">
        <v>61</v>
      </c>
      <c r="B5" s="283">
        <v>15027522</v>
      </c>
      <c r="C5" s="283">
        <v>0</v>
      </c>
      <c r="D5" s="283">
        <v>0</v>
      </c>
      <c r="E5" s="283">
        <v>0</v>
      </c>
      <c r="F5" s="102">
        <v>1</v>
      </c>
      <c r="G5" s="283">
        <f t="shared" si="0"/>
        <v>15027522</v>
      </c>
      <c r="H5" s="296">
        <f t="shared" si="1"/>
        <v>0</v>
      </c>
      <c r="I5" s="68"/>
      <c r="J5" s="287"/>
    </row>
    <row r="6" spans="1:10" ht="25.5" customHeight="1">
      <c r="A6" s="100" t="s">
        <v>56</v>
      </c>
      <c r="B6" s="283">
        <v>93538351</v>
      </c>
      <c r="C6" s="283">
        <v>0</v>
      </c>
      <c r="D6" s="283">
        <v>0</v>
      </c>
      <c r="E6" s="283">
        <v>0</v>
      </c>
      <c r="F6" s="102">
        <v>0.2</v>
      </c>
      <c r="G6" s="283">
        <f t="shared" si="0"/>
        <v>18707670.199999999</v>
      </c>
      <c r="H6" s="296">
        <f t="shared" si="1"/>
        <v>74830680.799999997</v>
      </c>
      <c r="J6" s="287"/>
    </row>
    <row r="7" spans="1:10" ht="25.5" customHeight="1">
      <c r="A7" s="100" t="s">
        <v>57</v>
      </c>
      <c r="B7" s="283">
        <v>75298111</v>
      </c>
      <c r="C7" s="283">
        <v>0</v>
      </c>
      <c r="D7" s="283">
        <v>0</v>
      </c>
      <c r="E7" s="283">
        <v>24630479</v>
      </c>
      <c r="F7" s="102">
        <v>0.2</v>
      </c>
      <c r="G7" s="283">
        <f t="shared" si="0"/>
        <v>19985718</v>
      </c>
      <c r="H7" s="296">
        <f t="shared" si="1"/>
        <v>79942872</v>
      </c>
      <c r="J7" s="287"/>
    </row>
    <row r="8" spans="1:10" ht="25.5" customHeight="1">
      <c r="A8" s="100" t="s">
        <v>209</v>
      </c>
      <c r="B8" s="283">
        <v>0</v>
      </c>
      <c r="C8" s="283">
        <v>0</v>
      </c>
      <c r="D8" s="283">
        <v>0</v>
      </c>
      <c r="E8" s="283">
        <v>0</v>
      </c>
      <c r="F8" s="102">
        <v>0.2</v>
      </c>
      <c r="G8" s="283">
        <f t="shared" si="0"/>
        <v>0</v>
      </c>
      <c r="H8" s="296">
        <f t="shared" si="1"/>
        <v>0</v>
      </c>
      <c r="J8" s="287"/>
    </row>
    <row r="9" spans="1:10" ht="25.5" customHeight="1">
      <c r="A9" s="100" t="s">
        <v>58</v>
      </c>
      <c r="B9" s="283">
        <v>68571691</v>
      </c>
      <c r="C9" s="283">
        <v>0</v>
      </c>
      <c r="D9" s="283">
        <v>0</v>
      </c>
      <c r="E9" s="283">
        <v>0</v>
      </c>
      <c r="F9" s="102">
        <v>0.2</v>
      </c>
      <c r="G9" s="283">
        <f t="shared" si="0"/>
        <v>13714338.200000001</v>
      </c>
      <c r="H9" s="296">
        <f t="shared" si="1"/>
        <v>54857352.799999997</v>
      </c>
      <c r="J9" s="287"/>
    </row>
    <row r="10" spans="1:10" ht="25.5" customHeight="1">
      <c r="A10" s="100" t="s">
        <v>116</v>
      </c>
      <c r="B10" s="283">
        <v>16345374</v>
      </c>
      <c r="C10" s="283">
        <v>0</v>
      </c>
      <c r="D10" s="283">
        <v>0</v>
      </c>
      <c r="E10" s="283">
        <v>0</v>
      </c>
      <c r="F10" s="102">
        <v>0.2</v>
      </c>
      <c r="G10" s="283">
        <f t="shared" si="0"/>
        <v>3269074.8000000003</v>
      </c>
      <c r="H10" s="296">
        <f t="shared" si="1"/>
        <v>13076299.199999999</v>
      </c>
      <c r="J10" s="287"/>
    </row>
    <row r="11" spans="1:10" ht="25.5" customHeight="1">
      <c r="A11" s="100" t="s">
        <v>59</v>
      </c>
      <c r="B11" s="283">
        <v>70554400</v>
      </c>
      <c r="C11" s="283">
        <v>0</v>
      </c>
      <c r="D11" s="283">
        <v>0</v>
      </c>
      <c r="E11" s="283">
        <v>0</v>
      </c>
      <c r="F11" s="102">
        <v>0.2</v>
      </c>
      <c r="G11" s="283">
        <f t="shared" si="0"/>
        <v>14110880</v>
      </c>
      <c r="H11" s="296">
        <f t="shared" si="1"/>
        <v>56443520</v>
      </c>
      <c r="J11" s="287"/>
    </row>
    <row r="12" spans="1:10" ht="25.5" customHeight="1">
      <c r="A12" s="100" t="s">
        <v>197</v>
      </c>
      <c r="B12" s="283">
        <v>76467724</v>
      </c>
      <c r="C12" s="283">
        <v>0</v>
      </c>
      <c r="D12" s="283">
        <v>0</v>
      </c>
      <c r="E12" s="283">
        <v>0</v>
      </c>
      <c r="F12" s="102">
        <v>0.2</v>
      </c>
      <c r="G12" s="283">
        <f t="shared" si="0"/>
        <v>15293544.800000001</v>
      </c>
      <c r="H12" s="296">
        <f t="shared" si="1"/>
        <v>61174179.200000003</v>
      </c>
    </row>
    <row r="13" spans="1:10">
      <c r="A13" s="103" t="s">
        <v>53</v>
      </c>
      <c r="B13" s="286">
        <f>SUM(B3:B12)</f>
        <v>2886961923</v>
      </c>
      <c r="C13" s="286"/>
      <c r="D13" s="286">
        <f t="shared" ref="D13:E13" si="2">SUM(D3:D12)</f>
        <v>0</v>
      </c>
      <c r="E13" s="286">
        <f t="shared" si="2"/>
        <v>151360349.00999999</v>
      </c>
      <c r="F13" s="103"/>
      <c r="G13" s="286">
        <f>SUM(G3:G12)</f>
        <v>676931696.00200009</v>
      </c>
      <c r="H13" s="297">
        <f>SUM(H3:H12)</f>
        <v>2361390576.0079999</v>
      </c>
    </row>
    <row r="14" spans="1:10">
      <c r="A14" s="105"/>
      <c r="B14" s="105"/>
      <c r="C14" s="106"/>
      <c r="D14" s="107"/>
    </row>
    <row r="15" spans="1:10">
      <c r="A15" s="108" t="s">
        <v>117</v>
      </c>
      <c r="B15" s="108"/>
      <c r="E15" s="287"/>
    </row>
    <row r="16" spans="1:10" ht="13.8" thickBot="1">
      <c r="B16" s="109"/>
    </row>
    <row r="17" spans="1:4" ht="72" customHeight="1" thickTop="1">
      <c r="A17" s="114" t="s">
        <v>125</v>
      </c>
      <c r="B17" s="115" t="s">
        <v>119</v>
      </c>
      <c r="C17" s="115" t="s">
        <v>120</v>
      </c>
      <c r="D17" s="116" t="s">
        <v>181</v>
      </c>
    </row>
    <row r="18" spans="1:4" ht="17.25" customHeight="1">
      <c r="A18" s="117" t="s">
        <v>123</v>
      </c>
      <c r="B18" s="111">
        <f>H13</f>
        <v>2361390576.0079999</v>
      </c>
      <c r="C18" s="111">
        <v>21590846</v>
      </c>
      <c r="D18" s="118">
        <v>0</v>
      </c>
    </row>
    <row r="19" spans="1:4" ht="17.25" customHeight="1">
      <c r="A19" s="117" t="s">
        <v>98</v>
      </c>
      <c r="B19" s="112">
        <v>1.84E-2</v>
      </c>
      <c r="C19" s="112">
        <v>0.35</v>
      </c>
      <c r="D19" s="119">
        <v>1</v>
      </c>
    </row>
    <row r="20" spans="1:4" ht="17.25" customHeight="1">
      <c r="A20" s="117" t="s">
        <v>97</v>
      </c>
      <c r="B20" s="113">
        <f>B18*B19</f>
        <v>43449586.598547198</v>
      </c>
      <c r="C20" s="113">
        <f>C18*C19</f>
        <v>7556796.0999999996</v>
      </c>
      <c r="D20" s="282">
        <v>0</v>
      </c>
    </row>
    <row r="21" spans="1:4" ht="24.75" customHeight="1">
      <c r="A21" s="121"/>
      <c r="B21" s="122"/>
      <c r="C21" s="122"/>
      <c r="D21" s="123"/>
    </row>
    <row r="22" spans="1:4">
      <c r="A22" s="302" t="s">
        <v>122</v>
      </c>
      <c r="B22" s="305" t="s">
        <v>121</v>
      </c>
      <c r="C22" s="306"/>
      <c r="D22" s="307"/>
    </row>
    <row r="23" spans="1:4">
      <c r="A23" s="303"/>
      <c r="B23" s="308" t="str">
        <f>IF(B20&gt;D20,"1.84% Particpaciones del Estado","Ley de Egresos 2020")</f>
        <v>1.84% Particpaciones del Estado</v>
      </c>
      <c r="C23" s="308"/>
      <c r="D23" s="309"/>
    </row>
    <row r="24" spans="1:4">
      <c r="A24" s="304"/>
      <c r="B24" s="122"/>
      <c r="C24" s="122"/>
      <c r="D24" s="123"/>
    </row>
    <row r="25" spans="1:4" ht="13.8" thickBot="1">
      <c r="A25" s="124" t="s">
        <v>124</v>
      </c>
      <c r="B25" s="300">
        <f>IF(B23="Ley de Egresos 2020",D20+C20,B20+C20)</f>
        <v>51006382.698547199</v>
      </c>
      <c r="C25" s="310"/>
      <c r="D25" s="301"/>
    </row>
    <row r="26" spans="1:4" ht="13.8" thickTop="1"/>
    <row r="27" spans="1:4" ht="13.8" thickBot="1"/>
    <row r="28" spans="1:4" ht="27" thickTop="1">
      <c r="A28" s="114" t="s">
        <v>173</v>
      </c>
      <c r="B28" s="116" t="s">
        <v>119</v>
      </c>
    </row>
    <row r="29" spans="1:4">
      <c r="A29" s="117" t="s">
        <v>162</v>
      </c>
      <c r="B29" s="118">
        <f>H13</f>
        <v>2361390576.0079999</v>
      </c>
    </row>
    <row r="30" spans="1:4">
      <c r="A30" s="117" t="s">
        <v>98</v>
      </c>
      <c r="B30" s="119">
        <v>1.5299999999999999E-2</v>
      </c>
    </row>
    <row r="31" spans="1:4" ht="13.8" thickBot="1">
      <c r="A31" s="124" t="s">
        <v>97</v>
      </c>
      <c r="B31" s="201">
        <f>B29*B30</f>
        <v>36129275.812922396</v>
      </c>
    </row>
    <row r="32" spans="1:4" ht="27.75" customHeight="1" thickTop="1" thickBot="1"/>
    <row r="33" spans="1:3" ht="27" thickTop="1">
      <c r="A33" s="114" t="s">
        <v>159</v>
      </c>
      <c r="B33" s="116" t="s">
        <v>119</v>
      </c>
    </row>
    <row r="34" spans="1:3">
      <c r="A34" s="117" t="s">
        <v>123</v>
      </c>
      <c r="B34" s="118">
        <f>$H$13</f>
        <v>2361390576.0079999</v>
      </c>
    </row>
    <row r="35" spans="1:3">
      <c r="A35" s="117" t="s">
        <v>98</v>
      </c>
      <c r="B35" s="119">
        <v>5.4000000000000003E-3</v>
      </c>
    </row>
    <row r="36" spans="1:3" ht="13.8" thickBot="1">
      <c r="A36" s="124" t="s">
        <v>97</v>
      </c>
      <c r="B36" s="201">
        <f>B34*B35</f>
        <v>12751509.110443201</v>
      </c>
    </row>
    <row r="37" spans="1:3" ht="14.4" thickTop="1" thickBot="1"/>
    <row r="38" spans="1:3" ht="27" thickTop="1">
      <c r="A38" s="114" t="s">
        <v>161</v>
      </c>
      <c r="B38" s="115" t="s">
        <v>119</v>
      </c>
      <c r="C38" s="116" t="s">
        <v>181</v>
      </c>
    </row>
    <row r="39" spans="1:3">
      <c r="A39" s="117" t="s">
        <v>123</v>
      </c>
      <c r="B39" s="111">
        <f>$H$13</f>
        <v>2361390576.0079999</v>
      </c>
      <c r="C39" s="118">
        <f>367143657/12</f>
        <v>30595304.75</v>
      </c>
    </row>
    <row r="40" spans="1:3">
      <c r="A40" s="117" t="s">
        <v>98</v>
      </c>
      <c r="B40" s="112">
        <v>1.2800000000000001E-2</v>
      </c>
      <c r="C40" s="119">
        <v>1</v>
      </c>
    </row>
    <row r="41" spans="1:3">
      <c r="A41" s="117" t="s">
        <v>97</v>
      </c>
      <c r="B41" s="113">
        <f>B39*B40</f>
        <v>30225799.372902401</v>
      </c>
      <c r="C41" s="120">
        <f>C39*C40</f>
        <v>30595304.75</v>
      </c>
    </row>
    <row r="42" spans="1:3" ht="24" customHeight="1">
      <c r="A42" s="121"/>
      <c r="B42" s="122"/>
      <c r="C42" s="123"/>
    </row>
    <row r="43" spans="1:3">
      <c r="A43" s="302" t="s">
        <v>122</v>
      </c>
      <c r="B43" s="305" t="s">
        <v>163</v>
      </c>
      <c r="C43" s="311"/>
    </row>
    <row r="44" spans="1:3">
      <c r="A44" s="303"/>
      <c r="B44" s="312" t="str">
        <f>IF(B41&gt;C41,"1.28% Particpaciones del Estado","Ley de Egresos 2021")</f>
        <v>Ley de Egresos 2021</v>
      </c>
      <c r="C44" s="313"/>
    </row>
    <row r="45" spans="1:3">
      <c r="A45" s="304"/>
      <c r="B45" s="314"/>
      <c r="C45" s="315"/>
    </row>
    <row r="46" spans="1:3" ht="13.8" thickBot="1">
      <c r="A46" s="124" t="s">
        <v>174</v>
      </c>
      <c r="B46" s="300">
        <f>IF(B44="Ley de Egresos 2021",C41,B41)</f>
        <v>30595304.75</v>
      </c>
      <c r="C46" s="301"/>
    </row>
    <row r="47" spans="1:3" ht="13.8" thickTop="1"/>
  </sheetData>
  <mergeCells count="8"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7" workbookViewId="0">
      <selection activeCell="F57" sqref="F57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14" style="13" bestFit="1" customWidth="1"/>
    <col min="7" max="16384" width="11.44140625" style="13"/>
  </cols>
  <sheetData>
    <row r="1" spans="1:5">
      <c r="A1" s="320" t="s">
        <v>95</v>
      </c>
      <c r="B1" s="320"/>
      <c r="C1" s="320"/>
      <c r="D1" s="320"/>
      <c r="E1" s="320"/>
    </row>
    <row r="2" spans="1:5">
      <c r="A2" s="320" t="s">
        <v>96</v>
      </c>
      <c r="B2" s="320"/>
      <c r="C2" s="320"/>
      <c r="D2" s="320"/>
      <c r="E2" s="320"/>
    </row>
    <row r="3" spans="1:5">
      <c r="A3" s="321" t="s">
        <v>183</v>
      </c>
      <c r="B3" s="321"/>
      <c r="C3" s="321"/>
      <c r="D3" s="321"/>
      <c r="E3" s="321"/>
    </row>
    <row r="4" spans="1:5" ht="13.8" thickBot="1"/>
    <row r="5" spans="1:5" ht="37.5" customHeight="1">
      <c r="A5" s="202" t="s">
        <v>0</v>
      </c>
      <c r="B5" s="236" t="s">
        <v>193</v>
      </c>
      <c r="C5" s="233" t="s">
        <v>168</v>
      </c>
      <c r="D5" s="233" t="s">
        <v>169</v>
      </c>
      <c r="E5" s="242"/>
    </row>
    <row r="6" spans="1:5">
      <c r="A6" s="234" t="s">
        <v>1</v>
      </c>
      <c r="B6" s="237">
        <f>'Datos Mun'!AA5</f>
        <v>1718741.9791512869</v>
      </c>
      <c r="C6" s="232">
        <f>IF('Datos Mun'!B5="AMM",Descentralizados!$B$62*'Datos Mun'!AP5,Descentralizados!$B$63*'Datos Mun'!AP5)</f>
        <v>1770042.9016420709</v>
      </c>
      <c r="D6" s="232" t="str">
        <f>IF('Datos Mun'!C5="No AMM",IF(Descentralizados!C6-Descentralizados!B6&lt;0,"SI","NO"),0)</f>
        <v>NO</v>
      </c>
      <c r="E6" s="243">
        <f>IF(D6="SI",B6,C6)</f>
        <v>1770042.9016420709</v>
      </c>
    </row>
    <row r="7" spans="1:5">
      <c r="A7" s="234" t="s">
        <v>2</v>
      </c>
      <c r="B7" s="237">
        <f>'Datos Mun'!AA6</f>
        <v>2900632.6783973104</v>
      </c>
      <c r="C7" s="232">
        <f>IF('Datos Mun'!B6="AMM",Descentralizados!$B$62*'Datos Mun'!AP6,Descentralizados!$B$63*'Datos Mun'!AP6)</f>
        <v>939321.8690667178</v>
      </c>
      <c r="D7" s="232" t="str">
        <f>IF('Datos Mun'!C6="No AMM",IF(Descentralizados!C7-Descentralizados!B7&lt;0,"SI","NO"),0)</f>
        <v>SI</v>
      </c>
      <c r="E7" s="243">
        <f t="shared" ref="E7:E56" si="0">IF(D7="SI",B7,C7)</f>
        <v>2900632.6783973104</v>
      </c>
    </row>
    <row r="8" spans="1:5">
      <c r="A8" s="234" t="s">
        <v>3</v>
      </c>
      <c r="B8" s="237">
        <f>'Datos Mun'!AA7</f>
        <v>2086699.1551099622</v>
      </c>
      <c r="C8" s="232">
        <f>IF('Datos Mun'!B7="AMM",Descentralizados!$B$62*'Datos Mun'!AP7,Descentralizados!$B$63*'Datos Mun'!AP7)</f>
        <v>2332527.1256672419</v>
      </c>
      <c r="D8" s="232" t="str">
        <f>IF('Datos Mun'!C7="No AMM",IF(Descentralizados!C8-Descentralizados!B8&lt;0,"SI","NO"),0)</f>
        <v>NO</v>
      </c>
      <c r="E8" s="243">
        <f t="shared" si="0"/>
        <v>2332527.1256672419</v>
      </c>
    </row>
    <row r="9" spans="1:5">
      <c r="A9" s="234" t="s">
        <v>4</v>
      </c>
      <c r="B9" s="237">
        <f>'Datos Mun'!AA8</f>
        <v>8518240.6165178325</v>
      </c>
      <c r="C9" s="232">
        <f>IF('Datos Mun'!B8="AMM",Descentralizados!$B$62*'Datos Mun'!AP8,Descentralizados!$B$63*'Datos Mun'!AP8)</f>
        <v>5988466.5495130345</v>
      </c>
      <c r="D9" s="232" t="str">
        <f>IF('Datos Mun'!C8="No AMM",IF(Descentralizados!C9-Descentralizados!B9&lt;0,"SI","NO"),0)</f>
        <v>SI</v>
      </c>
      <c r="E9" s="243">
        <f t="shared" si="0"/>
        <v>8518240.6165178325</v>
      </c>
    </row>
    <row r="10" spans="1:5">
      <c r="A10" s="234" t="s">
        <v>5</v>
      </c>
      <c r="B10" s="237">
        <f>'Datos Mun'!AA9</f>
        <v>6137628.4181850413</v>
      </c>
      <c r="C10" s="232">
        <f>IF('Datos Mun'!B9="AMM",Descentralizados!$B$62*'Datos Mun'!AP9,Descentralizados!$B$63*'Datos Mun'!AP9)</f>
        <v>5057092.1572293285</v>
      </c>
      <c r="D10" s="232" t="str">
        <f>IF('Datos Mun'!C9="No AMM",IF(Descentralizados!C10-Descentralizados!B10&lt;0,"SI","NO"),0)</f>
        <v>SI</v>
      </c>
      <c r="E10" s="243">
        <f t="shared" si="0"/>
        <v>6137628.4181850413</v>
      </c>
    </row>
    <row r="11" spans="1:5">
      <c r="A11" s="234" t="s">
        <v>6</v>
      </c>
      <c r="B11" s="237">
        <f>'Datos Mun'!AA10</f>
        <v>19810827.893906925</v>
      </c>
      <c r="C11" s="232">
        <f>IF('Datos Mun'!B10="AMM",Descentralizados!$B$62*'Datos Mun'!AP10,Descentralizados!$B$63*'Datos Mun'!AP10)</f>
        <v>21071383.076316699</v>
      </c>
      <c r="D11" s="232">
        <f>IF('Datos Mun'!C10="No AMM",IF(Descentralizados!C11-Descentralizados!B11&lt;0,"SI","NO"),0)</f>
        <v>0</v>
      </c>
      <c r="E11" s="243">
        <f t="shared" si="0"/>
        <v>21071383.076316699</v>
      </c>
    </row>
    <row r="12" spans="1:5">
      <c r="A12" s="234" t="s">
        <v>7</v>
      </c>
      <c r="B12" s="237">
        <f>'Datos Mun'!AA11</f>
        <v>8224675.0942434939</v>
      </c>
      <c r="C12" s="232">
        <f>IF('Datos Mun'!B11="AMM",Descentralizados!$B$62*'Datos Mun'!AP11,Descentralizados!$B$63*'Datos Mun'!AP11)</f>
        <v>6761453.7446846338</v>
      </c>
      <c r="D12" s="232" t="str">
        <f>IF('Datos Mun'!C11="No AMM",IF(Descentralizados!C12-Descentralizados!B12&lt;0,"SI","NO"),0)</f>
        <v>SI</v>
      </c>
      <c r="E12" s="243">
        <f t="shared" si="0"/>
        <v>8224675.0942434939</v>
      </c>
    </row>
    <row r="13" spans="1:5">
      <c r="A13" s="234" t="s">
        <v>8</v>
      </c>
      <c r="B13" s="237">
        <f>'Datos Mun'!AA12</f>
        <v>2974219.0794317215</v>
      </c>
      <c r="C13" s="232">
        <f>IF('Datos Mun'!B12="AMM",Descentralizados!$B$62*'Datos Mun'!AP12,Descentralizados!$B$63*'Datos Mun'!AP12)</f>
        <v>658907.81603154738</v>
      </c>
      <c r="D13" s="232" t="str">
        <f>IF('Datos Mun'!C12="No AMM",IF(Descentralizados!C13-Descentralizados!B13&lt;0,"SI","NO"),0)</f>
        <v>SI</v>
      </c>
      <c r="E13" s="243">
        <f t="shared" si="0"/>
        <v>2974219.0794317215</v>
      </c>
    </row>
    <row r="14" spans="1:5">
      <c r="A14" s="234" t="s">
        <v>9</v>
      </c>
      <c r="B14" s="237">
        <f>'Datos Mun'!AA13</f>
        <v>6080772.1412531286</v>
      </c>
      <c r="C14" s="232">
        <f>IF('Datos Mun'!B13="AMM",Descentralizados!$B$62*'Datos Mun'!AP13,Descentralizados!$B$63*'Datos Mun'!AP13)</f>
        <v>3579387.3886990175</v>
      </c>
      <c r="D14" s="232" t="str">
        <f>IF('Datos Mun'!C13="No AMM",IF(Descentralizados!C14-Descentralizados!B14&lt;0,"SI","NO"),0)</f>
        <v>SI</v>
      </c>
      <c r="E14" s="243">
        <f t="shared" si="0"/>
        <v>6080772.1412531286</v>
      </c>
    </row>
    <row r="15" spans="1:5">
      <c r="A15" s="234" t="s">
        <v>10</v>
      </c>
      <c r="B15" s="237">
        <f>'Datos Mun'!AA14</f>
        <v>3660359.1184544452</v>
      </c>
      <c r="C15" s="232">
        <f>IF('Datos Mun'!B14="AMM",Descentralizados!$B$62*'Datos Mun'!AP14,Descentralizados!$B$63*'Datos Mun'!AP14)</f>
        <v>4648455.2588267811</v>
      </c>
      <c r="D15" s="232" t="str">
        <f>IF('Datos Mun'!C14="No AMM",IF(Descentralizados!C15-Descentralizados!B15&lt;0,"SI","NO"),0)</f>
        <v>NO</v>
      </c>
      <c r="E15" s="243">
        <f t="shared" si="0"/>
        <v>4648455.2588267811</v>
      </c>
    </row>
    <row r="16" spans="1:5">
      <c r="A16" s="234" t="s">
        <v>11</v>
      </c>
      <c r="B16" s="237">
        <f>'Datos Mun'!AA15</f>
        <v>3693123.3689814457</v>
      </c>
      <c r="C16" s="232">
        <f>IF('Datos Mun'!B15="AMM",Descentralizados!$B$62*'Datos Mun'!AP15,Descentralizados!$B$63*'Datos Mun'!AP15)</f>
        <v>1511952.2744451545</v>
      </c>
      <c r="D16" s="232" t="str">
        <f>IF('Datos Mun'!C15="No AMM",IF(Descentralizados!C16-Descentralizados!B16&lt;0,"SI","NO"),0)</f>
        <v>SI</v>
      </c>
      <c r="E16" s="243">
        <f t="shared" si="0"/>
        <v>3693123.3689814457</v>
      </c>
    </row>
    <row r="17" spans="1:5">
      <c r="A17" s="234" t="s">
        <v>12</v>
      </c>
      <c r="B17" s="237">
        <f>'Datos Mun'!AA16</f>
        <v>5563132.2810582956</v>
      </c>
      <c r="C17" s="232">
        <f>IF('Datos Mun'!B16="AMM",Descentralizados!$B$62*'Datos Mun'!AP16,Descentralizados!$B$63*'Datos Mun'!AP16)</f>
        <v>4438279.9611910144</v>
      </c>
      <c r="D17" s="232" t="str">
        <f>IF('Datos Mun'!C16="No AMM",IF(Descentralizados!C17-Descentralizados!B17&lt;0,"SI","NO"),0)</f>
        <v>SI</v>
      </c>
      <c r="E17" s="243">
        <f t="shared" si="0"/>
        <v>5563132.2810582956</v>
      </c>
    </row>
    <row r="18" spans="1:5">
      <c r="A18" s="234" t="s">
        <v>13</v>
      </c>
      <c r="B18" s="237">
        <f>'Datos Mun'!AA17</f>
        <v>3096584.7941487241</v>
      </c>
      <c r="C18" s="232">
        <f>IF('Datos Mun'!B17="AMM",Descentralizados!$B$62*'Datos Mun'!AP17,Descentralizados!$B$63*'Datos Mun'!AP17)</f>
        <v>3673710.7905075694</v>
      </c>
      <c r="D18" s="232" t="str">
        <f>IF('Datos Mun'!C17="No AMM",IF(Descentralizados!C18-Descentralizados!B18&lt;0,"SI","NO"),0)</f>
        <v>NO</v>
      </c>
      <c r="E18" s="243">
        <f t="shared" si="0"/>
        <v>3673710.7905075694</v>
      </c>
    </row>
    <row r="19" spans="1:5">
      <c r="A19" s="234" t="s">
        <v>14</v>
      </c>
      <c r="B19" s="237">
        <f>'Datos Mun'!AA18</f>
        <v>18511579.143657368</v>
      </c>
      <c r="C19" s="232">
        <f>IF('Datos Mun'!B18="AMM",Descentralizados!$B$62*'Datos Mun'!AP18,Descentralizados!$B$63*'Datos Mun'!AP18)</f>
        <v>19543522.706506044</v>
      </c>
      <c r="D19" s="232" t="str">
        <f>IF('Datos Mun'!C18="No AMM",IF(Descentralizados!C19-Descentralizados!B19&lt;0,"SI","NO"),0)</f>
        <v>NO</v>
      </c>
      <c r="E19" s="243">
        <f t="shared" si="0"/>
        <v>19543522.706506044</v>
      </c>
    </row>
    <row r="20" spans="1:5">
      <c r="A20" s="234" t="s">
        <v>15</v>
      </c>
      <c r="B20" s="237">
        <f>'Datos Mun'!AA19</f>
        <v>2627805.792300446</v>
      </c>
      <c r="C20" s="232">
        <f>IF('Datos Mun'!B19="AMM",Descentralizados!$B$62*'Datos Mun'!AP19,Descentralizados!$B$63*'Datos Mun'!AP19)</f>
        <v>552780.16262676415</v>
      </c>
      <c r="D20" s="232" t="str">
        <f>IF('Datos Mun'!C19="No AMM",IF(Descentralizados!C20-Descentralizados!B20&lt;0,"SI","NO"),0)</f>
        <v>SI</v>
      </c>
      <c r="E20" s="243">
        <f t="shared" si="0"/>
        <v>2627805.792300446</v>
      </c>
    </row>
    <row r="21" spans="1:5">
      <c r="A21" s="234" t="s">
        <v>16</v>
      </c>
      <c r="B21" s="237">
        <f>'Datos Mun'!AA20</f>
        <v>896589.74590828759</v>
      </c>
      <c r="C21" s="232">
        <f>IF('Datos Mun'!B20="AMM",Descentralizados!$B$62*'Datos Mun'!AP20,Descentralizados!$B$63*'Datos Mun'!AP20)</f>
        <v>1739985.9879612611</v>
      </c>
      <c r="D21" s="232" t="str">
        <f>IF('Datos Mun'!C20="No AMM",IF(Descentralizados!C21-Descentralizados!B21&lt;0,"SI","NO"),0)</f>
        <v>NO</v>
      </c>
      <c r="E21" s="243">
        <f t="shared" si="0"/>
        <v>1739985.9879612611</v>
      </c>
    </row>
    <row r="22" spans="1:5">
      <c r="A22" s="234" t="s">
        <v>17</v>
      </c>
      <c r="B22" s="237">
        <f>'Datos Mun'!AA21</f>
        <v>13770707.582336776</v>
      </c>
      <c r="C22" s="232">
        <f>IF('Datos Mun'!B21="AMM",Descentralizados!$B$62*'Datos Mun'!AP21,Descentralizados!$B$63*'Datos Mun'!AP21)</f>
        <v>11201977.056750596</v>
      </c>
      <c r="D22" s="232" t="str">
        <f>IF('Datos Mun'!C21="No AMM",IF(Descentralizados!C22-Descentralizados!B22&lt;0,"SI","NO"),0)</f>
        <v>SI</v>
      </c>
      <c r="E22" s="243">
        <f t="shared" si="0"/>
        <v>13770707.582336776</v>
      </c>
    </row>
    <row r="23" spans="1:5">
      <c r="A23" s="234" t="s">
        <v>18</v>
      </c>
      <c r="B23" s="237">
        <f>'Datos Mun'!AA22</f>
        <v>6970001.4448454408</v>
      </c>
      <c r="C23" s="232">
        <f>IF('Datos Mun'!B22="AMM",Descentralizados!$B$62*'Datos Mun'!AP22,Descentralizados!$B$63*'Datos Mun'!AP22)</f>
        <v>8173945.773850929</v>
      </c>
      <c r="D23" s="232">
        <f>IF('Datos Mun'!C22="No AMM",IF(Descentralizados!C23-Descentralizados!B23&lt;0,"SI","NO"),0)</f>
        <v>0</v>
      </c>
      <c r="E23" s="243">
        <f t="shared" si="0"/>
        <v>8173945.773850929</v>
      </c>
    </row>
    <row r="24" spans="1:5">
      <c r="A24" s="234" t="s">
        <v>19</v>
      </c>
      <c r="B24" s="237">
        <f>'Datos Mun'!AA23</f>
        <v>2314156.6642328231</v>
      </c>
      <c r="C24" s="232">
        <f>IF('Datos Mun'!B23="AMM",Descentralizados!$B$62*'Datos Mun'!AP23,Descentralizados!$B$63*'Datos Mun'!AP23)</f>
        <v>2324518.0967059396</v>
      </c>
      <c r="D24" s="232" t="str">
        <f>IF('Datos Mun'!C23="No AMM",IF(Descentralizados!C24-Descentralizados!B24&lt;0,"SI","NO"),0)</f>
        <v>NO</v>
      </c>
      <c r="E24" s="243">
        <f t="shared" si="0"/>
        <v>2324518.0967059396</v>
      </c>
    </row>
    <row r="25" spans="1:5">
      <c r="A25" s="234" t="s">
        <v>20</v>
      </c>
      <c r="B25" s="237">
        <f>'Datos Mun'!AA24</f>
        <v>13667505.466545394</v>
      </c>
      <c r="C25" s="232">
        <f>IF('Datos Mun'!B24="AMM",Descentralizados!$B$62*'Datos Mun'!AP24,Descentralizados!$B$63*'Datos Mun'!AP24)</f>
        <v>11674967.378436362</v>
      </c>
      <c r="D25" s="232">
        <f>IF('Datos Mun'!C24="No AMM",IF(Descentralizados!C25-Descentralizados!B25&lt;0,"SI","NO"),0)</f>
        <v>0</v>
      </c>
      <c r="E25" s="243">
        <f t="shared" si="0"/>
        <v>11674967.378436362</v>
      </c>
    </row>
    <row r="26" spans="1:5">
      <c r="A26" s="234" t="s">
        <v>21</v>
      </c>
      <c r="B26" s="237">
        <f>'Datos Mun'!AA25</f>
        <v>5035804.9607381914</v>
      </c>
      <c r="C26" s="232">
        <f>IF('Datos Mun'!B25="AMM",Descentralizados!$B$62*'Datos Mun'!AP25,Descentralizados!$B$63*'Datos Mun'!AP25)</f>
        <v>4587093.2915477669</v>
      </c>
      <c r="D26" s="232" t="str">
        <f>IF('Datos Mun'!C25="No AMM",IF(Descentralizados!C26-Descentralizados!B26&lt;0,"SI","NO"),0)</f>
        <v>SI</v>
      </c>
      <c r="E26" s="243">
        <f t="shared" si="0"/>
        <v>5035804.9607381914</v>
      </c>
    </row>
    <row r="27" spans="1:5">
      <c r="A27" s="234" t="s">
        <v>22</v>
      </c>
      <c r="B27" s="237">
        <f>'Datos Mun'!AA26</f>
        <v>2579267.2849072521</v>
      </c>
      <c r="C27" s="232">
        <f>IF('Datos Mun'!B26="AMM",Descentralizados!$B$62*'Datos Mun'!AP26,Descentralizados!$B$63*'Datos Mun'!AP26)</f>
        <v>1183720.3461030449</v>
      </c>
      <c r="D27" s="232" t="str">
        <f>IF('Datos Mun'!C26="No AMM",IF(Descentralizados!C27-Descentralizados!B27&lt;0,"SI","NO"),0)</f>
        <v>SI</v>
      </c>
      <c r="E27" s="243">
        <f t="shared" si="0"/>
        <v>2579267.2849072521</v>
      </c>
    </row>
    <row r="28" spans="1:5">
      <c r="A28" s="234" t="s">
        <v>23</v>
      </c>
      <c r="B28" s="237">
        <f>'Datos Mun'!AA27</f>
        <v>4083989.3872715947</v>
      </c>
      <c r="C28" s="232">
        <f>IF('Datos Mun'!B27="AMM",Descentralizados!$B$62*'Datos Mun'!AP27,Descentralizados!$B$63*'Datos Mun'!AP27)</f>
        <v>3739865.0772774322</v>
      </c>
      <c r="D28" s="232" t="str">
        <f>IF('Datos Mun'!C27="No AMM",IF(Descentralizados!C28-Descentralizados!B28&lt;0,"SI","NO"),0)</f>
        <v>SI</v>
      </c>
      <c r="E28" s="243">
        <f t="shared" si="0"/>
        <v>4083989.3872715947</v>
      </c>
    </row>
    <row r="29" spans="1:5">
      <c r="A29" s="234" t="s">
        <v>24</v>
      </c>
      <c r="B29" s="237">
        <f>'Datos Mun'!AA28</f>
        <v>4282795.5586598059</v>
      </c>
      <c r="C29" s="232">
        <f>IF('Datos Mun'!B28="AMM",Descentralizados!$B$62*'Datos Mun'!AP28,Descentralizados!$B$63*'Datos Mun'!AP28)</f>
        <v>6197010.841679398</v>
      </c>
      <c r="D29" s="232" t="str">
        <f>IF('Datos Mun'!C28="No AMM",IF(Descentralizados!C29-Descentralizados!B29&lt;0,"SI","NO"),0)</f>
        <v>NO</v>
      </c>
      <c r="E29" s="243">
        <f t="shared" si="0"/>
        <v>6197010.841679398</v>
      </c>
    </row>
    <row r="30" spans="1:5">
      <c r="A30" s="234" t="s">
        <v>25</v>
      </c>
      <c r="B30" s="237">
        <f>'Datos Mun'!AA29</f>
        <v>23819745.92530071</v>
      </c>
      <c r="C30" s="232">
        <f>IF('Datos Mun'!B29="AMM",Descentralizados!$B$62*'Datos Mun'!AP29,Descentralizados!$B$63*'Datos Mun'!AP29)</f>
        <v>18428783.238128141</v>
      </c>
      <c r="D30" s="232">
        <f>IF('Datos Mun'!C29="No AMM",IF(Descentralizados!C30-Descentralizados!B30&lt;0,"SI","NO"),0)</f>
        <v>0</v>
      </c>
      <c r="E30" s="243">
        <f t="shared" si="0"/>
        <v>18428783.238128141</v>
      </c>
    </row>
    <row r="31" spans="1:5">
      <c r="A31" s="234" t="s">
        <v>26</v>
      </c>
      <c r="B31" s="237">
        <f>'Datos Mun'!AA30</f>
        <v>2416180.5729740933</v>
      </c>
      <c r="C31" s="232">
        <f>IF('Datos Mun'!B30="AMM",Descentralizados!$B$62*'Datos Mun'!AP30,Descentralizados!$B$63*'Datos Mun'!AP30)</f>
        <v>500778.60608112119</v>
      </c>
      <c r="D31" s="232" t="str">
        <f>IF('Datos Mun'!C30="No AMM",IF(Descentralizados!C31-Descentralizados!B31&lt;0,"SI","NO"),0)</f>
        <v>SI</v>
      </c>
      <c r="E31" s="243">
        <f t="shared" si="0"/>
        <v>2416180.5729740933</v>
      </c>
    </row>
    <row r="32" spans="1:5">
      <c r="A32" s="234" t="s">
        <v>27</v>
      </c>
      <c r="B32" s="237">
        <f>'Datos Mun'!AA31</f>
        <v>2523675.0481478898</v>
      </c>
      <c r="C32" s="232">
        <f>IF('Datos Mun'!B31="AMM",Descentralizados!$B$62*'Datos Mun'!AP31,Descentralizados!$B$63*'Datos Mun'!AP31)</f>
        <v>1107603.9602230885</v>
      </c>
      <c r="D32" s="232" t="str">
        <f>IF('Datos Mun'!C31="No AMM",IF(Descentralizados!C32-Descentralizados!B32&lt;0,"SI","NO"),0)</f>
        <v>SI</v>
      </c>
      <c r="E32" s="243">
        <f t="shared" si="0"/>
        <v>2523675.0481478898</v>
      </c>
    </row>
    <row r="33" spans="1:5">
      <c r="A33" s="234" t="s">
        <v>28</v>
      </c>
      <c r="B33" s="237">
        <f>'Datos Mun'!AA32</f>
        <v>2212342.7472197949</v>
      </c>
      <c r="C33" s="232">
        <f>IF('Datos Mun'!B32="AMM",Descentralizados!$B$62*'Datos Mun'!AP32,Descentralizados!$B$63*'Datos Mun'!AP32)</f>
        <v>487915.52792735101</v>
      </c>
      <c r="D33" s="232" t="str">
        <f>IF('Datos Mun'!C32="No AMM",IF(Descentralizados!C33-Descentralizados!B33&lt;0,"SI","NO"),0)</f>
        <v>SI</v>
      </c>
      <c r="E33" s="243">
        <f t="shared" si="0"/>
        <v>2212342.7472197949</v>
      </c>
    </row>
    <row r="34" spans="1:5">
      <c r="A34" s="234" t="s">
        <v>29</v>
      </c>
      <c r="B34" s="237">
        <f>'Datos Mun'!AA33</f>
        <v>1837459.503722325</v>
      </c>
      <c r="C34" s="232">
        <f>IF('Datos Mun'!B33="AMM",Descentralizados!$B$62*'Datos Mun'!AP33,Descentralizados!$B$63*'Datos Mun'!AP33)</f>
        <v>1196713.5415190684</v>
      </c>
      <c r="D34" s="232" t="str">
        <f>IF('Datos Mun'!C33="No AMM",IF(Descentralizados!C34-Descentralizados!B34&lt;0,"SI","NO"),0)</f>
        <v>SI</v>
      </c>
      <c r="E34" s="243">
        <f t="shared" si="0"/>
        <v>1837459.503722325</v>
      </c>
    </row>
    <row r="35" spans="1:5">
      <c r="A35" s="234" t="s">
        <v>30</v>
      </c>
      <c r="B35" s="237">
        <f>'Datos Mun'!AA34</f>
        <v>2140203.3870121036</v>
      </c>
      <c r="C35" s="232">
        <f>IF('Datos Mun'!B34="AMM",Descentralizados!$B$62*'Datos Mun'!AP34,Descentralizados!$B$63*'Datos Mun'!AP34)</f>
        <v>2683519.0271079303</v>
      </c>
      <c r="D35" s="232" t="str">
        <f>IF('Datos Mun'!C34="No AMM",IF(Descentralizados!C35-Descentralizados!B35&lt;0,"SI","NO"),0)</f>
        <v>NO</v>
      </c>
      <c r="E35" s="243">
        <f t="shared" si="0"/>
        <v>2683519.0271079303</v>
      </c>
    </row>
    <row r="36" spans="1:5">
      <c r="A36" s="234" t="s">
        <v>31</v>
      </c>
      <c r="B36" s="237">
        <f>'Datos Mun'!AA35</f>
        <v>7906757.7221003743</v>
      </c>
      <c r="C36" s="232">
        <f>IF('Datos Mun'!B35="AMM",Descentralizados!$B$62*'Datos Mun'!AP35,Descentralizados!$B$63*'Datos Mun'!AP35)</f>
        <v>9655454.7916736472</v>
      </c>
      <c r="D36" s="232">
        <f>IF('Datos Mun'!C35="No AMM",IF(Descentralizados!C36-Descentralizados!B36&lt;0,"SI","NO"),0)</f>
        <v>0</v>
      </c>
      <c r="E36" s="243">
        <f t="shared" si="0"/>
        <v>9655454.7916736472</v>
      </c>
    </row>
    <row r="37" spans="1:5">
      <c r="A37" s="234" t="s">
        <v>32</v>
      </c>
      <c r="B37" s="237">
        <f>'Datos Mun'!AA36</f>
        <v>4879372.4971958175</v>
      </c>
      <c r="C37" s="232">
        <f>IF('Datos Mun'!B36="AMM",Descentralizados!$B$62*'Datos Mun'!AP36,Descentralizados!$B$63*'Datos Mun'!AP36)</f>
        <v>2158325.062093135</v>
      </c>
      <c r="D37" s="232" t="str">
        <f>IF('Datos Mun'!C36="No AMM",IF(Descentralizados!C37-Descentralizados!B37&lt;0,"SI","NO"),0)</f>
        <v>SI</v>
      </c>
      <c r="E37" s="243">
        <f t="shared" si="0"/>
        <v>4879372.4971958175</v>
      </c>
    </row>
    <row r="38" spans="1:5">
      <c r="A38" s="234" t="s">
        <v>33</v>
      </c>
      <c r="B38" s="237">
        <f>'Datos Mun'!AA37</f>
        <v>14166911.141700404</v>
      </c>
      <c r="C38" s="232">
        <f>IF('Datos Mun'!B37="AMM",Descentralizados!$B$62*'Datos Mun'!AP37,Descentralizados!$B$63*'Datos Mun'!AP37)</f>
        <v>11437929.590327408</v>
      </c>
      <c r="D38" s="232" t="str">
        <f>IF('Datos Mun'!C37="No AMM",IF(Descentralizados!C38-Descentralizados!B38&lt;0,"SI","NO"),0)</f>
        <v>SI</v>
      </c>
      <c r="E38" s="243">
        <f t="shared" si="0"/>
        <v>14166911.141700404</v>
      </c>
    </row>
    <row r="39" spans="1:5">
      <c r="A39" s="234" t="s">
        <v>34</v>
      </c>
      <c r="B39" s="237">
        <f>'Datos Mun'!AA38</f>
        <v>3175363.8332095044</v>
      </c>
      <c r="C39" s="232">
        <f>IF('Datos Mun'!B38="AMM",Descentralizados!$B$62*'Datos Mun'!AP38,Descentralizados!$B$63*'Datos Mun'!AP38)</f>
        <v>1628822.8464184813</v>
      </c>
      <c r="D39" s="232" t="str">
        <f>IF('Datos Mun'!C38="No AMM",IF(Descentralizados!C39-Descentralizados!B39&lt;0,"SI","NO"),0)</f>
        <v>SI</v>
      </c>
      <c r="E39" s="243">
        <f t="shared" si="0"/>
        <v>3175363.8332095044</v>
      </c>
    </row>
    <row r="40" spans="1:5">
      <c r="A40" s="234" t="s">
        <v>35</v>
      </c>
      <c r="B40" s="237">
        <f>'Datos Mun'!AA39</f>
        <v>3099472.9188778722</v>
      </c>
      <c r="C40" s="232">
        <f>IF('Datos Mun'!B39="AMM",Descentralizados!$B$62*'Datos Mun'!AP39,Descentralizados!$B$63*'Datos Mun'!AP39)</f>
        <v>199555.43096801249</v>
      </c>
      <c r="D40" s="232" t="str">
        <f>IF('Datos Mun'!C39="No AMM",IF(Descentralizados!C40-Descentralizados!B40&lt;0,"SI","NO"),0)</f>
        <v>SI</v>
      </c>
      <c r="E40" s="243">
        <f t="shared" si="0"/>
        <v>3099472.9188778722</v>
      </c>
    </row>
    <row r="41" spans="1:5">
      <c r="A41" s="234" t="s">
        <v>36</v>
      </c>
      <c r="B41" s="237">
        <f>'Datos Mun'!AA40</f>
        <v>3016799.7840141212</v>
      </c>
      <c r="C41" s="232">
        <f>IF('Datos Mun'!B40="AMM",Descentralizados!$B$62*'Datos Mun'!AP40,Descentralizados!$B$63*'Datos Mun'!AP40)</f>
        <v>5000117.2633858407</v>
      </c>
      <c r="D41" s="232" t="str">
        <f>IF('Datos Mun'!C40="No AMM",IF(Descentralizados!C41-Descentralizados!B41&lt;0,"SI","NO"),0)</f>
        <v>NO</v>
      </c>
      <c r="E41" s="243">
        <f t="shared" si="0"/>
        <v>5000117.2633858407</v>
      </c>
    </row>
    <row r="42" spans="1:5">
      <c r="A42" s="234" t="s">
        <v>37</v>
      </c>
      <c r="B42" s="237">
        <f>'Datos Mun'!AA41</f>
        <v>3822980.5102342181</v>
      </c>
      <c r="C42" s="232">
        <f>IF('Datos Mun'!B41="AMM",Descentralizados!$B$62*'Datos Mun'!AP41,Descentralizados!$B$63*'Datos Mun'!AP41)</f>
        <v>3107608.4210293754</v>
      </c>
      <c r="D42" s="232" t="str">
        <f>IF('Datos Mun'!C41="No AMM",IF(Descentralizados!C42-Descentralizados!B42&lt;0,"SI","NO"),0)</f>
        <v>SI</v>
      </c>
      <c r="E42" s="243">
        <f t="shared" si="0"/>
        <v>3822980.5102342181</v>
      </c>
    </row>
    <row r="43" spans="1:5">
      <c r="A43" s="234" t="s">
        <v>38</v>
      </c>
      <c r="B43" s="237">
        <f>'Datos Mun'!AA42</f>
        <v>17905596.972663175</v>
      </c>
      <c r="C43" s="232">
        <f>IF('Datos Mun'!B42="AMM",Descentralizados!$B$62*'Datos Mun'!AP42,Descentralizados!$B$63*'Datos Mun'!AP42)</f>
        <v>8355818.0403444143</v>
      </c>
      <c r="D43" s="232" t="str">
        <f>IF('Datos Mun'!C42="No AMM",IF(Descentralizados!C43-Descentralizados!B43&lt;0,"SI","NO"),0)</f>
        <v>SI</v>
      </c>
      <c r="E43" s="243">
        <f t="shared" si="0"/>
        <v>17905596.972663175</v>
      </c>
    </row>
    <row r="44" spans="1:5">
      <c r="A44" s="234" t="s">
        <v>39</v>
      </c>
      <c r="B44" s="237">
        <f>'Datos Mun'!AA43</f>
        <v>78893922.891016111</v>
      </c>
      <c r="C44" s="232">
        <f>IF('Datos Mun'!B43="AMM",Descentralizados!$B$62*'Datos Mun'!AP43,Descentralizados!$B$63*'Datos Mun'!AP43)</f>
        <v>73407306.065263182</v>
      </c>
      <c r="D44" s="232">
        <f>IF('Datos Mun'!C43="No AMM",IF(Descentralizados!C44-Descentralizados!B44&lt;0,"SI","NO"),0)</f>
        <v>0</v>
      </c>
      <c r="E44" s="243">
        <f t="shared" si="0"/>
        <v>73407306.065263182</v>
      </c>
    </row>
    <row r="45" spans="1:5">
      <c r="A45" s="235" t="s">
        <v>40</v>
      </c>
      <c r="B45" s="238">
        <f>'Datos Mun'!AA44</f>
        <v>3555590.9659964349</v>
      </c>
      <c r="C45" s="232">
        <f>IF('Datos Mun'!B44="AMM",Descentralizados!$B$62*'Datos Mun'!AP44,Descentralizados!$B$63*'Datos Mun'!AP44)</f>
        <v>1886586.4887961685</v>
      </c>
      <c r="D45" s="232" t="str">
        <f>IF('Datos Mun'!C44="No AMM",IF(Descentralizados!C45-Descentralizados!B45&lt;0,"SI","NO"),0)</f>
        <v>SI</v>
      </c>
      <c r="E45" s="243">
        <f t="shared" si="0"/>
        <v>3555590.9659964349</v>
      </c>
    </row>
    <row r="46" spans="1:5">
      <c r="A46" s="235" t="s">
        <v>41</v>
      </c>
      <c r="B46" s="238">
        <f>'Datos Mun'!AA45</f>
        <v>5273138.6605691193</v>
      </c>
      <c r="C46" s="232">
        <f>IF('Datos Mun'!B45="AMM",Descentralizados!$B$62*'Datos Mun'!AP45,Descentralizados!$B$63*'Datos Mun'!AP45)</f>
        <v>6654194.8586852932</v>
      </c>
      <c r="D46" s="232" t="str">
        <f>IF('Datos Mun'!C45="No AMM",IF(Descentralizados!C46-Descentralizados!B46&lt;0,"SI","NO"),0)</f>
        <v>NO</v>
      </c>
      <c r="E46" s="243">
        <f t="shared" si="0"/>
        <v>6654194.8586852932</v>
      </c>
    </row>
    <row r="47" spans="1:5">
      <c r="A47" s="235" t="s">
        <v>42</v>
      </c>
      <c r="B47" s="238">
        <f>'Datos Mun'!AA46</f>
        <v>2047968.1782241778</v>
      </c>
      <c r="C47" s="232">
        <f>IF('Datos Mun'!B46="AMM",Descentralizados!$B$62*'Datos Mun'!AP46,Descentralizados!$B$63*'Datos Mun'!AP46)</f>
        <v>1837163.1945572437</v>
      </c>
      <c r="D47" s="232" t="str">
        <f>IF('Datos Mun'!C46="No AMM",IF(Descentralizados!C47-Descentralizados!B47&lt;0,"SI","NO"),0)</f>
        <v>SI</v>
      </c>
      <c r="E47" s="243">
        <f t="shared" si="0"/>
        <v>2047968.1782241778</v>
      </c>
    </row>
    <row r="48" spans="1:5">
      <c r="A48" s="235" t="s">
        <v>43</v>
      </c>
      <c r="B48" s="238">
        <f>'Datos Mun'!AA47</f>
        <v>2582856.5578415147</v>
      </c>
      <c r="C48" s="232">
        <f>IF('Datos Mun'!B47="AMM",Descentralizados!$B$62*'Datos Mun'!AP47,Descentralizados!$B$63*'Datos Mun'!AP47)</f>
        <v>1151471.6384913432</v>
      </c>
      <c r="D48" s="232" t="str">
        <f>IF('Datos Mun'!C47="No AMM",IF(Descentralizados!C48-Descentralizados!B48&lt;0,"SI","NO"),0)</f>
        <v>SI</v>
      </c>
      <c r="E48" s="243">
        <f t="shared" si="0"/>
        <v>2582856.5578415147</v>
      </c>
    </row>
    <row r="49" spans="1:8">
      <c r="A49" s="235" t="s">
        <v>44</v>
      </c>
      <c r="B49" s="238">
        <f>'Datos Mun'!AA48</f>
        <v>4652120.7671424625</v>
      </c>
      <c r="C49" s="232">
        <f>IF('Datos Mun'!B48="AMM",Descentralizados!$B$62*'Datos Mun'!AP48,Descentralizados!$B$63*'Datos Mun'!AP48)</f>
        <v>4297329.8969455399</v>
      </c>
      <c r="D49" s="232" t="str">
        <f>IF('Datos Mun'!C48="No AMM",IF(Descentralizados!C49-Descentralizados!B49&lt;0,"SI","NO"),0)</f>
        <v>SI</v>
      </c>
      <c r="E49" s="243">
        <f t="shared" si="0"/>
        <v>4652120.7671424625</v>
      </c>
    </row>
    <row r="50" spans="1:8">
      <c r="A50" s="235" t="s">
        <v>45</v>
      </c>
      <c r="B50" s="238">
        <f>'Datos Mun'!AA49</f>
        <v>2336031.8166838326</v>
      </c>
      <c r="C50" s="232">
        <f>IF('Datos Mun'!B49="AMM",Descentralizados!$B$62*'Datos Mun'!AP49,Descentralizados!$B$63*'Datos Mun'!AP49)</f>
        <v>2718461.4721724303</v>
      </c>
      <c r="D50" s="232" t="str">
        <f>IF('Datos Mun'!C49="No AMM",IF(Descentralizados!C50-Descentralizados!B50&lt;0,"SI","NO"),0)</f>
        <v>NO</v>
      </c>
      <c r="E50" s="243">
        <f t="shared" si="0"/>
        <v>2718461.4721724303</v>
      </c>
      <c r="G50" s="205"/>
      <c r="H50" s="205"/>
    </row>
    <row r="51" spans="1:8">
      <c r="A51" s="235" t="s">
        <v>46</v>
      </c>
      <c r="B51" s="238">
        <f>'Datos Mun'!AA50</f>
        <v>19632444.547531538</v>
      </c>
      <c r="C51" s="232">
        <f>IF('Datos Mun'!B50="AMM",Descentralizados!$B$62*'Datos Mun'!AP50,Descentralizados!$B$63*'Datos Mun'!AP50)</f>
        <v>19231800.56576702</v>
      </c>
      <c r="D51" s="232">
        <f>IF('Datos Mun'!C50="No AMM",IF(Descentralizados!C51-Descentralizados!B51&lt;0,"SI","NO"),0)</f>
        <v>0</v>
      </c>
      <c r="E51" s="243">
        <f t="shared" si="0"/>
        <v>19231800.56576702</v>
      </c>
    </row>
    <row r="52" spans="1:8">
      <c r="A52" s="235" t="s">
        <v>47</v>
      </c>
      <c r="B52" s="238">
        <f>'Datos Mun'!AA51</f>
        <v>42764449.302244864</v>
      </c>
      <c r="C52" s="232">
        <f>IF('Datos Mun'!B51="AMM",Descentralizados!$B$62*'Datos Mun'!AP51,Descentralizados!$B$63*'Datos Mun'!AP51)</f>
        <v>37402302.985759228</v>
      </c>
      <c r="D52" s="232">
        <f>IF('Datos Mun'!C51="No AMM",IF(Descentralizados!C52-Descentralizados!B52&lt;0,"SI","NO"),0)</f>
        <v>0</v>
      </c>
      <c r="E52" s="243">
        <f t="shared" si="0"/>
        <v>37402302.985759228</v>
      </c>
    </row>
    <row r="53" spans="1:8">
      <c r="A53" s="235" t="s">
        <v>48</v>
      </c>
      <c r="B53" s="238">
        <f>'Datos Mun'!AA52</f>
        <v>10475655.416298293</v>
      </c>
      <c r="C53" s="232">
        <f>IF('Datos Mun'!B52="AMM",Descentralizados!$B$62*'Datos Mun'!AP52,Descentralizados!$B$63*'Datos Mun'!AP52)</f>
        <v>9826667.5210344512</v>
      </c>
      <c r="D53" s="232">
        <f>IF('Datos Mun'!C52="No AMM",IF(Descentralizados!C53-Descentralizados!B53&lt;0,"SI","NO"),0)</f>
        <v>0</v>
      </c>
      <c r="E53" s="243">
        <f t="shared" si="0"/>
        <v>9826667.5210344512</v>
      </c>
    </row>
    <row r="54" spans="1:8">
      <c r="A54" s="235" t="s">
        <v>49</v>
      </c>
      <c r="B54" s="238">
        <f>'Datos Mun'!AA53</f>
        <v>4180345.0020391755</v>
      </c>
      <c r="C54" s="232">
        <f>IF('Datos Mun'!B53="AMM",Descentralizados!$B$62*'Datos Mun'!AP53,Descentralizados!$B$63*'Datos Mun'!AP53)</f>
        <v>5115733.9428988779</v>
      </c>
      <c r="D54" s="232" t="str">
        <f>IF('Datos Mun'!C53="No AMM",IF(Descentralizados!C54-Descentralizados!B54&lt;0,"SI","NO"),0)</f>
        <v>NO</v>
      </c>
      <c r="E54" s="243">
        <f t="shared" si="0"/>
        <v>5115733.9428988779</v>
      </c>
    </row>
    <row r="55" spans="1:8">
      <c r="A55" s="235" t="s">
        <v>50</v>
      </c>
      <c r="B55" s="238">
        <f>'Datos Mun'!AA54</f>
        <v>1539148.4831484745</v>
      </c>
      <c r="C55" s="232">
        <f>IF('Datos Mun'!B54="AMM",Descentralizados!$B$62*'Datos Mun'!AP54,Descentralizados!$B$63*'Datos Mun'!AP54)</f>
        <v>2684323.4884244129</v>
      </c>
      <c r="D55" s="232" t="str">
        <f>IF('Datos Mun'!C54="No AMM",IF(Descentralizados!C55-Descentralizados!B55&lt;0,"SI","NO"),0)</f>
        <v>NO</v>
      </c>
      <c r="E55" s="243">
        <f t="shared" si="0"/>
        <v>2684323.4884244129</v>
      </c>
    </row>
    <row r="56" spans="1:8">
      <c r="A56" s="235" t="s">
        <v>51</v>
      </c>
      <c r="B56" s="239">
        <f>'Datos Mun'!AA55</f>
        <v>3547664.3080507987</v>
      </c>
      <c r="C56" s="232">
        <f>IF('Datos Mun'!B55="AMM",Descentralizados!$B$62*'Datos Mun'!AP55,Descentralizados!$B$63*'Datos Mun'!AP55)</f>
        <v>1631001.9007114307</v>
      </c>
      <c r="D56" s="232" t="str">
        <f>IF('Datos Mun'!C55="No AMM",IF(Descentralizados!C56-Descentralizados!B56&lt;0,"SI","NO"),0)</f>
        <v>SI</v>
      </c>
      <c r="E56" s="243">
        <f t="shared" si="0"/>
        <v>3547664.3080507987</v>
      </c>
    </row>
    <row r="57" spans="1:8" ht="13.8" thickBot="1">
      <c r="A57" s="204" t="s">
        <v>52</v>
      </c>
      <c r="B57" s="240">
        <f>SUM(B6:B56)</f>
        <v>423610039.11140221</v>
      </c>
      <c r="C57" s="244">
        <f>SUM(C6:C56)</f>
        <v>367143657</v>
      </c>
      <c r="D57" s="245"/>
      <c r="E57" s="246">
        <f>SUM(E6:E56)</f>
        <v>420574290.36722392</v>
      </c>
      <c r="F57" s="284">
        <f>E57/12</f>
        <v>35047857.530601993</v>
      </c>
    </row>
    <row r="58" spans="1:8" ht="13.8" thickBot="1"/>
    <row r="59" spans="1:8" ht="13.8" thickBot="1">
      <c r="A59" s="205"/>
      <c r="B59" s="209" t="s">
        <v>97</v>
      </c>
    </row>
    <row r="60" spans="1:8">
      <c r="A60" s="316" t="s">
        <v>158</v>
      </c>
      <c r="B60" s="318">
        <f>'Participación 2021'!B45:C45</f>
        <v>367143657</v>
      </c>
    </row>
    <row r="61" spans="1:8">
      <c r="A61" s="317"/>
      <c r="B61" s="319"/>
    </row>
    <row r="62" spans="1:8">
      <c r="A62" s="207" t="s">
        <v>164</v>
      </c>
      <c r="B62" s="215">
        <f>B60*0.6</f>
        <v>220286194.19999999</v>
      </c>
    </row>
    <row r="63" spans="1:8">
      <c r="A63" s="207" t="s">
        <v>165</v>
      </c>
      <c r="B63" s="215">
        <f>B60*0.4</f>
        <v>146857462.80000001</v>
      </c>
    </row>
    <row r="64" spans="1:8" ht="13.8" thickBot="1">
      <c r="A64" s="208" t="s">
        <v>166</v>
      </c>
      <c r="B64" s="216">
        <f>E57-B60</f>
        <v>53430633.367223918</v>
      </c>
    </row>
  </sheetData>
  <mergeCells count="5">
    <mergeCell ref="A60:A61"/>
    <mergeCell ref="B60:B61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8" sqref="B8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20" t="s">
        <v>95</v>
      </c>
      <c r="B1" s="320"/>
      <c r="C1" s="320"/>
      <c r="D1" s="320"/>
      <c r="E1" s="320"/>
    </row>
    <row r="2" spans="1:8">
      <c r="A2" s="320" t="s">
        <v>96</v>
      </c>
      <c r="B2" s="320"/>
      <c r="C2" s="320"/>
      <c r="D2" s="320"/>
      <c r="E2" s="320"/>
    </row>
    <row r="3" spans="1:8">
      <c r="A3" s="321" t="s">
        <v>184</v>
      </c>
      <c r="B3" s="321"/>
      <c r="C3" s="321"/>
      <c r="D3" s="321"/>
      <c r="E3" s="321"/>
    </row>
    <row r="4" spans="1:8" ht="13.8" thickBot="1"/>
    <row r="5" spans="1:8" ht="26.4">
      <c r="A5" s="202" t="s">
        <v>0</v>
      </c>
      <c r="B5" s="212" t="s">
        <v>171</v>
      </c>
      <c r="C5" s="210" t="s">
        <v>172</v>
      </c>
      <c r="D5" s="213" t="s">
        <v>157</v>
      </c>
      <c r="E5" s="211"/>
    </row>
    <row r="6" spans="1:8">
      <c r="A6" s="203" t="s">
        <v>6</v>
      </c>
      <c r="B6" s="247">
        <f>$B$23</f>
        <v>469255.53526430979</v>
      </c>
      <c r="C6" s="248">
        <f>$B$24*VLOOKUP(A6,'Datos Mun'!$A$5:$AQ$55,41)</f>
        <v>781236.71924316848</v>
      </c>
      <c r="D6" s="249">
        <f>$B$25*VLOOKUP(A6,'Datos Mun'!$A$5:$AQ$55,43)</f>
        <v>933407.17758087034</v>
      </c>
      <c r="E6" s="217">
        <f>SUM(B6:D6)</f>
        <v>2183899.4320883485</v>
      </c>
    </row>
    <row r="7" spans="1:8">
      <c r="A7" s="203" t="s">
        <v>9</v>
      </c>
      <c r="B7" s="250">
        <f t="shared" ref="B7:B17" si="0">$B$23</f>
        <v>469255.53526430979</v>
      </c>
      <c r="C7" s="251">
        <f>$B$24*VLOOKUP(A7,'Datos Mun'!$A$5:$AQ$55,41)</f>
        <v>145589.33394984569</v>
      </c>
      <c r="D7" s="252">
        <f>$B$25*VLOOKUP(A7,'Datos Mun'!$A$5:$AQ$55,43)</f>
        <v>158557.50274452925</v>
      </c>
      <c r="E7" s="218">
        <f t="shared" ref="E7:E17" si="1">SUM(B7:D7)</f>
        <v>773402.37195868476</v>
      </c>
    </row>
    <row r="8" spans="1:8">
      <c r="A8" s="203" t="s">
        <v>10</v>
      </c>
      <c r="B8" s="250">
        <f t="shared" si="0"/>
        <v>469255.53526430979</v>
      </c>
      <c r="C8" s="251">
        <f>$B$24*VLOOKUP(A8,'Datos Mun'!$A$5:$AQ$55,41)</f>
        <v>124335.91172263483</v>
      </c>
      <c r="D8" s="252">
        <f>$B$25*VLOOKUP(A8,'Datos Mun'!$A$5:$AQ$55,43)</f>
        <v>83197.886414135297</v>
      </c>
      <c r="E8" s="218">
        <f t="shared" si="1"/>
        <v>676789.33340107999</v>
      </c>
    </row>
    <row r="9" spans="1:8">
      <c r="A9" s="203" t="s">
        <v>13</v>
      </c>
      <c r="B9" s="250">
        <f t="shared" si="0"/>
        <v>469255.53526430979</v>
      </c>
      <c r="C9" s="251">
        <f>$B$24*VLOOKUP(A9,'Datos Mun'!$A$5:$AQ$55,41)</f>
        <v>81813.596385803496</v>
      </c>
      <c r="D9" s="252">
        <f>$B$25*VLOOKUP(A9,'Datos Mun'!$A$5:$AQ$55,43)</f>
        <v>65751.944688862815</v>
      </c>
      <c r="E9" s="218">
        <f t="shared" si="1"/>
        <v>616821.07633897604</v>
      </c>
    </row>
    <row r="10" spans="1:8">
      <c r="A10" s="203" t="s">
        <v>18</v>
      </c>
      <c r="B10" s="250">
        <f t="shared" si="0"/>
        <v>469255.53526430979</v>
      </c>
      <c r="C10" s="251">
        <f>$B$24*VLOOKUP(A10,'Datos Mun'!$A$5:$AQ$55,41)</f>
        <v>472700.91134773992</v>
      </c>
      <c r="D10" s="252">
        <f>$B$25*VLOOKUP(A10,'Datos Mun'!$A$5:$AQ$55,43)</f>
        <v>362084.42639176513</v>
      </c>
      <c r="E10" s="218">
        <f t="shared" si="1"/>
        <v>1304040.8730038148</v>
      </c>
    </row>
    <row r="11" spans="1:8">
      <c r="A11" s="203" t="s">
        <v>20</v>
      </c>
      <c r="B11" s="250">
        <f t="shared" si="0"/>
        <v>469255.53526430979</v>
      </c>
      <c r="C11" s="251">
        <f>$B$24*VLOOKUP(A11,'Datos Mun'!$A$5:$AQ$55,41)</f>
        <v>572676.13361458189</v>
      </c>
      <c r="D11" s="252">
        <f>$B$25*VLOOKUP(A11,'Datos Mun'!$A$5:$AQ$55,43)</f>
        <v>517170.52979324007</v>
      </c>
      <c r="E11" s="218">
        <f t="shared" si="1"/>
        <v>1559102.1986721319</v>
      </c>
      <c r="G11" s="205"/>
      <c r="H11" s="205"/>
    </row>
    <row r="12" spans="1:8">
      <c r="A12" s="203" t="s">
        <v>24</v>
      </c>
      <c r="B12" s="250">
        <f t="shared" si="0"/>
        <v>469255.53526430979</v>
      </c>
      <c r="C12" s="251">
        <f>$B$24*VLOOKUP(A12,'Datos Mun'!$A$5:$AQ$55,41)</f>
        <v>121564.24363555414</v>
      </c>
      <c r="D12" s="252">
        <f>$B$25*VLOOKUP(A12,'Datos Mun'!$A$5:$AQ$55,43)</f>
        <v>110913.87899973759</v>
      </c>
      <c r="E12" s="218">
        <f t="shared" si="1"/>
        <v>701733.6578996015</v>
      </c>
    </row>
    <row r="13" spans="1:8">
      <c r="A13" s="203" t="s">
        <v>31</v>
      </c>
      <c r="B13" s="250">
        <f t="shared" si="0"/>
        <v>469255.53526430979</v>
      </c>
      <c r="C13" s="251">
        <f>$B$24*VLOOKUP(A13,'Datos Mun'!$A$5:$AQ$55,41)</f>
        <v>561144.37588001252</v>
      </c>
      <c r="D13" s="252">
        <f>$B$25*VLOOKUP(A13,'Datos Mun'!$A$5:$AQ$55,43)</f>
        <v>427711.40236567607</v>
      </c>
      <c r="E13" s="218">
        <f t="shared" si="1"/>
        <v>1458111.3135099984</v>
      </c>
    </row>
    <row r="14" spans="1:8">
      <c r="A14" s="203" t="s">
        <v>41</v>
      </c>
      <c r="B14" s="250">
        <f t="shared" si="0"/>
        <v>469255.53526430979</v>
      </c>
      <c r="C14" s="251">
        <f>$B$24*VLOOKUP(A14,'Datos Mun'!$A$5:$AQ$55,41)</f>
        <v>175682.58037234866</v>
      </c>
      <c r="D14" s="252">
        <f>$B$25*VLOOKUP(A14,'Datos Mun'!$A$5:$AQ$55,43)</f>
        <v>119096.54222855711</v>
      </c>
      <c r="E14" s="218">
        <f t="shared" si="1"/>
        <v>764034.65786521556</v>
      </c>
    </row>
    <row r="15" spans="1:8">
      <c r="A15" s="203" t="s">
        <v>45</v>
      </c>
      <c r="B15" s="250">
        <f t="shared" si="0"/>
        <v>469255.53526430979</v>
      </c>
      <c r="C15" s="251">
        <f>$B$24*VLOOKUP(A15,'Datos Mun'!$A$5:$AQ$55,41)</f>
        <v>103257.42947344067</v>
      </c>
      <c r="D15" s="252">
        <f>$B$25*VLOOKUP(A15,'Datos Mun'!$A$5:$AQ$55,43)</f>
        <v>120420.7355973119</v>
      </c>
      <c r="E15" s="218">
        <f t="shared" si="1"/>
        <v>692933.70033506234</v>
      </c>
    </row>
    <row r="16" spans="1:8">
      <c r="A16" s="203" t="s">
        <v>48</v>
      </c>
      <c r="B16" s="250">
        <f t="shared" si="0"/>
        <v>469255.53526430979</v>
      </c>
      <c r="C16" s="251">
        <f>$B$24*VLOOKUP(A16,'Datos Mun'!$A$5:$AQ$55,41)</f>
        <v>364543.97242195439</v>
      </c>
      <c r="D16" s="252">
        <f>$B$25*VLOOKUP(A16,'Datos Mun'!$A$5:$AQ$55,43)</f>
        <v>435295.67862793093</v>
      </c>
      <c r="E16" s="218">
        <f t="shared" si="1"/>
        <v>1269095.1863141949</v>
      </c>
    </row>
    <row r="17" spans="1:5">
      <c r="A17" s="203" t="s">
        <v>49</v>
      </c>
      <c r="B17" s="253">
        <f t="shared" si="0"/>
        <v>469255.53526430979</v>
      </c>
      <c r="C17" s="254">
        <f>$B$24*VLOOKUP(A17,'Datos Mun'!$A$5:$AQ$55,41)</f>
        <v>55676.135588657402</v>
      </c>
      <c r="D17" s="255">
        <f>$B$25*VLOOKUP(A17,'Datos Mun'!$A$5:$AQ$55,43)</f>
        <v>226613.63820312574</v>
      </c>
      <c r="E17" s="219">
        <f t="shared" si="1"/>
        <v>751545.30905609298</v>
      </c>
    </row>
    <row r="18" spans="1:5" ht="13.8" thickBot="1">
      <c r="A18" s="204" t="s">
        <v>52</v>
      </c>
      <c r="B18" s="256">
        <f>SUM(B6:B17)</f>
        <v>5631066.4231717167</v>
      </c>
      <c r="C18" s="257">
        <f>SUM(C6:C17)</f>
        <v>3560221.3436357426</v>
      </c>
      <c r="D18" s="258">
        <f>SUM(D6:D17)</f>
        <v>3560221.343635743</v>
      </c>
      <c r="E18" s="220">
        <f>SUM(E6:E17)</f>
        <v>12751509.110443201</v>
      </c>
    </row>
    <row r="19" spans="1:5" ht="13.8" thickBot="1"/>
    <row r="20" spans="1:5" ht="13.8" thickBot="1">
      <c r="A20" s="205"/>
      <c r="B20" s="209" t="s">
        <v>97</v>
      </c>
    </row>
    <row r="21" spans="1:5">
      <c r="A21" s="316" t="s">
        <v>158</v>
      </c>
      <c r="B21" s="318">
        <f>'Participación 2021 Mes'!$B$36</f>
        <v>12751509.110443201</v>
      </c>
    </row>
    <row r="22" spans="1:5">
      <c r="A22" s="317"/>
      <c r="B22" s="319"/>
    </row>
    <row r="23" spans="1:5">
      <c r="A23" s="206" t="s">
        <v>170</v>
      </c>
      <c r="B23" s="214">
        <f>B21*3.68%</f>
        <v>469255.53526430979</v>
      </c>
    </row>
    <row r="24" spans="1:5">
      <c r="A24" s="207" t="s">
        <v>156</v>
      </c>
      <c r="B24" s="215">
        <f>($B$21-$B$18)*0.5</f>
        <v>3560221.3436357421</v>
      </c>
    </row>
    <row r="25" spans="1:5" ht="13.8" thickBot="1">
      <c r="A25" s="208" t="s">
        <v>157</v>
      </c>
      <c r="B25" s="216">
        <f>($B$21-$B$18)*0.5</f>
        <v>3560221.3436357421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40" workbookViewId="0">
      <selection activeCell="C38" sqref="C38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70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20" t="s">
        <v>95</v>
      </c>
      <c r="B1" s="320"/>
      <c r="C1" s="320"/>
      <c r="D1" s="320"/>
      <c r="E1" s="165"/>
      <c r="F1" s="165"/>
      <c r="G1" s="165"/>
    </row>
    <row r="2" spans="1:7">
      <c r="A2" s="320" t="s">
        <v>96</v>
      </c>
      <c r="B2" s="320"/>
      <c r="C2" s="320"/>
      <c r="D2" s="320"/>
      <c r="E2" s="165"/>
      <c r="F2" s="165"/>
      <c r="G2" s="165"/>
    </row>
    <row r="3" spans="1:7" ht="28.5" customHeight="1">
      <c r="A3" s="321" t="s">
        <v>185</v>
      </c>
      <c r="B3" s="321"/>
      <c r="C3" s="321"/>
      <c r="D3" s="321"/>
      <c r="E3" s="165"/>
      <c r="F3" s="165"/>
      <c r="G3" s="165"/>
    </row>
    <row r="4" spans="1:7">
      <c r="A4" s="323"/>
      <c r="B4" s="323"/>
      <c r="C4" s="323"/>
      <c r="D4" s="323"/>
    </row>
    <row r="5" spans="1:7" ht="24.6">
      <c r="A5" s="70" t="s">
        <v>148</v>
      </c>
      <c r="B5" s="324">
        <f>'Participación 2021'!B30</f>
        <v>453818564.61705929</v>
      </c>
      <c r="C5" s="324"/>
      <c r="D5" s="166"/>
    </row>
    <row r="6" spans="1:7" ht="18" thickBot="1">
      <c r="B6" s="322"/>
      <c r="C6" s="322"/>
      <c r="D6" s="167"/>
    </row>
    <row r="7" spans="1:7" ht="27" thickBot="1">
      <c r="A7" s="168" t="s">
        <v>0</v>
      </c>
      <c r="B7" s="168" t="s">
        <v>149</v>
      </c>
      <c r="C7" s="168" t="s">
        <v>150</v>
      </c>
      <c r="D7" s="169" t="s">
        <v>151</v>
      </c>
    </row>
    <row r="9" spans="1:7">
      <c r="A9" s="70" t="s">
        <v>139</v>
      </c>
      <c r="B9" s="70">
        <f>'Participación 2021 Mes'!$B$31*0.6</f>
        <v>21677565.487753436</v>
      </c>
    </row>
    <row r="10" spans="1:7">
      <c r="A10" s="70" t="s">
        <v>152</v>
      </c>
      <c r="B10" s="70">
        <f>B9*2.56%</f>
        <v>554945.67648648797</v>
      </c>
    </row>
    <row r="11" spans="1:7">
      <c r="A11" s="70" t="s">
        <v>153</v>
      </c>
      <c r="B11" s="70">
        <f>B9-B25</f>
        <v>15018217.369915579</v>
      </c>
    </row>
    <row r="12" spans="1:7" ht="13.8" thickBot="1"/>
    <row r="13" spans="1:7" ht="13.8" thickTop="1">
      <c r="A13" s="171" t="s">
        <v>6</v>
      </c>
      <c r="B13" s="172">
        <f t="shared" ref="B13:B23" si="0">$B$10</f>
        <v>554945.67648648797</v>
      </c>
      <c r="C13" s="173">
        <f>$B$11*VLOOKUP(A13,'Datos Mun'!$A$5:$AQ$55,42,FALSE)</f>
        <v>1436561.2537550691</v>
      </c>
      <c r="D13" s="174">
        <f>ROUND(B13+C13,2)</f>
        <v>1991506.93</v>
      </c>
    </row>
    <row r="14" spans="1:7">
      <c r="A14" s="175" t="s">
        <v>9</v>
      </c>
      <c r="B14" s="176">
        <f t="shared" si="0"/>
        <v>554945.67648648797</v>
      </c>
      <c r="C14" s="177">
        <f>$B$11*VLOOKUP(A14,'Datos Mun'!$A$5:$AQ$55,42,FALSE)</f>
        <v>244028.08378363802</v>
      </c>
      <c r="D14" s="178">
        <f t="shared" ref="D14:D24" si="1">ROUND(B14+C14,2)</f>
        <v>798973.76</v>
      </c>
    </row>
    <row r="15" spans="1:7">
      <c r="A15" s="175" t="s">
        <v>18</v>
      </c>
      <c r="B15" s="176">
        <f t="shared" si="0"/>
        <v>554945.67648648797</v>
      </c>
      <c r="C15" s="177">
        <f>$B$11*VLOOKUP(A15,'Datos Mun'!$A$5:$AQ$55,42,FALSE)</f>
        <v>557266.39995488233</v>
      </c>
      <c r="D15" s="178">
        <f t="shared" si="1"/>
        <v>1112212.08</v>
      </c>
    </row>
    <row r="16" spans="1:7">
      <c r="A16" s="175" t="s">
        <v>20</v>
      </c>
      <c r="B16" s="176">
        <f t="shared" si="0"/>
        <v>554945.67648648797</v>
      </c>
      <c r="C16" s="177">
        <f>$B$11*VLOOKUP(A16,'Datos Mun'!$A$5:$AQ$55,42,FALSE)</f>
        <v>795951.82309446216</v>
      </c>
      <c r="D16" s="178">
        <f t="shared" si="1"/>
        <v>1350897.5</v>
      </c>
    </row>
    <row r="17" spans="1:4">
      <c r="A17" s="175" t="s">
        <v>25</v>
      </c>
      <c r="B17" s="176">
        <f t="shared" si="0"/>
        <v>554945.67648648797</v>
      </c>
      <c r="C17" s="177">
        <f>$B$11*VLOOKUP(A17,'Datos Mun'!$A$5:$AQ$55,42,FALSE)</f>
        <v>1256399.5376032742</v>
      </c>
      <c r="D17" s="178">
        <f t="shared" si="1"/>
        <v>1811345.21</v>
      </c>
    </row>
    <row r="18" spans="1:4">
      <c r="A18" s="175" t="s">
        <v>31</v>
      </c>
      <c r="B18" s="176">
        <f t="shared" si="0"/>
        <v>554945.67648648797</v>
      </c>
      <c r="C18" s="177">
        <f>$B$11*VLOOKUP(A18,'Datos Mun'!$A$5:$AQ$55,42,FALSE)</f>
        <v>658269.66321409075</v>
      </c>
      <c r="D18" s="178">
        <f t="shared" si="1"/>
        <v>1213215.3400000001</v>
      </c>
    </row>
    <row r="19" spans="1:4">
      <c r="A19" s="175" t="s">
        <v>39</v>
      </c>
      <c r="B19" s="176">
        <f t="shared" si="0"/>
        <v>554945.67648648797</v>
      </c>
      <c r="C19" s="177">
        <f>$B$11*VLOOKUP(A19,'Datos Mun'!$A$5:$AQ$55,42,FALSE)</f>
        <v>5004611.7643991914</v>
      </c>
      <c r="D19" s="178">
        <f t="shared" si="1"/>
        <v>5559557.4400000004</v>
      </c>
    </row>
    <row r="20" spans="1:4">
      <c r="A20" s="175" t="s">
        <v>45</v>
      </c>
      <c r="B20" s="176">
        <f t="shared" si="0"/>
        <v>554945.67648648797</v>
      </c>
      <c r="C20" s="177">
        <f>$B$11*VLOOKUP(A20,'Datos Mun'!$A$5:$AQ$55,42,FALSE)</f>
        <v>185333.65401809764</v>
      </c>
      <c r="D20" s="178">
        <f t="shared" si="1"/>
        <v>740279.33</v>
      </c>
    </row>
    <row r="21" spans="1:4">
      <c r="A21" s="175" t="s">
        <v>46</v>
      </c>
      <c r="B21" s="176">
        <f t="shared" si="0"/>
        <v>554945.67648648797</v>
      </c>
      <c r="C21" s="177">
        <f>$B$11*VLOOKUP(A21,'Datos Mun'!$A$5:$AQ$55,42,FALSE)</f>
        <v>1311145.995147228</v>
      </c>
      <c r="D21" s="178">
        <f t="shared" si="1"/>
        <v>1866091.67</v>
      </c>
    </row>
    <row r="22" spans="1:4">
      <c r="A22" s="175" t="s">
        <v>47</v>
      </c>
      <c r="B22" s="176">
        <f t="shared" si="0"/>
        <v>554945.67648648797</v>
      </c>
      <c r="C22" s="177">
        <f>$B$11*VLOOKUP(A22,'Datos Mun'!$A$5:$AQ$55,42,FALSE)</f>
        <v>2549936.9963493361</v>
      </c>
      <c r="D22" s="178">
        <f t="shared" si="1"/>
        <v>3104882.67</v>
      </c>
    </row>
    <row r="23" spans="1:4">
      <c r="A23" s="175" t="s">
        <v>48</v>
      </c>
      <c r="B23" s="176">
        <f t="shared" si="0"/>
        <v>554945.67648648797</v>
      </c>
      <c r="C23" s="177">
        <f>$B$11*VLOOKUP(A23,'Datos Mun'!$A$5:$AQ$55,42,FALSE)</f>
        <v>669942.25120978954</v>
      </c>
      <c r="D23" s="178">
        <f t="shared" si="1"/>
        <v>1224887.93</v>
      </c>
    </row>
    <row r="24" spans="1:4">
      <c r="A24" s="175" t="s">
        <v>49</v>
      </c>
      <c r="B24" s="176">
        <f>$B$10</f>
        <v>554945.67648648797</v>
      </c>
      <c r="C24" s="177">
        <f>$B$11*VLOOKUP(A24,'Datos Mun'!$A$5:$AQ$55,42,FALSE)</f>
        <v>348769.94738651958</v>
      </c>
      <c r="D24" s="178">
        <f t="shared" si="1"/>
        <v>903715.62</v>
      </c>
    </row>
    <row r="25" spans="1:4" ht="13.8" thickBot="1">
      <c r="A25" s="179" t="s">
        <v>140</v>
      </c>
      <c r="B25" s="180">
        <f>SUM(B13:B24)</f>
        <v>6659348.1178378575</v>
      </c>
      <c r="C25" s="181">
        <f>SUM(C13:C24)</f>
        <v>15018217.36991558</v>
      </c>
      <c r="D25" s="182">
        <f>SUM(D13:D24)</f>
        <v>21677565.48</v>
      </c>
    </row>
    <row r="26" spans="1:4" ht="13.8" thickTop="1">
      <c r="A26" s="183"/>
      <c r="B26" s="184"/>
      <c r="C26" s="185"/>
      <c r="D26" s="186"/>
    </row>
    <row r="27" spans="1:4">
      <c r="A27" s="187" t="s">
        <v>141</v>
      </c>
      <c r="B27" s="188">
        <f>'Participación 2021 Mes'!$B$31*0.4</f>
        <v>14451710.32516896</v>
      </c>
      <c r="C27" s="189"/>
      <c r="D27" s="190"/>
    </row>
    <row r="28" spans="1:4">
      <c r="A28" s="187" t="s">
        <v>154</v>
      </c>
      <c r="B28" s="188">
        <f>B27*1.28%</f>
        <v>184981.89216216269</v>
      </c>
      <c r="C28" s="189"/>
      <c r="D28" s="190"/>
    </row>
    <row r="29" spans="1:4">
      <c r="A29" s="187" t="s">
        <v>153</v>
      </c>
      <c r="B29" s="187">
        <f>B27-B70</f>
        <v>7237416.5308446111</v>
      </c>
      <c r="C29" s="189"/>
      <c r="D29" s="190"/>
    </row>
    <row r="30" spans="1:4" ht="13.5" customHeight="1" thickBot="1">
      <c r="A30" s="191"/>
      <c r="B30" s="192"/>
      <c r="C30" s="193"/>
      <c r="D30" s="194"/>
    </row>
    <row r="31" spans="1:4" ht="13.8" thickTop="1">
      <c r="A31" s="171" t="s">
        <v>1</v>
      </c>
      <c r="B31" s="172">
        <f>$B$28</f>
        <v>184981.89216216269</v>
      </c>
      <c r="C31" s="173">
        <f>$B$29*VLOOKUP(A31,'Datos Mun'!$A$5:$AQ$55,42,FALSE)</f>
        <v>87231.098184603004</v>
      </c>
      <c r="D31" s="174">
        <f>ROUND(B31+C31,2)</f>
        <v>272212.99</v>
      </c>
    </row>
    <row r="32" spans="1:4">
      <c r="A32" s="175" t="s">
        <v>2</v>
      </c>
      <c r="B32" s="176">
        <f t="shared" ref="B32:B69" si="2">$B$28</f>
        <v>184981.89216216269</v>
      </c>
      <c r="C32" s="177">
        <f>$B$29*VLOOKUP(A32,'Datos Mun'!$A$5:$AQ$55,42,FALSE)</f>
        <v>46291.577515714242</v>
      </c>
      <c r="D32" s="178">
        <f t="shared" ref="D32:D69" si="3">ROUND(B32+C32,2)</f>
        <v>231273.47</v>
      </c>
    </row>
    <row r="33" spans="1:4">
      <c r="A33" s="175" t="s">
        <v>3</v>
      </c>
      <c r="B33" s="176">
        <f t="shared" si="2"/>
        <v>184981.89216216269</v>
      </c>
      <c r="C33" s="177">
        <f>$B$29*VLOOKUP(A33,'Datos Mun'!$A$5:$AQ$55,42,FALSE)</f>
        <v>114951.39610942236</v>
      </c>
      <c r="D33" s="178">
        <f t="shared" si="3"/>
        <v>299933.28999999998</v>
      </c>
    </row>
    <row r="34" spans="1:4">
      <c r="A34" s="175" t="s">
        <v>4</v>
      </c>
      <c r="B34" s="176">
        <f t="shared" si="2"/>
        <v>184981.89216216269</v>
      </c>
      <c r="C34" s="177">
        <f>$B$29*VLOOKUP(A34,'Datos Mun'!$A$5:$AQ$55,42,FALSE)</f>
        <v>295123.08039040712</v>
      </c>
      <c r="D34" s="178">
        <f t="shared" si="3"/>
        <v>480104.97</v>
      </c>
    </row>
    <row r="35" spans="1:4">
      <c r="A35" s="175" t="s">
        <v>5</v>
      </c>
      <c r="B35" s="176">
        <f t="shared" si="2"/>
        <v>184981.89216216269</v>
      </c>
      <c r="C35" s="177">
        <f>$B$29*VLOOKUP(A35,'Datos Mun'!$A$5:$AQ$55,42,FALSE)</f>
        <v>249223.16972465205</v>
      </c>
      <c r="D35" s="178">
        <f t="shared" si="3"/>
        <v>434205.06</v>
      </c>
    </row>
    <row r="36" spans="1:4">
      <c r="A36" s="175" t="s">
        <v>7</v>
      </c>
      <c r="B36" s="176">
        <f t="shared" si="2"/>
        <v>184981.89216216269</v>
      </c>
      <c r="C36" s="177">
        <f>$B$29*VLOOKUP(A36,'Datos Mun'!$A$5:$AQ$55,42,FALSE)</f>
        <v>333217.36717571673</v>
      </c>
      <c r="D36" s="178">
        <f t="shared" si="3"/>
        <v>518199.26</v>
      </c>
    </row>
    <row r="37" spans="1:4">
      <c r="A37" s="175" t="s">
        <v>8</v>
      </c>
      <c r="B37" s="176">
        <f t="shared" si="2"/>
        <v>184981.89216216269</v>
      </c>
      <c r="C37" s="177">
        <f>$B$29*VLOOKUP(A37,'Datos Mun'!$A$5:$AQ$55,42,FALSE)</f>
        <v>32472.236882805795</v>
      </c>
      <c r="D37" s="178">
        <f t="shared" si="3"/>
        <v>217454.13</v>
      </c>
    </row>
    <row r="38" spans="1:4">
      <c r="A38" s="175" t="s">
        <v>10</v>
      </c>
      <c r="B38" s="176">
        <f t="shared" si="2"/>
        <v>184981.89216216269</v>
      </c>
      <c r="C38" s="177">
        <f>$B$29*VLOOKUP(A38,'Datos Mun'!$A$5:$AQ$55,42,FALSE)</f>
        <v>229084.76213388937</v>
      </c>
      <c r="D38" s="178">
        <f t="shared" si="3"/>
        <v>414066.65</v>
      </c>
    </row>
    <row r="39" spans="1:4">
      <c r="A39" s="175" t="s">
        <v>11</v>
      </c>
      <c r="B39" s="176">
        <f t="shared" si="2"/>
        <v>184981.89216216269</v>
      </c>
      <c r="C39" s="177">
        <f>$B$29*VLOOKUP(A39,'Datos Mun'!$A$5:$AQ$55,42,FALSE)</f>
        <v>74511.898655227676</v>
      </c>
      <c r="D39" s="178">
        <f t="shared" si="3"/>
        <v>259493.79</v>
      </c>
    </row>
    <row r="40" spans="1:4">
      <c r="A40" s="175" t="s">
        <v>12</v>
      </c>
      <c r="B40" s="176">
        <f t="shared" si="2"/>
        <v>184981.89216216269</v>
      </c>
      <c r="C40" s="177">
        <f>$B$29*VLOOKUP(A40,'Datos Mun'!$A$5:$AQ$55,42,FALSE)</f>
        <v>218726.9216504551</v>
      </c>
      <c r="D40" s="178">
        <f t="shared" si="3"/>
        <v>403708.81</v>
      </c>
    </row>
    <row r="41" spans="1:4">
      <c r="A41" s="175" t="s">
        <v>13</v>
      </c>
      <c r="B41" s="176">
        <f t="shared" si="2"/>
        <v>184981.89216216269</v>
      </c>
      <c r="C41" s="177">
        <f>$B$29*VLOOKUP(A41,'Datos Mun'!$A$5:$AQ$55,42,FALSE)</f>
        <v>181047.49120561348</v>
      </c>
      <c r="D41" s="178">
        <f t="shared" si="3"/>
        <v>366029.38</v>
      </c>
    </row>
    <row r="42" spans="1:4">
      <c r="A42" s="175" t="s">
        <v>14</v>
      </c>
      <c r="B42" s="176">
        <f t="shared" si="2"/>
        <v>184981.89216216269</v>
      </c>
      <c r="C42" s="177">
        <f>$B$29*VLOOKUP(A42,'Datos Mun'!$A$5:$AQ$55,42,FALSE)</f>
        <v>963142.16254459112</v>
      </c>
      <c r="D42" s="178">
        <f t="shared" si="3"/>
        <v>1148124.05</v>
      </c>
    </row>
    <row r="43" spans="1:4">
      <c r="A43" s="175" t="s">
        <v>15</v>
      </c>
      <c r="B43" s="176">
        <f t="shared" si="2"/>
        <v>184981.89216216269</v>
      </c>
      <c r="C43" s="177">
        <f>$B$29*VLOOKUP(A43,'Datos Mun'!$A$5:$AQ$55,42,FALSE)</f>
        <v>27242.063226751558</v>
      </c>
      <c r="D43" s="178">
        <f t="shared" si="3"/>
        <v>212223.96</v>
      </c>
    </row>
    <row r="44" spans="1:4">
      <c r="A44" s="175" t="s">
        <v>16</v>
      </c>
      <c r="B44" s="176">
        <f t="shared" si="2"/>
        <v>184981.89216216269</v>
      </c>
      <c r="C44" s="177">
        <f>$B$29*VLOOKUP(A44,'Datos Mun'!$A$5:$AQ$55,42,FALSE)</f>
        <v>85749.836015203327</v>
      </c>
      <c r="D44" s="178">
        <f t="shared" si="3"/>
        <v>270731.73</v>
      </c>
    </row>
    <row r="45" spans="1:4">
      <c r="A45" s="175" t="s">
        <v>17</v>
      </c>
      <c r="B45" s="176">
        <f t="shared" si="2"/>
        <v>184981.89216216269</v>
      </c>
      <c r="C45" s="177">
        <f>$B$29*VLOOKUP(A45,'Datos Mun'!$A$5:$AQ$55,42,FALSE)</f>
        <v>552054.8454461575</v>
      </c>
      <c r="D45" s="178">
        <f t="shared" si="3"/>
        <v>737036.74</v>
      </c>
    </row>
    <row r="46" spans="1:4">
      <c r="A46" s="175" t="s">
        <v>19</v>
      </c>
      <c r="B46" s="176">
        <f t="shared" si="2"/>
        <v>184981.89216216269</v>
      </c>
      <c r="C46" s="177">
        <f>$B$29*VLOOKUP(A46,'Datos Mun'!$A$5:$AQ$55,42,FALSE)</f>
        <v>114556.69585044077</v>
      </c>
      <c r="D46" s="178">
        <f t="shared" si="3"/>
        <v>299538.59000000003</v>
      </c>
    </row>
    <row r="47" spans="1:4">
      <c r="A47" s="175" t="s">
        <v>21</v>
      </c>
      <c r="B47" s="176">
        <f t="shared" si="2"/>
        <v>184981.89216216269</v>
      </c>
      <c r="C47" s="177">
        <f>$B$29*VLOOKUP(A47,'Datos Mun'!$A$5:$AQ$55,42,FALSE)</f>
        <v>226060.72707375023</v>
      </c>
      <c r="D47" s="178">
        <f t="shared" si="3"/>
        <v>411042.62</v>
      </c>
    </row>
    <row r="48" spans="1:4">
      <c r="A48" s="175" t="s">
        <v>22</v>
      </c>
      <c r="B48" s="176">
        <f t="shared" si="2"/>
        <v>184981.89216216269</v>
      </c>
      <c r="C48" s="177">
        <f>$B$29*VLOOKUP(A48,'Datos Mun'!$A$5:$AQ$55,42,FALSE)</f>
        <v>58336.001708340023</v>
      </c>
      <c r="D48" s="178">
        <f t="shared" si="3"/>
        <v>243317.89</v>
      </c>
    </row>
    <row r="49" spans="1:4">
      <c r="A49" s="175" t="s">
        <v>23</v>
      </c>
      <c r="B49" s="176">
        <f t="shared" si="2"/>
        <v>184981.89216216269</v>
      </c>
      <c r="C49" s="177">
        <f>$B$29*VLOOKUP(A49,'Datos Mun'!$A$5:$AQ$55,42,FALSE)</f>
        <v>184307.70093228211</v>
      </c>
      <c r="D49" s="178">
        <f t="shared" si="3"/>
        <v>369289.59</v>
      </c>
    </row>
    <row r="50" spans="1:4">
      <c r="A50" s="175" t="s">
        <v>24</v>
      </c>
      <c r="B50" s="176">
        <f t="shared" si="2"/>
        <v>184981.89216216269</v>
      </c>
      <c r="C50" s="177">
        <f>$B$29*VLOOKUP(A50,'Datos Mun'!$A$5:$AQ$55,42,FALSE)</f>
        <v>305400.54180613114</v>
      </c>
      <c r="D50" s="178">
        <f t="shared" si="3"/>
        <v>490382.43</v>
      </c>
    </row>
    <row r="51" spans="1:4">
      <c r="A51" s="175" t="s">
        <v>26</v>
      </c>
      <c r="B51" s="176">
        <f t="shared" si="2"/>
        <v>184981.89216216269</v>
      </c>
      <c r="C51" s="177">
        <f>$B$29*VLOOKUP(A51,'Datos Mun'!$A$5:$AQ$55,42,FALSE)</f>
        <v>24679.327102911298</v>
      </c>
      <c r="D51" s="178">
        <f t="shared" si="3"/>
        <v>209661.22</v>
      </c>
    </row>
    <row r="52" spans="1:4">
      <c r="A52" s="175" t="s">
        <v>27</v>
      </c>
      <c r="B52" s="176">
        <f t="shared" si="2"/>
        <v>184981.89216216269</v>
      </c>
      <c r="C52" s="177">
        <f>$B$29*VLOOKUP(A52,'Datos Mun'!$A$5:$AQ$55,42,FALSE)</f>
        <v>54584.840691851699</v>
      </c>
      <c r="D52" s="178">
        <f t="shared" si="3"/>
        <v>239566.73</v>
      </c>
    </row>
    <row r="53" spans="1:4">
      <c r="A53" s="175" t="s">
        <v>28</v>
      </c>
      <c r="B53" s="176">
        <f t="shared" si="2"/>
        <v>184981.89216216269</v>
      </c>
      <c r="C53" s="177">
        <f>$B$29*VLOOKUP(A53,'Datos Mun'!$A$5:$AQ$55,42,FALSE)</f>
        <v>24045.410019688734</v>
      </c>
      <c r="D53" s="178">
        <f t="shared" si="3"/>
        <v>209027.3</v>
      </c>
    </row>
    <row r="54" spans="1:4">
      <c r="A54" s="175" t="s">
        <v>29</v>
      </c>
      <c r="B54" s="176">
        <f t="shared" si="2"/>
        <v>184981.89216216269</v>
      </c>
      <c r="C54" s="177">
        <f>$B$29*VLOOKUP(A54,'Datos Mun'!$A$5:$AQ$55,42,FALSE)</f>
        <v>58976.331219006352</v>
      </c>
      <c r="D54" s="178">
        <f t="shared" si="3"/>
        <v>243958.22</v>
      </c>
    </row>
    <row r="55" spans="1:4">
      <c r="A55" s="175" t="s">
        <v>30</v>
      </c>
      <c r="B55" s="176">
        <f t="shared" si="2"/>
        <v>184981.89216216269</v>
      </c>
      <c r="C55" s="177">
        <f>$B$29*VLOOKUP(A55,'Datos Mun'!$A$5:$AQ$55,42,FALSE)</f>
        <v>132248.94804342883</v>
      </c>
      <c r="D55" s="178">
        <f t="shared" si="3"/>
        <v>317230.84000000003</v>
      </c>
    </row>
    <row r="56" spans="1:4">
      <c r="A56" s="175" t="s">
        <v>32</v>
      </c>
      <c r="B56" s="176">
        <f t="shared" si="2"/>
        <v>184981.89216216269</v>
      </c>
      <c r="C56" s="177">
        <f>$B$29*VLOOKUP(A56,'Datos Mun'!$A$5:$AQ$55,42,FALSE)</f>
        <v>106366.38537465647</v>
      </c>
      <c r="D56" s="178">
        <f t="shared" si="3"/>
        <v>291348.28000000003</v>
      </c>
    </row>
    <row r="57" spans="1:4">
      <c r="A57" s="175" t="s">
        <v>33</v>
      </c>
      <c r="B57" s="176">
        <f t="shared" si="2"/>
        <v>184981.89216216269</v>
      </c>
      <c r="C57" s="177">
        <f>$B$29*VLOOKUP(A57,'Datos Mun'!$A$5:$AQ$55,42,FALSE)</f>
        <v>563683.03739803075</v>
      </c>
      <c r="D57" s="178">
        <f t="shared" si="3"/>
        <v>748664.93</v>
      </c>
    </row>
    <row r="58" spans="1:4">
      <c r="A58" s="175" t="s">
        <v>34</v>
      </c>
      <c r="B58" s="176">
        <f t="shared" si="2"/>
        <v>184981.89216216269</v>
      </c>
      <c r="C58" s="177">
        <f>$B$29*VLOOKUP(A58,'Datos Mun'!$A$5:$AQ$55,42,FALSE)</f>
        <v>80271.503876795075</v>
      </c>
      <c r="D58" s="178">
        <f t="shared" si="3"/>
        <v>265253.40000000002</v>
      </c>
    </row>
    <row r="59" spans="1:4">
      <c r="A59" s="175" t="s">
        <v>35</v>
      </c>
      <c r="B59" s="176">
        <f t="shared" si="2"/>
        <v>184981.89216216269</v>
      </c>
      <c r="C59" s="177">
        <f>$B$29*VLOOKUP(A59,'Datos Mun'!$A$5:$AQ$55,42,FALSE)</f>
        <v>9834.473150844291</v>
      </c>
      <c r="D59" s="178">
        <f t="shared" si="3"/>
        <v>194816.37</v>
      </c>
    </row>
    <row r="60" spans="1:4">
      <c r="A60" s="175" t="s">
        <v>36</v>
      </c>
      <c r="B60" s="176">
        <f t="shared" si="2"/>
        <v>184981.89216216269</v>
      </c>
      <c r="C60" s="177">
        <f>$B$29*VLOOKUP(A60,'Datos Mun'!$A$5:$AQ$55,42,FALSE)</f>
        <v>246415.33803068125</v>
      </c>
      <c r="D60" s="178">
        <f t="shared" si="3"/>
        <v>431397.23</v>
      </c>
    </row>
    <row r="61" spans="1:4">
      <c r="A61" s="175" t="s">
        <v>37</v>
      </c>
      <c r="B61" s="176">
        <f t="shared" si="2"/>
        <v>184981.89216216269</v>
      </c>
      <c r="C61" s="177">
        <f>$B$29*VLOOKUP(A61,'Datos Mun'!$A$5:$AQ$55,42,FALSE)</f>
        <v>153148.88415565027</v>
      </c>
      <c r="D61" s="178">
        <f t="shared" si="3"/>
        <v>338130.78</v>
      </c>
    </row>
    <row r="62" spans="1:4">
      <c r="A62" s="175" t="s">
        <v>38</v>
      </c>
      <c r="B62" s="176">
        <f t="shared" si="2"/>
        <v>184981.89216216269</v>
      </c>
      <c r="C62" s="177">
        <f>$B$29*VLOOKUP(A62,'Datos Mun'!$A$5:$AQ$55,42,FALSE)</f>
        <v>411790.68779280502</v>
      </c>
      <c r="D62" s="178">
        <f t="shared" si="3"/>
        <v>596772.57999999996</v>
      </c>
    </row>
    <row r="63" spans="1:4">
      <c r="A63" s="175" t="s">
        <v>40</v>
      </c>
      <c r="B63" s="176">
        <f t="shared" si="2"/>
        <v>184981.89216216269</v>
      </c>
      <c r="C63" s="177">
        <f>$B$29*VLOOKUP(A63,'Datos Mun'!$A$5:$AQ$55,42,FALSE)</f>
        <v>92974.588969144854</v>
      </c>
      <c r="D63" s="178">
        <f t="shared" si="3"/>
        <v>277956.47999999998</v>
      </c>
    </row>
    <row r="64" spans="1:4">
      <c r="A64" s="175" t="s">
        <v>41</v>
      </c>
      <c r="B64" s="176">
        <f t="shared" si="2"/>
        <v>184981.89216216269</v>
      </c>
      <c r="C64" s="177">
        <f>$B$29*VLOOKUP(A64,'Datos Mun'!$A$5:$AQ$55,42,FALSE)</f>
        <v>327931.44421469711</v>
      </c>
      <c r="D64" s="178">
        <f t="shared" si="3"/>
        <v>512913.34</v>
      </c>
    </row>
    <row r="65" spans="1:4">
      <c r="A65" s="175" t="s">
        <v>42</v>
      </c>
      <c r="B65" s="176">
        <f t="shared" si="2"/>
        <v>184981.89216216269</v>
      </c>
      <c r="C65" s="177">
        <f>$B$29*VLOOKUP(A65,'Datos Mun'!$A$5:$AQ$55,42,FALSE)</f>
        <v>90538.914540936006</v>
      </c>
      <c r="D65" s="178">
        <f t="shared" si="3"/>
        <v>275520.81</v>
      </c>
    </row>
    <row r="66" spans="1:4">
      <c r="A66" s="175" t="s">
        <v>43</v>
      </c>
      <c r="B66" s="176">
        <f t="shared" si="2"/>
        <v>184981.89216216269</v>
      </c>
      <c r="C66" s="177">
        <f>$B$29*VLOOKUP(A66,'Datos Mun'!$A$5:$AQ$55,42,FALSE)</f>
        <v>56746.723743725044</v>
      </c>
      <c r="D66" s="178">
        <f t="shared" si="3"/>
        <v>241728.62</v>
      </c>
    </row>
    <row r="67" spans="1:4">
      <c r="A67" s="175" t="s">
        <v>44</v>
      </c>
      <c r="B67" s="176">
        <f t="shared" si="2"/>
        <v>184981.89216216269</v>
      </c>
      <c r="C67" s="177">
        <f>$B$29*VLOOKUP(A67,'Datos Mun'!$A$5:$AQ$55,42,FALSE)</f>
        <v>211780.63301422104</v>
      </c>
      <c r="D67" s="178">
        <f t="shared" si="3"/>
        <v>396762.53</v>
      </c>
    </row>
    <row r="68" spans="1:4">
      <c r="A68" s="175" t="s">
        <v>50</v>
      </c>
      <c r="B68" s="176">
        <f t="shared" si="2"/>
        <v>184981.89216216269</v>
      </c>
      <c r="C68" s="177">
        <f>$B$29*VLOOKUP(A68,'Datos Mun'!$A$5:$AQ$55,42,FALSE)</f>
        <v>132288.593435085</v>
      </c>
      <c r="D68" s="178">
        <f t="shared" si="3"/>
        <v>317270.49</v>
      </c>
    </row>
    <row r="69" spans="1:4" ht="15.75" customHeight="1">
      <c r="A69" s="175" t="s">
        <v>51</v>
      </c>
      <c r="B69" s="176">
        <f t="shared" si="2"/>
        <v>184981.89216216269</v>
      </c>
      <c r="C69" s="177">
        <f>$B$29*VLOOKUP(A69,'Datos Mun'!$A$5:$AQ$55,42,FALSE)</f>
        <v>80378.891838296739</v>
      </c>
      <c r="D69" s="178">
        <f t="shared" si="3"/>
        <v>265360.78000000003</v>
      </c>
    </row>
    <row r="70" spans="1:4">
      <c r="A70" s="195" t="s">
        <v>140</v>
      </c>
      <c r="B70" s="180">
        <f>SUM(B31:B69)</f>
        <v>7214293.7943243487</v>
      </c>
      <c r="C70" s="181">
        <f>SUM(C31:C69)</f>
        <v>7237416.5308446102</v>
      </c>
      <c r="D70" s="182">
        <f>SUM(D31:D69)</f>
        <v>14451710.329999996</v>
      </c>
    </row>
    <row r="71" spans="1:4" ht="14.4" thickBot="1">
      <c r="A71" s="196" t="s">
        <v>52</v>
      </c>
      <c r="B71" s="197">
        <f>+B70+B25</f>
        <v>13873641.912162207</v>
      </c>
      <c r="C71" s="198">
        <f>+C70+C25</f>
        <v>22255633.900760189</v>
      </c>
      <c r="D71" s="199">
        <f>+D70+D25</f>
        <v>36129275.809999995</v>
      </c>
    </row>
    <row r="72" spans="1:4" ht="13.8" thickTop="1">
      <c r="C72" s="200"/>
    </row>
    <row r="73" spans="1:4">
      <c r="C73" s="200"/>
    </row>
    <row r="74" spans="1:4">
      <c r="C74" s="200"/>
    </row>
    <row r="75" spans="1:4">
      <c r="C75" s="200"/>
    </row>
    <row r="76" spans="1:4">
      <c r="C76" s="200"/>
    </row>
    <row r="77" spans="1:4">
      <c r="C77" s="200"/>
    </row>
    <row r="78" spans="1:4">
      <c r="C78" s="200"/>
    </row>
    <row r="79" spans="1:4">
      <c r="C79" s="200"/>
    </row>
    <row r="80" spans="1:4">
      <c r="C80" s="200"/>
    </row>
    <row r="81" spans="3:3" s="170" customFormat="1">
      <c r="C81" s="200"/>
    </row>
    <row r="82" spans="3:3" s="170" customFormat="1">
      <c r="C82" s="200"/>
    </row>
    <row r="83" spans="3:3" s="170" customFormat="1">
      <c r="C83" s="200"/>
    </row>
    <row r="84" spans="3:3" s="170" customFormat="1">
      <c r="C84" s="200"/>
    </row>
    <row r="85" spans="3:3" s="170" customFormat="1">
      <c r="C85" s="200"/>
    </row>
    <row r="86" spans="3:3" s="170" customFormat="1">
      <c r="C86" s="200"/>
    </row>
    <row r="87" spans="3:3" s="170" customFormat="1">
      <c r="C87" s="200"/>
    </row>
    <row r="88" spans="3:3" s="170" customFormat="1">
      <c r="C88" s="200"/>
    </row>
    <row r="89" spans="3:3" s="170" customFormat="1">
      <c r="C89" s="200"/>
    </row>
    <row r="90" spans="3:3" s="170" customFormat="1">
      <c r="C90" s="200"/>
    </row>
    <row r="91" spans="3:3" s="170" customFormat="1">
      <c r="C91" s="200"/>
    </row>
    <row r="92" spans="3:3" s="170" customFormat="1">
      <c r="C92" s="200"/>
    </row>
    <row r="93" spans="3:3" s="170" customFormat="1">
      <c r="C93" s="200"/>
    </row>
    <row r="94" spans="3:3" s="170" customFormat="1">
      <c r="C94" s="200"/>
    </row>
    <row r="95" spans="3:3" s="170" customFormat="1">
      <c r="C95" s="200"/>
    </row>
    <row r="96" spans="3:3" s="170" customFormat="1">
      <c r="C96" s="200"/>
    </row>
    <row r="97" spans="3:3" s="170" customFormat="1">
      <c r="C97" s="200"/>
    </row>
    <row r="98" spans="3:3" s="170" customFormat="1">
      <c r="C98" s="200"/>
    </row>
    <row r="99" spans="3:3" s="170" customFormat="1">
      <c r="C99" s="200"/>
    </row>
    <row r="100" spans="3:3" s="170" customFormat="1">
      <c r="C100" s="200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zoomScaleNormal="100" workbookViewId="0">
      <selection activeCell="D5" sqref="D5:E5"/>
    </sheetView>
  </sheetViews>
  <sheetFormatPr baseColWidth="10" defaultColWidth="9.6640625" defaultRowHeight="13.2"/>
  <cols>
    <col min="1" max="1" width="29.44140625" style="127" customWidth="1"/>
    <col min="2" max="3" width="17" style="127" customWidth="1"/>
    <col min="4" max="4" width="13.109375" style="127" customWidth="1"/>
    <col min="5" max="5" width="12.5546875" style="127" customWidth="1"/>
    <col min="6" max="6" width="17" style="133" customWidth="1"/>
    <col min="7" max="8" width="9.6640625" style="127"/>
    <col min="9" max="9" width="11.109375" style="127" bestFit="1" customWidth="1"/>
    <col min="10" max="10" width="9.6640625" style="127"/>
    <col min="11" max="11" width="10.109375" style="127" bestFit="1" customWidth="1"/>
    <col min="12" max="16384" width="9.6640625" style="127"/>
  </cols>
  <sheetData>
    <row r="1" spans="1:11">
      <c r="A1" s="327" t="s">
        <v>96</v>
      </c>
      <c r="B1" s="327"/>
      <c r="C1" s="327"/>
      <c r="D1" s="327"/>
      <c r="E1" s="327"/>
      <c r="F1" s="327"/>
    </row>
    <row r="2" spans="1:11" ht="37.5" customHeight="1">
      <c r="A2" s="328" t="s">
        <v>186</v>
      </c>
      <c r="B2" s="328"/>
      <c r="C2" s="328"/>
      <c r="D2" s="328"/>
      <c r="E2" s="328"/>
      <c r="F2" s="328"/>
    </row>
    <row r="3" spans="1:11" ht="26.25" customHeight="1">
      <c r="A3" s="128" t="s">
        <v>128</v>
      </c>
      <c r="B3" s="329" t="s">
        <v>129</v>
      </c>
      <c r="C3" s="329"/>
      <c r="D3" s="329" t="s">
        <v>130</v>
      </c>
      <c r="E3" s="329"/>
      <c r="F3" s="129" t="s">
        <v>53</v>
      </c>
    </row>
    <row r="4" spans="1:11">
      <c r="A4" s="130" t="s">
        <v>131</v>
      </c>
      <c r="B4" s="330">
        <f>'Participación 2021 Mes'!$B$20</f>
        <v>43449586.598547198</v>
      </c>
      <c r="C4" s="330"/>
      <c r="D4" s="331">
        <f>'Participación 2021 Mes'!$C$20</f>
        <v>7556796.0999999996</v>
      </c>
      <c r="E4" s="331"/>
      <c r="F4" s="131">
        <f>SUM(B4:E4)</f>
        <v>51006382.698547199</v>
      </c>
    </row>
    <row r="5" spans="1:11">
      <c r="A5" s="132" t="s">
        <v>132</v>
      </c>
      <c r="B5" s="325">
        <f>3000000/12</f>
        <v>250000</v>
      </c>
      <c r="C5" s="325"/>
      <c r="D5" s="326">
        <f>IF(D4&lt;D6,0,1000000/12)</f>
        <v>83333.333333333328</v>
      </c>
      <c r="E5" s="325"/>
    </row>
    <row r="6" spans="1:11">
      <c r="A6" s="134" t="s">
        <v>133</v>
      </c>
      <c r="B6" s="325">
        <f>B5*51</f>
        <v>12750000</v>
      </c>
      <c r="C6" s="325"/>
      <c r="D6" s="325">
        <v>4250000</v>
      </c>
      <c r="E6" s="325"/>
    </row>
    <row r="7" spans="1:11">
      <c r="A7" s="134" t="s">
        <v>134</v>
      </c>
      <c r="B7" s="325">
        <f>B4-B6</f>
        <v>30699586.598547198</v>
      </c>
      <c r="C7" s="325"/>
      <c r="D7" s="325">
        <f>IF(D4-D6&lt;0,D4,D4-D6)</f>
        <v>3306796.0999999996</v>
      </c>
      <c r="E7" s="325"/>
    </row>
    <row r="8" spans="1:11">
      <c r="A8" s="132" t="s">
        <v>135</v>
      </c>
      <c r="B8" s="325">
        <f>B7*0.6</f>
        <v>18419751.959128316</v>
      </c>
      <c r="C8" s="325"/>
      <c r="D8" s="325">
        <f>D7*0.6</f>
        <v>1984077.6599999997</v>
      </c>
      <c r="E8" s="325"/>
    </row>
    <row r="9" spans="1:11">
      <c r="A9" s="132" t="s">
        <v>136</v>
      </c>
      <c r="B9" s="325">
        <f>B7*0.4</f>
        <v>12279834.63941888</v>
      </c>
      <c r="C9" s="325"/>
      <c r="D9" s="325">
        <f>D7*0.4</f>
        <v>1322718.44</v>
      </c>
      <c r="E9" s="325"/>
      <c r="I9" s="135" t="s">
        <v>107</v>
      </c>
      <c r="J9" s="135" t="s">
        <v>107</v>
      </c>
      <c r="K9" s="135" t="s">
        <v>107</v>
      </c>
    </row>
    <row r="10" spans="1:11" ht="13.8" thickBot="1">
      <c r="A10" s="136"/>
      <c r="B10" s="136"/>
      <c r="C10" s="136"/>
      <c r="D10" s="136"/>
      <c r="E10" s="136"/>
      <c r="I10" s="135" t="s">
        <v>107</v>
      </c>
      <c r="J10" s="135" t="s">
        <v>107</v>
      </c>
      <c r="K10" s="135" t="s">
        <v>107</v>
      </c>
    </row>
    <row r="11" spans="1:11" ht="58.5" customHeight="1" thickBot="1">
      <c r="A11" s="137" t="s">
        <v>0</v>
      </c>
      <c r="B11" s="137" t="s">
        <v>137</v>
      </c>
      <c r="C11" s="137" t="s">
        <v>138</v>
      </c>
      <c r="D11" s="137" t="s">
        <v>137</v>
      </c>
      <c r="E11" s="137" t="s">
        <v>138</v>
      </c>
      <c r="F11" s="138" t="s">
        <v>146</v>
      </c>
    </row>
    <row r="13" spans="1:11" ht="13.8" thickBot="1">
      <c r="A13" s="139" t="s">
        <v>139</v>
      </c>
      <c r="B13" s="139"/>
      <c r="D13" s="139"/>
    </row>
    <row r="14" spans="1:11">
      <c r="A14" s="140" t="s">
        <v>6</v>
      </c>
      <c r="B14" s="141">
        <f>$B$5</f>
        <v>250000</v>
      </c>
      <c r="C14" s="142">
        <f>$B$8*VLOOKUP(A14,'Datos Mun'!$A$5:$AQ$55,37,FALSE)</f>
        <v>2468179.2889899616</v>
      </c>
      <c r="D14" s="141">
        <f>$D$5</f>
        <v>83333.333333333328</v>
      </c>
      <c r="E14" s="142">
        <f>$D$8*VLOOKUP(A14,'Datos Mun'!$A$5:$AQ$55,37,FALSE)</f>
        <v>265859.13855006173</v>
      </c>
      <c r="F14" s="221">
        <f>SUM(B14:E14)</f>
        <v>3067371.7608733568</v>
      </c>
    </row>
    <row r="15" spans="1:11">
      <c r="A15" s="143" t="s">
        <v>9</v>
      </c>
      <c r="B15" s="144">
        <f t="shared" ref="B15:B25" si="0">$B$5</f>
        <v>250000</v>
      </c>
      <c r="C15" s="145">
        <f>$B$8*VLOOKUP(A15,'Datos Mun'!$A$5:$AQ$55,37,FALSE)</f>
        <v>459963.75989721436</v>
      </c>
      <c r="D15" s="144">
        <f t="shared" ref="D15:D25" si="1">$D$5</f>
        <v>83333.333333333328</v>
      </c>
      <c r="E15" s="145">
        <f>$D$8*VLOOKUP(A15,'Datos Mun'!$A$5:$AQ$55,37,FALSE)</f>
        <v>49544.848510807751</v>
      </c>
      <c r="F15" s="222">
        <f t="shared" ref="F15:F25" si="2">SUM(B15:E15)</f>
        <v>842841.94174135546</v>
      </c>
    </row>
    <row r="16" spans="1:11">
      <c r="A16" s="143" t="s">
        <v>18</v>
      </c>
      <c r="B16" s="144">
        <f t="shared" si="0"/>
        <v>250000</v>
      </c>
      <c r="C16" s="145">
        <f>$B$8*VLOOKUP(A16,'Datos Mun'!$A$5:$AQ$55,37,FALSE)</f>
        <v>1493414.954183714</v>
      </c>
      <c r="D16" s="144">
        <f t="shared" si="1"/>
        <v>83333.333333333328</v>
      </c>
      <c r="E16" s="145">
        <f>$D$8*VLOOKUP(A16,'Datos Mun'!$A$5:$AQ$55,37,FALSE)</f>
        <v>160862.71163045842</v>
      </c>
      <c r="F16" s="222">
        <f t="shared" si="2"/>
        <v>1987610.9991475057</v>
      </c>
    </row>
    <row r="17" spans="1:6">
      <c r="A17" s="143" t="s">
        <v>20</v>
      </c>
      <c r="B17" s="144">
        <f t="shared" si="0"/>
        <v>250000</v>
      </c>
      <c r="C17" s="145">
        <f>$B$8*VLOOKUP(A17,'Datos Mun'!$A$5:$AQ$55,37,FALSE)</f>
        <v>1809268.9929573082</v>
      </c>
      <c r="D17" s="144">
        <f t="shared" si="1"/>
        <v>83333.333333333328</v>
      </c>
      <c r="E17" s="145">
        <f>$D$8*VLOOKUP(A17,'Datos Mun'!$A$5:$AQ$55,37,FALSE)</f>
        <v>194884.82786427106</v>
      </c>
      <c r="F17" s="222">
        <f t="shared" si="2"/>
        <v>2337487.1541549126</v>
      </c>
    </row>
    <row r="18" spans="1:6">
      <c r="A18" s="143" t="s">
        <v>25</v>
      </c>
      <c r="B18" s="144">
        <f t="shared" si="0"/>
        <v>250000</v>
      </c>
      <c r="C18" s="145">
        <f>$B$8*VLOOKUP(A18,'Datos Mun'!$A$5:$AQ$55,37,FALSE)</f>
        <v>2418094.8726188657</v>
      </c>
      <c r="D18" s="144">
        <f t="shared" si="1"/>
        <v>83333.333333333328</v>
      </c>
      <c r="E18" s="145">
        <f>$D$8*VLOOKUP(A18,'Datos Mun'!$A$5:$AQ$55,37,FALSE)</f>
        <v>260464.31174367879</v>
      </c>
      <c r="F18" s="222">
        <f t="shared" si="2"/>
        <v>3011892.5176958782</v>
      </c>
    </row>
    <row r="19" spans="1:6">
      <c r="A19" s="143" t="s">
        <v>31</v>
      </c>
      <c r="B19" s="144">
        <f t="shared" si="0"/>
        <v>250000</v>
      </c>
      <c r="C19" s="145">
        <f>$B$8*VLOOKUP(A19,'Datos Mun'!$A$5:$AQ$55,37,FALSE)</f>
        <v>1772836.4432511358</v>
      </c>
      <c r="D19" s="144">
        <f t="shared" si="1"/>
        <v>83333.333333333328</v>
      </c>
      <c r="E19" s="145">
        <f>$D$8*VLOOKUP(A19,'Datos Mun'!$A$5:$AQ$55,37,FALSE)</f>
        <v>190960.5074863827</v>
      </c>
      <c r="F19" s="222">
        <f t="shared" si="2"/>
        <v>2297130.2840708517</v>
      </c>
    </row>
    <row r="20" spans="1:6">
      <c r="A20" s="143" t="s">
        <v>39</v>
      </c>
      <c r="B20" s="144">
        <f t="shared" si="0"/>
        <v>250000</v>
      </c>
      <c r="C20" s="145">
        <f>$B$8*VLOOKUP(A20,'Datos Mun'!$A$5:$AQ$55,37,FALSE)</f>
        <v>4297439.1866725245</v>
      </c>
      <c r="D20" s="144">
        <f t="shared" si="1"/>
        <v>83333.333333333328</v>
      </c>
      <c r="E20" s="145">
        <f>$D$8*VLOOKUP(A20,'Datos Mun'!$A$5:$AQ$55,37,FALSE)</f>
        <v>462897.28028938256</v>
      </c>
      <c r="F20" s="222">
        <f t="shared" si="2"/>
        <v>5093669.8002952402</v>
      </c>
    </row>
    <row r="21" spans="1:6">
      <c r="A21" s="143" t="s">
        <v>45</v>
      </c>
      <c r="B21" s="144">
        <f t="shared" si="0"/>
        <v>250000</v>
      </c>
      <c r="C21" s="145">
        <f>$B$8*VLOOKUP(A21,'Datos Mun'!$A$5:$AQ$55,37,FALSE)</f>
        <v>326223.59213681635</v>
      </c>
      <c r="D21" s="144">
        <f t="shared" si="1"/>
        <v>83333.333333333328</v>
      </c>
      <c r="E21" s="145">
        <f>$D$8*VLOOKUP(A21,'Datos Mun'!$A$5:$AQ$55,37,FALSE)</f>
        <v>35139.069340336493</v>
      </c>
      <c r="F21" s="222">
        <f t="shared" si="2"/>
        <v>694695.99481048621</v>
      </c>
    </row>
    <row r="22" spans="1:6">
      <c r="A22" s="143" t="s">
        <v>46</v>
      </c>
      <c r="B22" s="144">
        <f t="shared" si="0"/>
        <v>250000</v>
      </c>
      <c r="C22" s="145">
        <f>$B$8*VLOOKUP(A22,'Datos Mun'!$A$5:$AQ$55,37,FALSE)</f>
        <v>1549789.5310974754</v>
      </c>
      <c r="D22" s="144">
        <f t="shared" si="1"/>
        <v>83333.333333333328</v>
      </c>
      <c r="E22" s="145">
        <f>$D$8*VLOOKUP(A22,'Datos Mun'!$A$5:$AQ$55,37,FALSE)</f>
        <v>166935.08105729619</v>
      </c>
      <c r="F22" s="222">
        <f t="shared" si="2"/>
        <v>2050057.9454881048</v>
      </c>
    </row>
    <row r="23" spans="1:6">
      <c r="A23" s="143" t="s">
        <v>47</v>
      </c>
      <c r="B23" s="144">
        <f t="shared" si="0"/>
        <v>250000</v>
      </c>
      <c r="C23" s="145">
        <f>$B$8*VLOOKUP(A23,'Datos Mun'!$A$5:$AQ$55,37,FALSE)</f>
        <v>496930.20248865779</v>
      </c>
      <c r="D23" s="144">
        <f t="shared" si="1"/>
        <v>83333.333333333328</v>
      </c>
      <c r="E23" s="145">
        <f>$D$8*VLOOKUP(A23,'Datos Mun'!$A$5:$AQ$55,37,FALSE)</f>
        <v>53526.676989177024</v>
      </c>
      <c r="F23" s="222">
        <f t="shared" si="2"/>
        <v>883790.21281116817</v>
      </c>
    </row>
    <row r="24" spans="1:6">
      <c r="A24" s="143" t="s">
        <v>48</v>
      </c>
      <c r="B24" s="144">
        <f t="shared" si="0"/>
        <v>250000</v>
      </c>
      <c r="C24" s="145">
        <f>$B$8*VLOOKUP(A24,'Datos Mun'!$A$5:$AQ$55,37,FALSE)</f>
        <v>1151712.2281830884</v>
      </c>
      <c r="D24" s="144">
        <f t="shared" si="1"/>
        <v>83333.333333333328</v>
      </c>
      <c r="E24" s="145">
        <f>$D$8*VLOOKUP(A24,'Datos Mun'!$A$5:$AQ$55,37,FALSE)</f>
        <v>124056.31236279827</v>
      </c>
      <c r="F24" s="222">
        <f t="shared" si="2"/>
        <v>1609101.8738792199</v>
      </c>
    </row>
    <row r="25" spans="1:6">
      <c r="A25" s="143" t="s">
        <v>49</v>
      </c>
      <c r="B25" s="144">
        <f t="shared" si="0"/>
        <v>250000</v>
      </c>
      <c r="C25" s="146">
        <f>$B$8*VLOOKUP(A25,'Datos Mun'!$A$5:$AQ$55,37,FALSE)</f>
        <v>175898.90665155492</v>
      </c>
      <c r="D25" s="144">
        <f t="shared" si="1"/>
        <v>83333.333333333328</v>
      </c>
      <c r="E25" s="146">
        <f>$D$8*VLOOKUP(A25,'Datos Mun'!$A$5:$AQ$55,37,FALSE)</f>
        <v>18946.894175348665</v>
      </c>
      <c r="F25" s="223">
        <f t="shared" si="2"/>
        <v>528179.13416023692</v>
      </c>
    </row>
    <row r="26" spans="1:6" ht="13.8" thickBot="1">
      <c r="A26" s="147" t="s">
        <v>140</v>
      </c>
      <c r="B26" s="148">
        <f>SUM(B14:B25)</f>
        <v>3000000</v>
      </c>
      <c r="C26" s="149">
        <f>SUM(C14:C25)</f>
        <v>18419751.959128316</v>
      </c>
      <c r="D26" s="148">
        <f>SUM(D14:D25)</f>
        <v>1000000.0000000001</v>
      </c>
      <c r="E26" s="149">
        <f>SUM(E14:E25)</f>
        <v>1984077.6599999995</v>
      </c>
      <c r="F26" s="224">
        <f>SUM(F14:F25)</f>
        <v>24403829.61912832</v>
      </c>
    </row>
    <row r="27" spans="1:6">
      <c r="A27" s="150"/>
      <c r="B27" s="150"/>
      <c r="C27" s="151"/>
      <c r="D27" s="150"/>
      <c r="E27" s="151"/>
      <c r="F27" s="152"/>
    </row>
    <row r="28" spans="1:6" ht="13.8" thickBot="1">
      <c r="A28" s="153" t="s">
        <v>141</v>
      </c>
      <c r="B28" s="153"/>
      <c r="C28" s="146"/>
      <c r="D28" s="153"/>
      <c r="E28" s="146"/>
      <c r="F28" s="154"/>
    </row>
    <row r="29" spans="1:6">
      <c r="A29" s="155" t="s">
        <v>1</v>
      </c>
      <c r="B29" s="227">
        <f>$B$5</f>
        <v>250000</v>
      </c>
      <c r="C29" s="156">
        <f>$B$9*VLOOKUP(A29,'Datos Mun'!$A$5:$AQ$55,39,FALSE)</f>
        <v>41250.739241645984</v>
      </c>
      <c r="D29" s="141">
        <f>$D$5</f>
        <v>83333.333333333328</v>
      </c>
      <c r="E29" s="156">
        <f>$D$9*VLOOKUP(A29,'Datos Mun'!$A$5:$AQ$55,39,FALSE)</f>
        <v>4443.3101145683549</v>
      </c>
      <c r="F29" s="225">
        <f>SUM(B29:E29)</f>
        <v>379027.38268954761</v>
      </c>
    </row>
    <row r="30" spans="1:6">
      <c r="A30" s="157" t="s">
        <v>2</v>
      </c>
      <c r="B30" s="228">
        <f t="shared" ref="B30:B67" si="3">$B$5</f>
        <v>250000</v>
      </c>
      <c r="C30" s="146">
        <f>$B$9*VLOOKUP(A30,'Datos Mun'!$A$5:$AQ$55,39,FALSE)</f>
        <v>46909.885714608849</v>
      </c>
      <c r="D30" s="144">
        <f t="shared" ref="D30:D67" si="4">$D$5</f>
        <v>83333.333333333328</v>
      </c>
      <c r="E30" s="146">
        <f>$D$9*VLOOKUP(A30,'Datos Mun'!$A$5:$AQ$55,39,FALSE)</f>
        <v>5052.8832573874161</v>
      </c>
      <c r="F30" s="223">
        <f t="shared" ref="F30:F67" si="5">ROUND(SUM(B30:E30),2)</f>
        <v>385296.1</v>
      </c>
    </row>
    <row r="31" spans="1:6">
      <c r="A31" s="157" t="s">
        <v>3</v>
      </c>
      <c r="B31" s="228">
        <f t="shared" si="3"/>
        <v>250000</v>
      </c>
      <c r="C31" s="146">
        <f>$B$9*VLOOKUP(A31,'Datos Mun'!$A$5:$AQ$55,39,FALSE)</f>
        <v>19515.733057496938</v>
      </c>
      <c r="D31" s="144">
        <f t="shared" si="4"/>
        <v>83333.333333333328</v>
      </c>
      <c r="E31" s="146">
        <f>$D$9*VLOOKUP(A31,'Datos Mun'!$A$5:$AQ$55,39,FALSE)</f>
        <v>2102.1309116333809</v>
      </c>
      <c r="F31" s="223">
        <f t="shared" si="5"/>
        <v>354951.2</v>
      </c>
    </row>
    <row r="32" spans="1:6">
      <c r="A32" s="157" t="s">
        <v>4</v>
      </c>
      <c r="B32" s="228">
        <f t="shared" si="3"/>
        <v>250000</v>
      </c>
      <c r="C32" s="146">
        <f>$B$9*VLOOKUP(A32,'Datos Mun'!$A$5:$AQ$55,39,FALSE)</f>
        <v>489474.5585401631</v>
      </c>
      <c r="D32" s="144">
        <f t="shared" si="4"/>
        <v>83333.333333333328</v>
      </c>
      <c r="E32" s="146">
        <f>$D$9*VLOOKUP(A32,'Datos Mun'!$A$5:$AQ$55,39,FALSE)</f>
        <v>52723.594698386907</v>
      </c>
      <c r="F32" s="223">
        <f t="shared" si="5"/>
        <v>875531.49</v>
      </c>
    </row>
    <row r="33" spans="1:6">
      <c r="A33" s="157" t="s">
        <v>5</v>
      </c>
      <c r="B33" s="228">
        <f t="shared" si="3"/>
        <v>250000</v>
      </c>
      <c r="C33" s="146">
        <f>$B$9*VLOOKUP(A33,'Datos Mun'!$A$5:$AQ$55,39,FALSE)</f>
        <v>250084.34045960897</v>
      </c>
      <c r="D33" s="144">
        <f t="shared" si="4"/>
        <v>83333.333333333328</v>
      </c>
      <c r="E33" s="146">
        <f>$D$9*VLOOKUP(A33,'Datos Mun'!$A$5:$AQ$55,39,FALSE)</f>
        <v>26937.754326048231</v>
      </c>
      <c r="F33" s="223">
        <f t="shared" si="5"/>
        <v>610355.43000000005</v>
      </c>
    </row>
    <row r="34" spans="1:6">
      <c r="A34" s="157" t="s">
        <v>7</v>
      </c>
      <c r="B34" s="228">
        <f t="shared" si="3"/>
        <v>250000</v>
      </c>
      <c r="C34" s="146">
        <f>$B$9*VLOOKUP(A34,'Datos Mun'!$A$5:$AQ$55,39,FALSE)</f>
        <v>207945.89196730216</v>
      </c>
      <c r="D34" s="144">
        <f t="shared" si="4"/>
        <v>83333.333333333328</v>
      </c>
      <c r="E34" s="146">
        <f>$D$9*VLOOKUP(A34,'Datos Mun'!$A$5:$AQ$55,39,FALSE)</f>
        <v>22398.824894959242</v>
      </c>
      <c r="F34" s="223">
        <f t="shared" si="5"/>
        <v>563678.05000000005</v>
      </c>
    </row>
    <row r="35" spans="1:6">
      <c r="A35" s="157" t="s">
        <v>8</v>
      </c>
      <c r="B35" s="228">
        <f t="shared" si="3"/>
        <v>250000</v>
      </c>
      <c r="C35" s="146">
        <f>$B$9*VLOOKUP(A35,'Datos Mun'!$A$5:$AQ$55,39,FALSE)</f>
        <v>50779.743229208456</v>
      </c>
      <c r="D35" s="144">
        <f t="shared" si="4"/>
        <v>83333.333333333328</v>
      </c>
      <c r="E35" s="146">
        <f>$D$9*VLOOKUP(A35,'Datos Mun'!$A$5:$AQ$55,39,FALSE)</f>
        <v>5469.7237153445685</v>
      </c>
      <c r="F35" s="223">
        <f t="shared" si="5"/>
        <v>389582.8</v>
      </c>
    </row>
    <row r="36" spans="1:6">
      <c r="A36" s="157" t="s">
        <v>10</v>
      </c>
      <c r="B36" s="228">
        <f t="shared" si="3"/>
        <v>250000</v>
      </c>
      <c r="C36" s="146">
        <f>$B$9*VLOOKUP(A36,'Datos Mun'!$A$5:$AQ$55,39,FALSE)</f>
        <v>1449157.6107897409</v>
      </c>
      <c r="D36" s="144">
        <f t="shared" si="4"/>
        <v>83333.333333333328</v>
      </c>
      <c r="E36" s="146">
        <f>$D$9*VLOOKUP(A36,'Datos Mun'!$A$5:$AQ$55,39,FALSE)</f>
        <v>156095.54611629879</v>
      </c>
      <c r="F36" s="223">
        <f t="shared" si="5"/>
        <v>1938586.49</v>
      </c>
    </row>
    <row r="37" spans="1:6">
      <c r="A37" s="157" t="s">
        <v>11</v>
      </c>
      <c r="B37" s="228">
        <f t="shared" si="3"/>
        <v>250000</v>
      </c>
      <c r="C37" s="146">
        <f>$B$9*VLOOKUP(A37,'Datos Mun'!$A$5:$AQ$55,39,FALSE)</f>
        <v>101809.15468516527</v>
      </c>
      <c r="D37" s="144">
        <f t="shared" si="4"/>
        <v>83333.333333333328</v>
      </c>
      <c r="E37" s="146">
        <f>$D$9*VLOOKUP(A37,'Datos Mun'!$A$5:$AQ$55,39,FALSE)</f>
        <v>10966.340363460566</v>
      </c>
      <c r="F37" s="223">
        <f t="shared" si="5"/>
        <v>446108.83</v>
      </c>
    </row>
    <row r="38" spans="1:6">
      <c r="A38" s="157" t="s">
        <v>12</v>
      </c>
      <c r="B38" s="228">
        <f t="shared" si="3"/>
        <v>250000</v>
      </c>
      <c r="C38" s="146">
        <f>$B$9*VLOOKUP(A38,'Datos Mun'!$A$5:$AQ$55,39,FALSE)</f>
        <v>137733.63842284621</v>
      </c>
      <c r="D38" s="144">
        <f t="shared" si="4"/>
        <v>83333.333333333328</v>
      </c>
      <c r="E38" s="146">
        <f>$D$9*VLOOKUP(A38,'Datos Mun'!$A$5:$AQ$55,39,FALSE)</f>
        <v>14835.934578905099</v>
      </c>
      <c r="F38" s="223">
        <f t="shared" si="5"/>
        <v>485902.91</v>
      </c>
    </row>
    <row r="39" spans="1:6">
      <c r="A39" s="157" t="s">
        <v>13</v>
      </c>
      <c r="B39" s="228">
        <f t="shared" si="3"/>
        <v>250000</v>
      </c>
      <c r="C39" s="146">
        <f>$B$9*VLOOKUP(A39,'Datos Mun'!$A$5:$AQ$55,39,FALSE)</f>
        <v>953552.31023720116</v>
      </c>
      <c r="D39" s="144">
        <f t="shared" si="4"/>
        <v>83333.333333333328</v>
      </c>
      <c r="E39" s="146">
        <f>$D$9*VLOOKUP(A39,'Datos Mun'!$A$5:$AQ$55,39,FALSE)</f>
        <v>102711.58051319122</v>
      </c>
      <c r="F39" s="223">
        <f t="shared" si="5"/>
        <v>1389597.22</v>
      </c>
    </row>
    <row r="40" spans="1:6">
      <c r="A40" s="157" t="s">
        <v>14</v>
      </c>
      <c r="B40" s="228">
        <f t="shared" si="3"/>
        <v>250000</v>
      </c>
      <c r="C40" s="146">
        <f>$B$9*VLOOKUP(A40,'Datos Mun'!$A$5:$AQ$55,39,FALSE)</f>
        <v>500557.05371638207</v>
      </c>
      <c r="D40" s="144">
        <f t="shared" si="4"/>
        <v>83333.333333333328</v>
      </c>
      <c r="E40" s="146">
        <f>$D$9*VLOOKUP(A40,'Datos Mun'!$A$5:$AQ$55,39,FALSE)</f>
        <v>53917.342103074239</v>
      </c>
      <c r="F40" s="223">
        <f t="shared" si="5"/>
        <v>887807.73</v>
      </c>
    </row>
    <row r="41" spans="1:6">
      <c r="A41" s="157" t="s">
        <v>15</v>
      </c>
      <c r="B41" s="228">
        <f t="shared" si="3"/>
        <v>250000</v>
      </c>
      <c r="C41" s="146">
        <f>$B$9*VLOOKUP(A41,'Datos Mun'!$A$5:$AQ$55,39,FALSE)</f>
        <v>18863.821576542887</v>
      </c>
      <c r="D41" s="144">
        <f t="shared" si="4"/>
        <v>83333.333333333328</v>
      </c>
      <c r="E41" s="146">
        <f>$D$9*VLOOKUP(A41,'Datos Mun'!$A$5:$AQ$55,39,FALSE)</f>
        <v>2031.9104760635385</v>
      </c>
      <c r="F41" s="223">
        <f t="shared" si="5"/>
        <v>354229.07</v>
      </c>
    </row>
    <row r="42" spans="1:6">
      <c r="A42" s="157" t="s">
        <v>16</v>
      </c>
      <c r="B42" s="228">
        <f t="shared" si="3"/>
        <v>250000</v>
      </c>
      <c r="C42" s="146">
        <f>$B$9*VLOOKUP(A42,'Datos Mun'!$A$5:$AQ$55,39,FALSE)</f>
        <v>45162.208127370315</v>
      </c>
      <c r="D42" s="144">
        <f t="shared" si="4"/>
        <v>83333.333333333328</v>
      </c>
      <c r="E42" s="146">
        <f>$D$9*VLOOKUP(A42,'Datos Mun'!$A$5:$AQ$55,39,FALSE)</f>
        <v>4864.6327279874122</v>
      </c>
      <c r="F42" s="223">
        <f t="shared" si="5"/>
        <v>383360.17</v>
      </c>
    </row>
    <row r="43" spans="1:6">
      <c r="A43" s="157" t="s">
        <v>17</v>
      </c>
      <c r="B43" s="228">
        <f t="shared" si="3"/>
        <v>250000</v>
      </c>
      <c r="C43" s="146">
        <f>$B$9*VLOOKUP(A43,'Datos Mun'!$A$5:$AQ$55,39,FALSE)</f>
        <v>567343.30437156884</v>
      </c>
      <c r="D43" s="144">
        <f t="shared" si="4"/>
        <v>83333.333333333328</v>
      </c>
      <c r="E43" s="146">
        <f>$D$9*VLOOKUP(A43,'Datos Mun'!$A$5:$AQ$55,39,FALSE)</f>
        <v>61111.201619431544</v>
      </c>
      <c r="F43" s="223">
        <f t="shared" si="5"/>
        <v>961787.84</v>
      </c>
    </row>
    <row r="44" spans="1:6">
      <c r="A44" s="157" t="s">
        <v>19</v>
      </c>
      <c r="B44" s="228">
        <f t="shared" si="3"/>
        <v>250000</v>
      </c>
      <c r="C44" s="146">
        <f>$B$9*VLOOKUP(A44,'Datos Mun'!$A$5:$AQ$55,39,FALSE)</f>
        <v>76370.736470915523</v>
      </c>
      <c r="D44" s="144">
        <f t="shared" si="4"/>
        <v>83333.333333333328</v>
      </c>
      <c r="E44" s="146">
        <f>$D$9*VLOOKUP(A44,'Datos Mun'!$A$5:$AQ$55,39,FALSE)</f>
        <v>8226.2493244160596</v>
      </c>
      <c r="F44" s="223">
        <f t="shared" si="5"/>
        <v>417930.32</v>
      </c>
    </row>
    <row r="45" spans="1:6">
      <c r="A45" s="157" t="s">
        <v>21</v>
      </c>
      <c r="B45" s="228">
        <f t="shared" si="3"/>
        <v>250000</v>
      </c>
      <c r="C45" s="146">
        <f>$B$9*VLOOKUP(A45,'Datos Mun'!$A$5:$AQ$55,39,FALSE)</f>
        <v>195698.27839959084</v>
      </c>
      <c r="D45" s="144">
        <f t="shared" si="4"/>
        <v>83333.333333333328</v>
      </c>
      <c r="E45" s="146">
        <f>$D$9*VLOOKUP(A45,'Datos Mun'!$A$5:$AQ$55,39,FALSE)</f>
        <v>21079.577137338576</v>
      </c>
      <c r="F45" s="223">
        <f t="shared" si="5"/>
        <v>550111.18999999994</v>
      </c>
    </row>
    <row r="46" spans="1:6">
      <c r="A46" s="157" t="s">
        <v>22</v>
      </c>
      <c r="B46" s="228">
        <f t="shared" si="3"/>
        <v>250000</v>
      </c>
      <c r="C46" s="146">
        <f>$B$9*VLOOKUP(A46,'Datos Mun'!$A$5:$AQ$55,39,FALSE)</f>
        <v>25077.786331168776</v>
      </c>
      <c r="D46" s="144">
        <f t="shared" si="4"/>
        <v>83333.333333333328</v>
      </c>
      <c r="E46" s="146">
        <f>$D$9*VLOOKUP(A46,'Datos Mun'!$A$5:$AQ$55,39,FALSE)</f>
        <v>2701.245691707998</v>
      </c>
      <c r="F46" s="223">
        <f t="shared" si="5"/>
        <v>361112.37</v>
      </c>
    </row>
    <row r="47" spans="1:6">
      <c r="A47" s="157" t="s">
        <v>23</v>
      </c>
      <c r="B47" s="228">
        <f t="shared" si="3"/>
        <v>250000</v>
      </c>
      <c r="C47" s="146">
        <f>$B$9*VLOOKUP(A47,'Datos Mun'!$A$5:$AQ$55,39,FALSE)</f>
        <v>87134.211135178237</v>
      </c>
      <c r="D47" s="144">
        <f t="shared" si="4"/>
        <v>83333.333333333328</v>
      </c>
      <c r="E47" s="146">
        <f>$D$9*VLOOKUP(A47,'Datos Mun'!$A$5:$AQ$55,39,FALSE)</f>
        <v>9385.6335372287849</v>
      </c>
      <c r="F47" s="223">
        <f t="shared" si="5"/>
        <v>429853.18</v>
      </c>
    </row>
    <row r="48" spans="1:6">
      <c r="A48" s="157" t="s">
        <v>24</v>
      </c>
      <c r="B48" s="228">
        <f t="shared" si="3"/>
        <v>250000</v>
      </c>
      <c r="C48" s="146">
        <f>$B$9*VLOOKUP(A48,'Datos Mun'!$A$5:$AQ$55,39,FALSE)</f>
        <v>1416853.3163399112</v>
      </c>
      <c r="D48" s="144">
        <f t="shared" si="4"/>
        <v>83333.333333333328</v>
      </c>
      <c r="E48" s="146">
        <f>$D$9*VLOOKUP(A48,'Datos Mun'!$A$5:$AQ$55,39,FALSE)</f>
        <v>152615.89942603998</v>
      </c>
      <c r="F48" s="223">
        <f t="shared" si="5"/>
        <v>1902802.55</v>
      </c>
    </row>
    <row r="49" spans="1:6">
      <c r="A49" s="157" t="s">
        <v>26</v>
      </c>
      <c r="B49" s="228">
        <f t="shared" si="3"/>
        <v>250000</v>
      </c>
      <c r="C49" s="146">
        <f>$B$9*VLOOKUP(A49,'Datos Mun'!$A$5:$AQ$55,39,FALSE)</f>
        <v>27172.225344446699</v>
      </c>
      <c r="D49" s="144">
        <f t="shared" si="4"/>
        <v>83333.333333333328</v>
      </c>
      <c r="E49" s="146">
        <f>$D$9*VLOOKUP(A49,'Datos Mun'!$A$5:$AQ$55,39,FALSE)</f>
        <v>2926.8475166238763</v>
      </c>
      <c r="F49" s="223">
        <f t="shared" si="5"/>
        <v>363432.41</v>
      </c>
    </row>
    <row r="50" spans="1:6">
      <c r="A50" s="157" t="s">
        <v>27</v>
      </c>
      <c r="B50" s="228">
        <f t="shared" si="3"/>
        <v>250000</v>
      </c>
      <c r="C50" s="146">
        <f>$B$9*VLOOKUP(A50,'Datos Mun'!$A$5:$AQ$55,39,FALSE)</f>
        <v>223120.17197078592</v>
      </c>
      <c r="D50" s="144">
        <f t="shared" si="4"/>
        <v>83333.333333333328</v>
      </c>
      <c r="E50" s="146">
        <f>$D$9*VLOOKUP(A50,'Datos Mun'!$A$5:$AQ$55,39,FALSE)</f>
        <v>24033.317586733883</v>
      </c>
      <c r="F50" s="223">
        <f t="shared" si="5"/>
        <v>580486.81999999995</v>
      </c>
    </row>
    <row r="51" spans="1:6">
      <c r="A51" s="157" t="s">
        <v>28</v>
      </c>
      <c r="B51" s="228">
        <f t="shared" si="3"/>
        <v>250000</v>
      </c>
      <c r="C51" s="146">
        <f>$B$9*VLOOKUP(A51,'Datos Mun'!$A$5:$AQ$55,39,FALSE)</f>
        <v>19224.453459623852</v>
      </c>
      <c r="D51" s="144">
        <f t="shared" si="4"/>
        <v>83333.333333333328</v>
      </c>
      <c r="E51" s="146">
        <f>$D$9*VLOOKUP(A51,'Datos Mun'!$A$5:$AQ$55,39,FALSE)</f>
        <v>2070.7558234000471</v>
      </c>
      <c r="F51" s="223">
        <f t="shared" si="5"/>
        <v>354628.54</v>
      </c>
    </row>
    <row r="52" spans="1:6">
      <c r="A52" s="157" t="s">
        <v>29</v>
      </c>
      <c r="B52" s="228">
        <f t="shared" si="3"/>
        <v>250000</v>
      </c>
      <c r="C52" s="146">
        <f>$B$9*VLOOKUP(A52,'Datos Mun'!$A$5:$AQ$55,39,FALSE)</f>
        <v>97453.831174110514</v>
      </c>
      <c r="D52" s="144">
        <f t="shared" si="4"/>
        <v>83333.333333333328</v>
      </c>
      <c r="E52" s="146">
        <f>$D$9*VLOOKUP(A52,'Datos Mun'!$A$5:$AQ$55,39,FALSE)</f>
        <v>10497.208091781191</v>
      </c>
      <c r="F52" s="223">
        <f t="shared" si="5"/>
        <v>441284.37</v>
      </c>
    </row>
    <row r="53" spans="1:6">
      <c r="A53" s="157" t="s">
        <v>30</v>
      </c>
      <c r="B53" s="228">
        <f t="shared" si="3"/>
        <v>250000</v>
      </c>
      <c r="C53" s="146">
        <f>$B$9*VLOOKUP(A53,'Datos Mun'!$A$5:$AQ$55,39,FALSE)</f>
        <v>45744.767323116495</v>
      </c>
      <c r="D53" s="144">
        <f t="shared" si="4"/>
        <v>83333.333333333328</v>
      </c>
      <c r="E53" s="146">
        <f>$D$9*VLOOKUP(A53,'Datos Mun'!$A$5:$AQ$55,39,FALSE)</f>
        <v>4927.3829044540807</v>
      </c>
      <c r="F53" s="223">
        <f t="shared" si="5"/>
        <v>384005.48</v>
      </c>
    </row>
    <row r="54" spans="1:6">
      <c r="A54" s="157" t="s">
        <v>32</v>
      </c>
      <c r="B54" s="228">
        <f t="shared" si="3"/>
        <v>250000</v>
      </c>
      <c r="C54" s="146">
        <f>$B$9*VLOOKUP(A54,'Datos Mun'!$A$5:$AQ$55,39,FALSE)</f>
        <v>74220.815629471312</v>
      </c>
      <c r="D54" s="144">
        <f t="shared" si="4"/>
        <v>83333.333333333328</v>
      </c>
      <c r="E54" s="146">
        <f>$D$9*VLOOKUP(A54,'Datos Mun'!$A$5:$AQ$55,39,FALSE)</f>
        <v>7994.6712922176421</v>
      </c>
      <c r="F54" s="223">
        <f t="shared" si="5"/>
        <v>415548.82</v>
      </c>
    </row>
    <row r="55" spans="1:6">
      <c r="A55" s="157" t="s">
        <v>33</v>
      </c>
      <c r="B55" s="228">
        <f t="shared" si="3"/>
        <v>250000</v>
      </c>
      <c r="C55" s="146">
        <f>$B$9*VLOOKUP(A55,'Datos Mun'!$A$5:$AQ$55,39,FALSE)</f>
        <v>1174356.115882044</v>
      </c>
      <c r="D55" s="144">
        <f t="shared" si="4"/>
        <v>83333.333333333328</v>
      </c>
      <c r="E55" s="146">
        <f>$D$9*VLOOKUP(A55,'Datos Mun'!$A$5:$AQ$55,39,FALSE)</f>
        <v>126495.39144587907</v>
      </c>
      <c r="F55" s="223">
        <f t="shared" si="5"/>
        <v>1634184.84</v>
      </c>
    </row>
    <row r="56" spans="1:6">
      <c r="A56" s="157" t="s">
        <v>34</v>
      </c>
      <c r="B56" s="228">
        <f t="shared" si="3"/>
        <v>250000</v>
      </c>
      <c r="C56" s="146">
        <f>$B$9*VLOOKUP(A56,'Datos Mun'!$A$5:$AQ$55,39,FALSE)</f>
        <v>71002.869595825745</v>
      </c>
      <c r="D56" s="144">
        <f t="shared" si="4"/>
        <v>83333.333333333328</v>
      </c>
      <c r="E56" s="146">
        <f>$D$9*VLOOKUP(A56,'Datos Mun'!$A$5:$AQ$55,39,FALSE)</f>
        <v>7648.0512698303328</v>
      </c>
      <c r="F56" s="223">
        <f t="shared" si="5"/>
        <v>411984.25</v>
      </c>
    </row>
    <row r="57" spans="1:6">
      <c r="A57" s="157" t="s">
        <v>35</v>
      </c>
      <c r="B57" s="228">
        <f t="shared" si="3"/>
        <v>250000</v>
      </c>
      <c r="C57" s="146">
        <f>$B$9*VLOOKUP(A57,'Datos Mun'!$A$5:$AQ$55,39,FALSE)</f>
        <v>20569.887792656689</v>
      </c>
      <c r="D57" s="144">
        <f t="shared" si="4"/>
        <v>83333.333333333328</v>
      </c>
      <c r="E57" s="146">
        <f>$D$9*VLOOKUP(A57,'Datos Mun'!$A$5:$AQ$55,39,FALSE)</f>
        <v>2215.6788500016378</v>
      </c>
      <c r="F57" s="223">
        <f t="shared" si="5"/>
        <v>356118.9</v>
      </c>
    </row>
    <row r="58" spans="1:6">
      <c r="A58" s="157" t="s">
        <v>36</v>
      </c>
      <c r="B58" s="228">
        <f t="shared" si="3"/>
        <v>250000</v>
      </c>
      <c r="C58" s="146">
        <f>$B$9*VLOOKUP(A58,'Datos Mun'!$A$5:$AQ$55,39,FALSE)</f>
        <v>106136.73728213688</v>
      </c>
      <c r="D58" s="144">
        <f t="shared" si="4"/>
        <v>83333.333333333328</v>
      </c>
      <c r="E58" s="146">
        <f>$D$9*VLOOKUP(A58,'Datos Mun'!$A$5:$AQ$55,39,FALSE)</f>
        <v>11432.484531498672</v>
      </c>
      <c r="F58" s="223">
        <f t="shared" si="5"/>
        <v>450902.56</v>
      </c>
    </row>
    <row r="59" spans="1:6">
      <c r="A59" s="157" t="s">
        <v>37</v>
      </c>
      <c r="B59" s="228">
        <f t="shared" si="3"/>
        <v>250000</v>
      </c>
      <c r="C59" s="146">
        <f>$B$9*VLOOKUP(A59,'Datos Mun'!$A$5:$AQ$55,39,FALSE)</f>
        <v>83888.52418744954</v>
      </c>
      <c r="D59" s="144">
        <f t="shared" si="4"/>
        <v>83333.333333333328</v>
      </c>
      <c r="E59" s="146">
        <f>$D$9*VLOOKUP(A59,'Datos Mun'!$A$5:$AQ$55,39,FALSE)</f>
        <v>9036.0254112002058</v>
      </c>
      <c r="F59" s="223">
        <f t="shared" si="5"/>
        <v>426257.88</v>
      </c>
    </row>
    <row r="60" spans="1:6">
      <c r="A60" s="157" t="s">
        <v>38</v>
      </c>
      <c r="B60" s="228">
        <f t="shared" si="3"/>
        <v>250000</v>
      </c>
      <c r="C60" s="146">
        <f>$B$9*VLOOKUP(A60,'Datos Mun'!$A$5:$AQ$55,39,FALSE)</f>
        <v>935257.17739936302</v>
      </c>
      <c r="D60" s="144">
        <f t="shared" si="4"/>
        <v>83333.333333333328</v>
      </c>
      <c r="E60" s="146">
        <f>$D$9*VLOOKUP(A60,'Datos Mun'!$A$5:$AQ$55,39,FALSE)</f>
        <v>100740.92616177372</v>
      </c>
      <c r="F60" s="223">
        <f t="shared" si="5"/>
        <v>1369331.44</v>
      </c>
    </row>
    <row r="61" spans="1:6">
      <c r="A61" s="157" t="s">
        <v>40</v>
      </c>
      <c r="B61" s="228">
        <f t="shared" si="3"/>
        <v>250000</v>
      </c>
      <c r="C61" s="146">
        <f>$B$9*VLOOKUP(A61,'Datos Mun'!$A$5:$AQ$55,39,FALSE)</f>
        <v>12566.634079667539</v>
      </c>
      <c r="D61" s="144">
        <f t="shared" si="4"/>
        <v>83333.333333333328</v>
      </c>
      <c r="E61" s="146">
        <f>$D$9*VLOOKUP(A61,'Datos Mun'!$A$5:$AQ$55,39,FALSE)</f>
        <v>1353.6109494952691</v>
      </c>
      <c r="F61" s="223">
        <f t="shared" si="5"/>
        <v>347253.58</v>
      </c>
    </row>
    <row r="62" spans="1:6">
      <c r="A62" s="157" t="s">
        <v>41</v>
      </c>
      <c r="B62" s="228">
        <f t="shared" si="3"/>
        <v>250000</v>
      </c>
      <c r="C62" s="146">
        <f>$B$9*VLOOKUP(A62,'Datos Mun'!$A$5:$AQ$55,39,FALSE)</f>
        <v>2047612.350305564</v>
      </c>
      <c r="D62" s="144">
        <f t="shared" si="4"/>
        <v>83333.333333333328</v>
      </c>
      <c r="E62" s="146">
        <f>$D$9*VLOOKUP(A62,'Datos Mun'!$A$5:$AQ$55,39,FALSE)</f>
        <v>220557.90596941457</v>
      </c>
      <c r="F62" s="223">
        <f t="shared" si="5"/>
        <v>2601503.59</v>
      </c>
    </row>
    <row r="63" spans="1:6">
      <c r="A63" s="157" t="s">
        <v>42</v>
      </c>
      <c r="B63" s="228">
        <f t="shared" si="3"/>
        <v>250000</v>
      </c>
      <c r="C63" s="146">
        <f>$B$9*VLOOKUP(A63,'Datos Mun'!$A$5:$AQ$55,39,FALSE)</f>
        <v>74747.892997051182</v>
      </c>
      <c r="D63" s="144">
        <f t="shared" si="4"/>
        <v>83333.333333333328</v>
      </c>
      <c r="E63" s="146">
        <f>$D$9*VLOOKUP(A63,'Datos Mun'!$A$5:$AQ$55,39,FALSE)</f>
        <v>8051.4452614017709</v>
      </c>
      <c r="F63" s="223">
        <f t="shared" si="5"/>
        <v>416132.67</v>
      </c>
    </row>
    <row r="64" spans="1:6">
      <c r="A64" s="157" t="s">
        <v>43</v>
      </c>
      <c r="B64" s="228">
        <f t="shared" si="3"/>
        <v>250000</v>
      </c>
      <c r="C64" s="146">
        <f>$B$9*VLOOKUP(A64,'Datos Mun'!$A$5:$AQ$55,39,FALSE)</f>
        <v>32970.07638782532</v>
      </c>
      <c r="D64" s="144">
        <f t="shared" si="4"/>
        <v>83333.333333333328</v>
      </c>
      <c r="E64" s="146">
        <f>$D$9*VLOOKUP(A64,'Datos Mun'!$A$5:$AQ$55,39,FALSE)</f>
        <v>3551.3611776492871</v>
      </c>
      <c r="F64" s="223">
        <f t="shared" si="5"/>
        <v>369854.77</v>
      </c>
    </row>
    <row r="65" spans="1:6">
      <c r="A65" s="157" t="s">
        <v>44</v>
      </c>
      <c r="B65" s="228">
        <f t="shared" si="3"/>
        <v>250000</v>
      </c>
      <c r="C65" s="146">
        <f>$B$9*VLOOKUP(A65,'Datos Mun'!$A$5:$AQ$55,39,FALSE)</f>
        <v>481429.69345604925</v>
      </c>
      <c r="D65" s="144">
        <f t="shared" si="4"/>
        <v>83333.333333333328</v>
      </c>
      <c r="E65" s="146">
        <f>$D$9*VLOOKUP(A65,'Datos Mun'!$A$5:$AQ$55,39,FALSE)</f>
        <v>51857.044642418645</v>
      </c>
      <c r="F65" s="223">
        <f t="shared" si="5"/>
        <v>866620.07</v>
      </c>
    </row>
    <row r="66" spans="1:6">
      <c r="A66" s="157" t="s">
        <v>50</v>
      </c>
      <c r="B66" s="228">
        <f t="shared" si="3"/>
        <v>250000</v>
      </c>
      <c r="C66" s="146">
        <f>$B$9*VLOOKUP(A66,'Datos Mun'!$A$5:$AQ$55,39,FALSE)</f>
        <v>21526.949328525407</v>
      </c>
      <c r="D66" s="144">
        <f t="shared" si="4"/>
        <v>83333.333333333328</v>
      </c>
      <c r="E66" s="146">
        <f>$D$9*VLOOKUP(A66,'Datos Mun'!$A$5:$AQ$55,39,FALSE)</f>
        <v>2318.7684256254493</v>
      </c>
      <c r="F66" s="223">
        <f t="shared" si="5"/>
        <v>357179.05</v>
      </c>
    </row>
    <row r="67" spans="1:6">
      <c r="A67" s="157" t="s">
        <v>51</v>
      </c>
      <c r="B67" s="228">
        <f t="shared" si="3"/>
        <v>250000</v>
      </c>
      <c r="C67" s="146">
        <f>$B$9*VLOOKUP(A67,'Datos Mun'!$A$5:$AQ$55,39,FALSE)</f>
        <v>49559.1430095498</v>
      </c>
      <c r="D67" s="144">
        <f t="shared" si="4"/>
        <v>83333.333333333328</v>
      </c>
      <c r="E67" s="146">
        <f>$D$9*VLOOKUP(A67,'Datos Mun'!$A$5:$AQ$55,39,FALSE)</f>
        <v>5338.2471551286935</v>
      </c>
      <c r="F67" s="223">
        <f t="shared" si="5"/>
        <v>388230.72</v>
      </c>
    </row>
    <row r="68" spans="1:6" s="161" customFormat="1">
      <c r="A68" s="158" t="s">
        <v>140</v>
      </c>
      <c r="B68" s="229">
        <f>SUM(B29:B67)</f>
        <v>9750000</v>
      </c>
      <c r="C68" s="160">
        <f>SUM(C29:C67)</f>
        <v>12279834.639418874</v>
      </c>
      <c r="D68" s="159">
        <f>SUM(D29:D67)</f>
        <v>3250000.0000000014</v>
      </c>
      <c r="E68" s="160">
        <f>SUM(E29:E67)</f>
        <v>1322718.4400000004</v>
      </c>
      <c r="F68" s="226">
        <f>SUM(F29:F67)</f>
        <v>26602553.082689542</v>
      </c>
    </row>
    <row r="69" spans="1:6" ht="13.8" thickBot="1">
      <c r="A69" s="162" t="s">
        <v>52</v>
      </c>
      <c r="B69" s="230">
        <f>B68+B26</f>
        <v>12750000</v>
      </c>
      <c r="C69" s="149">
        <f>C68+C26</f>
        <v>30699586.59854719</v>
      </c>
      <c r="D69" s="148">
        <f>D68+D26</f>
        <v>4250000.0000000019</v>
      </c>
      <c r="E69" s="149">
        <f>E68+E26</f>
        <v>3306796.0999999996</v>
      </c>
      <c r="F69" s="224">
        <f>F68+F26</f>
        <v>51006382.701817863</v>
      </c>
    </row>
    <row r="70" spans="1:6">
      <c r="C70" s="163"/>
      <c r="D70" s="163"/>
      <c r="E70" s="163"/>
    </row>
    <row r="71" spans="1:6">
      <c r="C71" s="163"/>
      <c r="D71" s="163"/>
      <c r="E71" s="163"/>
    </row>
    <row r="72" spans="1:6">
      <c r="C72" s="163"/>
      <c r="D72" s="163"/>
      <c r="E72" s="163"/>
    </row>
    <row r="73" spans="1:6">
      <c r="C73" s="163"/>
      <c r="D73" s="163"/>
      <c r="E73" s="163"/>
    </row>
    <row r="74" spans="1:6">
      <c r="C74" s="163"/>
      <c r="D74" s="163"/>
      <c r="E74" s="163"/>
    </row>
    <row r="75" spans="1:6">
      <c r="C75" s="163"/>
      <c r="D75" s="163"/>
      <c r="E75" s="163"/>
    </row>
    <row r="76" spans="1:6">
      <c r="C76" s="163"/>
      <c r="D76" s="163"/>
      <c r="E76" s="163"/>
    </row>
    <row r="77" spans="1:6">
      <c r="C77" s="163"/>
      <c r="D77" s="163"/>
      <c r="E77" s="163"/>
    </row>
    <row r="78" spans="1:6">
      <c r="C78" s="163"/>
      <c r="D78" s="163"/>
      <c r="E78" s="163"/>
    </row>
    <row r="79" spans="1:6">
      <c r="C79" s="163"/>
      <c r="D79" s="163"/>
      <c r="E79" s="163"/>
    </row>
    <row r="80" spans="1:6">
      <c r="C80" s="163"/>
      <c r="D80" s="163"/>
      <c r="E80" s="163"/>
    </row>
    <row r="81" spans="3:5">
      <c r="C81" s="163"/>
      <c r="D81" s="163"/>
      <c r="E81" s="163"/>
    </row>
    <row r="82" spans="3:5">
      <c r="C82" s="163"/>
      <c r="D82" s="163"/>
      <c r="E82" s="163"/>
    </row>
    <row r="83" spans="3:5">
      <c r="C83" s="163"/>
      <c r="D83" s="163"/>
      <c r="E83" s="163"/>
    </row>
    <row r="84" spans="3:5">
      <c r="C84" s="163"/>
      <c r="D84" s="163"/>
      <c r="E84" s="163"/>
    </row>
    <row r="85" spans="3:5">
      <c r="C85" s="163"/>
      <c r="D85" s="163"/>
      <c r="E85" s="163"/>
    </row>
    <row r="86" spans="3:5">
      <c r="C86" s="163"/>
      <c r="D86" s="163"/>
      <c r="E86" s="163"/>
    </row>
    <row r="87" spans="3:5">
      <c r="C87" s="163"/>
      <c r="D87" s="163"/>
      <c r="E87" s="163"/>
    </row>
    <row r="88" spans="3:5">
      <c r="C88" s="163"/>
      <c r="D88" s="163"/>
      <c r="E88" s="163"/>
    </row>
    <row r="89" spans="3:5">
      <c r="C89" s="163"/>
      <c r="D89" s="163"/>
      <c r="E89" s="163"/>
    </row>
    <row r="90" spans="3:5">
      <c r="C90" s="163"/>
      <c r="D90" s="163"/>
      <c r="E90" s="163"/>
    </row>
    <row r="91" spans="3:5">
      <c r="C91" s="163"/>
      <c r="D91" s="163"/>
      <c r="E91" s="163"/>
    </row>
    <row r="92" spans="3:5">
      <c r="C92" s="163"/>
      <c r="D92" s="163"/>
      <c r="E92" s="163"/>
    </row>
    <row r="93" spans="3:5">
      <c r="C93" s="163"/>
      <c r="D93" s="163"/>
      <c r="E93" s="163"/>
    </row>
    <row r="94" spans="3:5">
      <c r="C94" s="163"/>
      <c r="D94" s="163"/>
      <c r="E94" s="163"/>
    </row>
    <row r="95" spans="3:5">
      <c r="C95" s="163"/>
      <c r="D95" s="163"/>
      <c r="E95" s="163"/>
    </row>
    <row r="96" spans="3:5">
      <c r="C96" s="163"/>
      <c r="D96" s="163"/>
      <c r="E96" s="163"/>
    </row>
  </sheetData>
  <mergeCells count="16">
    <mergeCell ref="A1:F1"/>
    <mergeCell ref="A2:F2"/>
    <mergeCell ref="B3:C3"/>
    <mergeCell ref="D3:E3"/>
    <mergeCell ref="B4:C4"/>
    <mergeCell ref="D4:E4"/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opLeftCell="A7" zoomScaleNormal="100" zoomScaleSheetLayoutView="100" workbookViewId="0">
      <selection activeCell="C17" sqref="C17"/>
    </sheetView>
  </sheetViews>
  <sheetFormatPr baseColWidth="10" defaultColWidth="11.44140625" defaultRowHeight="13.2"/>
  <cols>
    <col min="1" max="1" width="50.5546875" style="67" customWidth="1"/>
    <col min="2" max="2" width="15.6640625" style="67" customWidth="1"/>
    <col min="3" max="3" width="20.44140625" style="67" customWidth="1"/>
    <col min="4" max="4" width="25.6640625" style="67" bestFit="1" customWidth="1"/>
    <col min="5" max="5" width="18.44140625" style="67" customWidth="1"/>
    <col min="6" max="6" width="15.44140625" style="67" customWidth="1"/>
    <col min="7" max="16384" width="11.44140625" style="67"/>
  </cols>
  <sheetData>
    <row r="1" spans="1:6" ht="27.75" customHeight="1">
      <c r="A1" s="332" t="s">
        <v>194</v>
      </c>
      <c r="B1" s="332"/>
      <c r="C1" s="332"/>
      <c r="D1" s="332"/>
    </row>
    <row r="2" spans="1:6" ht="26.4">
      <c r="A2" s="99" t="s">
        <v>115</v>
      </c>
      <c r="B2" s="99" t="s">
        <v>97</v>
      </c>
      <c r="C2" s="99" t="s">
        <v>98</v>
      </c>
      <c r="D2" s="99" t="s">
        <v>99</v>
      </c>
      <c r="E2" s="99" t="s">
        <v>118</v>
      </c>
    </row>
    <row r="3" spans="1:6" ht="25.5" customHeight="1">
      <c r="A3" s="100" t="s">
        <v>55</v>
      </c>
      <c r="B3" s="101">
        <v>32556595955.2948</v>
      </c>
      <c r="C3" s="102">
        <v>0.2</v>
      </c>
      <c r="D3" s="110">
        <f>B3*C3</f>
        <v>6511319191.05896</v>
      </c>
      <c r="E3" s="110">
        <f>B3-D3</f>
        <v>26045276764.23584</v>
      </c>
    </row>
    <row r="4" spans="1:6" ht="25.5" customHeight="1">
      <c r="A4" s="100" t="s">
        <v>60</v>
      </c>
      <c r="B4" s="101">
        <v>879482811.2107892</v>
      </c>
      <c r="C4" s="102">
        <v>1</v>
      </c>
      <c r="D4" s="110">
        <f t="shared" ref="D4:D11" si="0">B4*C4</f>
        <v>879482811.2107892</v>
      </c>
      <c r="E4" s="110">
        <f t="shared" ref="E4:E11" si="1">B4-D4</f>
        <v>0</v>
      </c>
    </row>
    <row r="5" spans="1:6" ht="25.5" customHeight="1">
      <c r="A5" s="100" t="s">
        <v>61</v>
      </c>
      <c r="B5" s="101">
        <v>275623932.5414921</v>
      </c>
      <c r="C5" s="102">
        <v>1</v>
      </c>
      <c r="D5" s="110">
        <f t="shared" si="0"/>
        <v>275623932.5414921</v>
      </c>
      <c r="E5" s="110">
        <f t="shared" si="1"/>
        <v>0</v>
      </c>
      <c r="F5" s="68"/>
    </row>
    <row r="6" spans="1:6" ht="25.5" customHeight="1">
      <c r="A6" s="100" t="s">
        <v>56</v>
      </c>
      <c r="B6" s="101">
        <v>988038740.34765458</v>
      </c>
      <c r="C6" s="102">
        <v>0.2</v>
      </c>
      <c r="D6" s="110">
        <f t="shared" si="0"/>
        <v>197607748.06953093</v>
      </c>
      <c r="E6" s="110">
        <f t="shared" si="1"/>
        <v>790430992.27812362</v>
      </c>
    </row>
    <row r="7" spans="1:6" ht="25.5" customHeight="1">
      <c r="A7" s="100" t="s">
        <v>57</v>
      </c>
      <c r="B7" s="101">
        <v>1683772415.1303682</v>
      </c>
      <c r="C7" s="102">
        <v>0.2</v>
      </c>
      <c r="D7" s="110">
        <f t="shared" si="0"/>
        <v>336754483.02607369</v>
      </c>
      <c r="E7" s="110">
        <f t="shared" si="1"/>
        <v>1347017932.1042945</v>
      </c>
    </row>
    <row r="8" spans="1:6" ht="25.5" customHeight="1">
      <c r="A8" s="100" t="s">
        <v>58</v>
      </c>
      <c r="B8" s="101">
        <v>-41428270</v>
      </c>
      <c r="C8" s="102">
        <v>0.2</v>
      </c>
      <c r="D8" s="110">
        <f t="shared" si="0"/>
        <v>-8285654</v>
      </c>
      <c r="E8" s="110">
        <f t="shared" si="1"/>
        <v>-33142616</v>
      </c>
    </row>
    <row r="9" spans="1:6" ht="25.5" customHeight="1">
      <c r="A9" s="100" t="s">
        <v>116</v>
      </c>
      <c r="B9" s="101">
        <v>758082262</v>
      </c>
      <c r="C9" s="102">
        <v>0.2</v>
      </c>
      <c r="D9" s="110">
        <f t="shared" si="0"/>
        <v>151616452.40000001</v>
      </c>
      <c r="E9" s="110">
        <f t="shared" si="1"/>
        <v>606465809.60000002</v>
      </c>
    </row>
    <row r="10" spans="1:6" ht="25.5" customHeight="1">
      <c r="A10" s="100" t="s">
        <v>59</v>
      </c>
      <c r="B10" s="101">
        <v>196144488</v>
      </c>
      <c r="C10" s="102">
        <v>0.2</v>
      </c>
      <c r="D10" s="110">
        <f t="shared" si="0"/>
        <v>39228897.600000001</v>
      </c>
      <c r="E10" s="110">
        <f t="shared" si="1"/>
        <v>156915590.40000001</v>
      </c>
    </row>
    <row r="11" spans="1:6" ht="25.5" customHeight="1">
      <c r="A11" s="100" t="s">
        <v>182</v>
      </c>
      <c r="B11" s="101">
        <v>935474525</v>
      </c>
      <c r="C11" s="102">
        <v>0.2</v>
      </c>
      <c r="D11" s="110">
        <f t="shared" si="0"/>
        <v>187094905</v>
      </c>
      <c r="E11" s="110">
        <f t="shared" si="1"/>
        <v>748379620</v>
      </c>
    </row>
    <row r="12" spans="1:6" ht="25.5" customHeight="1">
      <c r="A12" s="103" t="s">
        <v>53</v>
      </c>
      <c r="B12" s="104">
        <f>SUM(B3:B11)</f>
        <v>38231786859.525108</v>
      </c>
      <c r="C12" s="103"/>
      <c r="D12" s="104">
        <f>SUM(D3:D11)</f>
        <v>8570442766.9068451</v>
      </c>
      <c r="E12" s="104">
        <f>SUM(E3:E11)</f>
        <v>29661344092.618256</v>
      </c>
    </row>
    <row r="13" spans="1:6">
      <c r="A13" s="105"/>
      <c r="B13" s="105"/>
      <c r="C13" s="106"/>
      <c r="D13" s="107"/>
    </row>
    <row r="14" spans="1:6">
      <c r="A14" s="108" t="s">
        <v>117</v>
      </c>
      <c r="B14" s="108"/>
    </row>
    <row r="15" spans="1:6" ht="13.8" thickBot="1">
      <c r="B15" s="109"/>
    </row>
    <row r="16" spans="1:6" ht="40.200000000000003" thickTop="1">
      <c r="A16" s="114" t="s">
        <v>125</v>
      </c>
      <c r="B16" s="115" t="s">
        <v>119</v>
      </c>
      <c r="C16" s="115" t="s">
        <v>120</v>
      </c>
      <c r="D16" s="116" t="s">
        <v>181</v>
      </c>
    </row>
    <row r="17" spans="1:4" ht="17.25" customHeight="1">
      <c r="A17" s="117" t="s">
        <v>123</v>
      </c>
      <c r="B17" s="111">
        <f>E12</f>
        <v>29661344092.618256</v>
      </c>
      <c r="C17" s="111">
        <f>270.591036765433*1000000</f>
        <v>270591036.76543301</v>
      </c>
      <c r="D17" s="118">
        <v>0</v>
      </c>
    </row>
    <row r="18" spans="1:4" ht="17.25" customHeight="1">
      <c r="A18" s="117" t="s">
        <v>98</v>
      </c>
      <c r="B18" s="112">
        <v>1.84E-2</v>
      </c>
      <c r="C18" s="112">
        <v>0.35</v>
      </c>
      <c r="D18" s="119">
        <v>1</v>
      </c>
    </row>
    <row r="19" spans="1:4" ht="17.25" customHeight="1">
      <c r="A19" s="117" t="s">
        <v>97</v>
      </c>
      <c r="B19" s="113">
        <f>B17*B18</f>
        <v>545768731.30417585</v>
      </c>
      <c r="C19" s="113">
        <f>C17*C18</f>
        <v>94706862.867901549</v>
      </c>
      <c r="D19" s="282">
        <v>527769007</v>
      </c>
    </row>
    <row r="20" spans="1:4" ht="17.25" customHeight="1">
      <c r="A20" s="121"/>
      <c r="B20" s="122"/>
      <c r="C20" s="122"/>
      <c r="D20" s="123"/>
    </row>
    <row r="21" spans="1:4" ht="24.75" customHeight="1">
      <c r="A21" s="302" t="s">
        <v>122</v>
      </c>
      <c r="B21" s="305" t="s">
        <v>121</v>
      </c>
      <c r="C21" s="306"/>
      <c r="D21" s="307"/>
    </row>
    <row r="22" spans="1:4">
      <c r="A22" s="303"/>
      <c r="B22" s="308" t="str">
        <f>IF(B19&gt;D19,"1.84% Particpaciones del Estado","Ley de Egresos 2020")</f>
        <v>1.84% Particpaciones del Estado</v>
      </c>
      <c r="C22" s="308"/>
      <c r="D22" s="309"/>
    </row>
    <row r="23" spans="1:4">
      <c r="A23" s="304"/>
      <c r="B23" s="122"/>
      <c r="C23" s="122"/>
      <c r="D23" s="123"/>
    </row>
    <row r="24" spans="1:4" ht="13.8" thickBot="1">
      <c r="A24" s="124" t="s">
        <v>124</v>
      </c>
      <c r="B24" s="300">
        <f>IF(B22="Ley de Egresos 2020",D19+C19,B19+C19)</f>
        <v>640475594.17207742</v>
      </c>
      <c r="C24" s="310"/>
      <c r="D24" s="301"/>
    </row>
    <row r="25" spans="1:4" ht="13.8" thickTop="1"/>
    <row r="26" spans="1:4" ht="13.8" thickBot="1"/>
    <row r="27" spans="1:4" ht="27" thickTop="1">
      <c r="A27" s="114" t="s">
        <v>173</v>
      </c>
      <c r="B27" s="116" t="s">
        <v>119</v>
      </c>
    </row>
    <row r="28" spans="1:4">
      <c r="A28" s="117" t="s">
        <v>162</v>
      </c>
      <c r="B28" s="118">
        <f>E12</f>
        <v>29661344092.618256</v>
      </c>
    </row>
    <row r="29" spans="1:4">
      <c r="A29" s="117" t="s">
        <v>98</v>
      </c>
      <c r="B29" s="119">
        <v>1.5299999999999999E-2</v>
      </c>
    </row>
    <row r="30" spans="1:4" ht="13.8" thickBot="1">
      <c r="A30" s="124" t="s">
        <v>97</v>
      </c>
      <c r="B30" s="201">
        <f>B28*B29</f>
        <v>453818564.61705929</v>
      </c>
    </row>
    <row r="31" spans="1:4" ht="14.4" thickTop="1" thickBot="1"/>
    <row r="32" spans="1:4" ht="27.75" customHeight="1" thickTop="1">
      <c r="A32" s="114" t="s">
        <v>159</v>
      </c>
      <c r="B32" s="116" t="s">
        <v>119</v>
      </c>
    </row>
    <row r="33" spans="1:5">
      <c r="A33" s="117" t="s">
        <v>123</v>
      </c>
      <c r="B33" s="118">
        <f>$E$12</f>
        <v>29661344092.618256</v>
      </c>
    </row>
    <row r="34" spans="1:5">
      <c r="A34" s="117" t="s">
        <v>98</v>
      </c>
      <c r="B34" s="119">
        <v>5.4000000000000003E-3</v>
      </c>
    </row>
    <row r="35" spans="1:5" ht="13.8" thickBot="1">
      <c r="A35" s="124" t="s">
        <v>97</v>
      </c>
      <c r="B35" s="201">
        <f>B33*B34</f>
        <v>160171258.10013857</v>
      </c>
    </row>
    <row r="36" spans="1:5" ht="14.4" thickTop="1" thickBot="1"/>
    <row r="37" spans="1:5" ht="27" thickTop="1">
      <c r="A37" s="114" t="s">
        <v>161</v>
      </c>
      <c r="B37" s="115" t="s">
        <v>119</v>
      </c>
      <c r="C37" s="116" t="s">
        <v>181</v>
      </c>
    </row>
    <row r="38" spans="1:5">
      <c r="A38" s="117" t="s">
        <v>123</v>
      </c>
      <c r="B38" s="111">
        <f>$E$12</f>
        <v>29661344092.618256</v>
      </c>
      <c r="C38" s="118">
        <v>367143657</v>
      </c>
    </row>
    <row r="39" spans="1:5">
      <c r="A39" s="117" t="s">
        <v>98</v>
      </c>
      <c r="B39" s="112">
        <v>1.2800000000000001E-2</v>
      </c>
      <c r="C39" s="119">
        <v>1</v>
      </c>
    </row>
    <row r="40" spans="1:5">
      <c r="A40" s="117" t="s">
        <v>97</v>
      </c>
      <c r="B40" s="113">
        <f>B38*B39</f>
        <v>379665204.38551366</v>
      </c>
      <c r="C40" s="120">
        <f>C38*C39</f>
        <v>367143657</v>
      </c>
    </row>
    <row r="41" spans="1:5">
      <c r="A41" s="121"/>
      <c r="B41" s="122"/>
      <c r="C41" s="123"/>
      <c r="D41" s="285">
        <f>B40/12</f>
        <v>31638767.03212614</v>
      </c>
      <c r="E41" s="285">
        <f>C40/12</f>
        <v>30595304.75</v>
      </c>
    </row>
    <row r="42" spans="1:5" ht="24" customHeight="1">
      <c r="A42" s="302" t="s">
        <v>122</v>
      </c>
      <c r="B42" s="305" t="s">
        <v>163</v>
      </c>
      <c r="C42" s="311"/>
    </row>
    <row r="43" spans="1:5">
      <c r="A43" s="303"/>
      <c r="B43" s="312" t="str">
        <f>IF(B40&gt;C40,"1.28% Particpaciones del Estado","Ley de Egresos 2021")</f>
        <v>1.28% Particpaciones del Estado</v>
      </c>
      <c r="C43" s="313"/>
    </row>
    <row r="44" spans="1:5">
      <c r="A44" s="304"/>
      <c r="B44" s="314"/>
      <c r="C44" s="315"/>
    </row>
    <row r="45" spans="1:5" ht="13.8" thickBot="1">
      <c r="A45" s="124" t="s">
        <v>174</v>
      </c>
      <c r="B45" s="300">
        <f>C40</f>
        <v>367143657</v>
      </c>
      <c r="C45" s="301"/>
    </row>
    <row r="46" spans="1:5" ht="13.8" thickTop="1"/>
  </sheetData>
  <mergeCells count="9">
    <mergeCell ref="B45:C45"/>
    <mergeCell ref="B43:C44"/>
    <mergeCell ref="A1:D1"/>
    <mergeCell ref="B21:D21"/>
    <mergeCell ref="B22:D22"/>
    <mergeCell ref="B24:D24"/>
    <mergeCell ref="A42:A44"/>
    <mergeCell ref="A21:A23"/>
    <mergeCell ref="B42:C4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Normal="100" workbookViewId="0">
      <selection activeCell="B6" sqref="B6:E56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299" t="s">
        <v>95</v>
      </c>
      <c r="B1" s="299"/>
      <c r="C1" s="299"/>
      <c r="D1" s="299"/>
      <c r="E1" s="299"/>
      <c r="F1" s="299"/>
      <c r="I1" s="299" t="s">
        <v>95</v>
      </c>
      <c r="J1" s="299"/>
      <c r="K1" s="299"/>
      <c r="L1" s="299"/>
      <c r="M1" s="299"/>
      <c r="N1" s="299"/>
      <c r="P1" s="299" t="s">
        <v>95</v>
      </c>
      <c r="Q1" s="299"/>
      <c r="R1" s="299"/>
      <c r="S1" s="299"/>
      <c r="T1" s="299"/>
      <c r="U1" s="299"/>
      <c r="W1" s="299" t="s">
        <v>95</v>
      </c>
      <c r="X1" s="299"/>
      <c r="Y1" s="299"/>
      <c r="Z1" s="299"/>
      <c r="AA1" s="299"/>
      <c r="AB1" s="299"/>
    </row>
    <row r="2" spans="1:28">
      <c r="A2" s="299" t="s">
        <v>96</v>
      </c>
      <c r="B2" s="299"/>
      <c r="C2" s="299"/>
      <c r="D2" s="299"/>
      <c r="E2" s="299"/>
      <c r="F2" s="299"/>
      <c r="I2" s="299" t="s">
        <v>96</v>
      </c>
      <c r="J2" s="299"/>
      <c r="K2" s="299"/>
      <c r="L2" s="299"/>
      <c r="M2" s="299"/>
      <c r="N2" s="299"/>
      <c r="P2" s="299" t="s">
        <v>96</v>
      </c>
      <c r="Q2" s="299"/>
      <c r="R2" s="299"/>
      <c r="S2" s="299"/>
      <c r="T2" s="299"/>
      <c r="U2" s="299"/>
      <c r="W2" s="299" t="s">
        <v>96</v>
      </c>
      <c r="X2" s="299"/>
      <c r="Y2" s="299"/>
      <c r="Z2" s="299"/>
      <c r="AA2" s="299"/>
      <c r="AB2" s="299"/>
    </row>
    <row r="3" spans="1:28">
      <c r="A3" s="299" t="s">
        <v>176</v>
      </c>
      <c r="B3" s="299"/>
      <c r="C3" s="299"/>
      <c r="D3" s="299"/>
      <c r="E3" s="299"/>
      <c r="F3" s="299"/>
      <c r="I3" s="299" t="s">
        <v>176</v>
      </c>
      <c r="J3" s="299"/>
      <c r="K3" s="299"/>
      <c r="L3" s="299"/>
      <c r="M3" s="299"/>
      <c r="N3" s="299"/>
      <c r="P3" s="299" t="s">
        <v>176</v>
      </c>
      <c r="Q3" s="299"/>
      <c r="R3" s="299"/>
      <c r="S3" s="299"/>
      <c r="T3" s="299"/>
      <c r="U3" s="299"/>
      <c r="W3" s="299" t="s">
        <v>176</v>
      </c>
      <c r="X3" s="299"/>
      <c r="Y3" s="299"/>
      <c r="Z3" s="299"/>
      <c r="AA3" s="299"/>
      <c r="AB3" s="299"/>
    </row>
    <row r="4" spans="1:28" ht="13.8" thickBot="1">
      <c r="A4" s="299" t="s">
        <v>187</v>
      </c>
      <c r="B4" s="299"/>
      <c r="C4" s="299"/>
      <c r="D4" s="299"/>
      <c r="E4" s="299"/>
      <c r="F4" s="299"/>
      <c r="I4" s="299" t="s">
        <v>187</v>
      </c>
      <c r="J4" s="299"/>
      <c r="K4" s="299"/>
      <c r="L4" s="299"/>
      <c r="M4" s="299"/>
      <c r="N4" s="299"/>
      <c r="P4" s="299" t="s">
        <v>187</v>
      </c>
      <c r="Q4" s="299"/>
      <c r="R4" s="299"/>
      <c r="S4" s="299"/>
      <c r="T4" s="299"/>
      <c r="U4" s="299"/>
      <c r="W4" s="299" t="s">
        <v>187</v>
      </c>
      <c r="X4" s="299"/>
      <c r="Y4" s="299"/>
      <c r="Z4" s="299"/>
      <c r="AA4" s="299"/>
      <c r="AB4" s="299"/>
    </row>
    <row r="5" spans="1:28" ht="40.799999999999997" thickTop="1" thickBot="1">
      <c r="A5" s="64" t="s">
        <v>0</v>
      </c>
      <c r="B5" s="61" t="s">
        <v>147</v>
      </c>
      <c r="C5" s="61" t="s">
        <v>155</v>
      </c>
      <c r="D5" s="61" t="s">
        <v>160</v>
      </c>
      <c r="E5" s="61" t="s">
        <v>175</v>
      </c>
      <c r="F5" s="62" t="s">
        <v>53</v>
      </c>
      <c r="I5" s="267"/>
      <c r="J5" s="262" t="s">
        <v>177</v>
      </c>
      <c r="K5" s="262" t="s">
        <v>178</v>
      </c>
      <c r="L5" s="262" t="s">
        <v>179</v>
      </c>
      <c r="M5" s="264" t="s">
        <v>180</v>
      </c>
      <c r="N5" s="263" t="s">
        <v>53</v>
      </c>
      <c r="P5" s="267"/>
      <c r="Q5" s="262" t="s">
        <v>177</v>
      </c>
      <c r="R5" s="262" t="s">
        <v>178</v>
      </c>
      <c r="S5" s="262" t="s">
        <v>179</v>
      </c>
      <c r="T5" s="264" t="s">
        <v>180</v>
      </c>
      <c r="U5" s="263" t="s">
        <v>53</v>
      </c>
      <c r="W5" s="267"/>
      <c r="X5" s="262" t="s">
        <v>177</v>
      </c>
      <c r="Y5" s="262" t="s">
        <v>178</v>
      </c>
      <c r="Z5" s="262" t="s">
        <v>179</v>
      </c>
      <c r="AA5" s="264" t="s">
        <v>180</v>
      </c>
      <c r="AB5" s="263" t="s">
        <v>53</v>
      </c>
    </row>
    <row r="6" spans="1:28">
      <c r="A6" s="65" t="s">
        <v>1</v>
      </c>
      <c r="B6" s="9">
        <v>4562939.0966919307</v>
      </c>
      <c r="C6" s="9">
        <v>2441285.7200000002</v>
      </c>
      <c r="D6" s="9">
        <v>0</v>
      </c>
      <c r="E6" s="9">
        <v>321322.96431123291</v>
      </c>
      <c r="F6" s="63">
        <f t="shared" ref="F6:F37" si="0">SUM(B6:E6)</f>
        <v>7325547.7810031641</v>
      </c>
      <c r="I6" s="267" t="s">
        <v>6</v>
      </c>
      <c r="J6" s="260">
        <f t="shared" ref="J6:J17" si="1">VLOOKUP(I6,$A$6:$E$56,3,FALSE)</f>
        <v>23237127.629999999</v>
      </c>
      <c r="K6" s="260">
        <f t="shared" ref="K6:K17" si="2">VLOOKUP(I6,$A$6:$E$56,4,FALSE)</f>
        <v>26394086.023610257</v>
      </c>
      <c r="L6" s="260">
        <f t="shared" ref="L6:L17" si="3">VLOOKUP(I6,$A$6:$E$56,5,FALSE)</f>
        <v>19913132.947707031</v>
      </c>
      <c r="M6" s="261">
        <f t="shared" ref="M6:M17" si="4">VLOOKUP(I6,$A$6:$E$56,2,FALSE)</f>
        <v>37682659.87376523</v>
      </c>
      <c r="N6" s="265">
        <f>SUM(J6:M6)</f>
        <v>107227006.47508252</v>
      </c>
      <c r="P6" s="267" t="s">
        <v>6</v>
      </c>
      <c r="Q6" s="260">
        <v>23282655.170000002</v>
      </c>
      <c r="R6" s="260">
        <v>28645857.449999999</v>
      </c>
      <c r="S6" s="260">
        <v>19975423.179237131</v>
      </c>
      <c r="T6" s="261">
        <v>44849466.46741198</v>
      </c>
      <c r="U6" s="265">
        <f>SUM(Q6:T6)</f>
        <v>116753402.26664911</v>
      </c>
      <c r="V6" s="272"/>
      <c r="W6" s="267" t="s">
        <v>6</v>
      </c>
      <c r="X6" s="273">
        <f>Q6-J6</f>
        <v>45527.540000002831</v>
      </c>
      <c r="Y6" s="273">
        <f>R6-K6</f>
        <v>2251771.4263897426</v>
      </c>
      <c r="Z6" s="273">
        <f>S6-L6</f>
        <v>62290.231530100107</v>
      </c>
      <c r="AA6" s="274">
        <f>T6-M6</f>
        <v>7166806.5936467499</v>
      </c>
      <c r="AB6" s="275">
        <f>SUM(X6:AA6)</f>
        <v>9526395.7915665954</v>
      </c>
    </row>
    <row r="7" spans="1:28">
      <c r="A7" s="65" t="s">
        <v>2</v>
      </c>
      <c r="B7" s="9">
        <v>4640168.13</v>
      </c>
      <c r="C7" s="9">
        <v>3324386.94</v>
      </c>
      <c r="D7" s="9">
        <v>0</v>
      </c>
      <c r="E7" s="9">
        <v>1796569.8522838235</v>
      </c>
      <c r="F7" s="63">
        <f t="shared" si="0"/>
        <v>9761124.9222838245</v>
      </c>
      <c r="I7" s="268" t="s">
        <v>9</v>
      </c>
      <c r="J7" s="259">
        <f t="shared" si="1"/>
        <v>9693407.8100000005</v>
      </c>
      <c r="K7" s="259">
        <f t="shared" si="2"/>
        <v>9474739.389337305</v>
      </c>
      <c r="L7" s="259">
        <f t="shared" si="3"/>
        <v>3558205.5434952863</v>
      </c>
      <c r="M7" s="218">
        <f t="shared" si="4"/>
        <v>10277016.806674574</v>
      </c>
      <c r="N7" s="215">
        <f t="shared" ref="N7:N57" si="5">SUM(J7:M7)</f>
        <v>33003369.549507163</v>
      </c>
      <c r="P7" s="268" t="s">
        <v>9</v>
      </c>
      <c r="Q7" s="259">
        <v>9548732.7699999996</v>
      </c>
      <c r="R7" s="259">
        <v>9486442.7599999998</v>
      </c>
      <c r="S7" s="259">
        <v>6080772.1341687515</v>
      </c>
      <c r="T7" s="218">
        <v>10534606.81053259</v>
      </c>
      <c r="U7" s="215">
        <f t="shared" ref="U7:U17" si="6">SUM(Q7:T7)</f>
        <v>35650554.474701345</v>
      </c>
      <c r="W7" s="268" t="s">
        <v>9</v>
      </c>
      <c r="X7" s="276">
        <f t="shared" ref="X7:X57" si="7">Q7-J7</f>
        <v>-144675.04000000097</v>
      </c>
      <c r="Y7" s="276">
        <f t="shared" ref="Y7:Y57" si="8">R7-K7</f>
        <v>11703.370662694797</v>
      </c>
      <c r="Z7" s="276">
        <f t="shared" ref="Z7:Z57" si="9">S7-L7</f>
        <v>2522566.5906734653</v>
      </c>
      <c r="AA7" s="277">
        <f t="shared" ref="AA7:AA57" si="10">T7-M7</f>
        <v>257590.0038580168</v>
      </c>
      <c r="AB7" s="278">
        <f t="shared" ref="AB7:AB17" si="11">SUM(X7:AA7)</f>
        <v>2647184.9251941759</v>
      </c>
    </row>
    <row r="8" spans="1:28">
      <c r="A8" s="65" t="s">
        <v>3</v>
      </c>
      <c r="B8" s="9">
        <v>4266326.5999999996</v>
      </c>
      <c r="C8" s="9">
        <v>3398906.55</v>
      </c>
      <c r="D8" s="9">
        <v>0</v>
      </c>
      <c r="E8" s="9">
        <v>1921057.0751348846</v>
      </c>
      <c r="F8" s="63">
        <f t="shared" si="0"/>
        <v>9586290.2251348831</v>
      </c>
      <c r="I8" s="268" t="s">
        <v>18</v>
      </c>
      <c r="J8" s="259">
        <f t="shared" si="1"/>
        <v>13286424.48</v>
      </c>
      <c r="K8" s="259">
        <f t="shared" si="2"/>
        <v>15890021.446048504</v>
      </c>
      <c r="L8" s="259">
        <f t="shared" si="3"/>
        <v>7897008.1408915808</v>
      </c>
      <c r="M8" s="218">
        <f t="shared" si="4"/>
        <v>24380281.196164481</v>
      </c>
      <c r="N8" s="215">
        <f t="shared" si="5"/>
        <v>61453735.263104565</v>
      </c>
      <c r="P8" s="268" t="s">
        <v>18</v>
      </c>
      <c r="Q8" s="259">
        <v>12255078.59</v>
      </c>
      <c r="R8" s="259">
        <v>14246136.279999999</v>
      </c>
      <c r="S8" s="259">
        <v>6658903.2770231804</v>
      </c>
      <c r="T8" s="218">
        <v>20920318.281674031</v>
      </c>
      <c r="U8" s="215">
        <f t="shared" si="6"/>
        <v>54080436.428697214</v>
      </c>
      <c r="W8" s="268" t="s">
        <v>18</v>
      </c>
      <c r="X8" s="276">
        <f t="shared" si="7"/>
        <v>-1031345.8900000006</v>
      </c>
      <c r="Y8" s="276">
        <f t="shared" si="8"/>
        <v>-1643885.1660485044</v>
      </c>
      <c r="Z8" s="276">
        <f t="shared" si="9"/>
        <v>-1238104.8638684005</v>
      </c>
      <c r="AA8" s="277">
        <f t="shared" si="10"/>
        <v>-3459962.9144904502</v>
      </c>
      <c r="AB8" s="278">
        <f t="shared" si="11"/>
        <v>-7373298.8344073556</v>
      </c>
    </row>
    <row r="9" spans="1:28">
      <c r="A9" s="65" t="s">
        <v>4</v>
      </c>
      <c r="B9" s="9">
        <v>10679743.710000001</v>
      </c>
      <c r="C9" s="9">
        <v>5701763.79</v>
      </c>
      <c r="D9" s="9">
        <v>0</v>
      </c>
      <c r="E9" s="9">
        <v>5768048.6439359272</v>
      </c>
      <c r="F9" s="63">
        <f t="shared" si="0"/>
        <v>22149556.143935926</v>
      </c>
      <c r="I9" s="268" t="s">
        <v>20</v>
      </c>
      <c r="J9" s="259">
        <f t="shared" si="1"/>
        <v>17721794.68</v>
      </c>
      <c r="K9" s="259">
        <f t="shared" si="2"/>
        <v>20115528.179039277</v>
      </c>
      <c r="L9" s="259">
        <f t="shared" si="3"/>
        <v>13253007.718835007</v>
      </c>
      <c r="M9" s="218">
        <f t="shared" si="4"/>
        <v>28690666.671491794</v>
      </c>
      <c r="N9" s="215">
        <f t="shared" si="5"/>
        <v>79780997.249366075</v>
      </c>
      <c r="P9" s="268" t="s">
        <v>20</v>
      </c>
      <c r="Q9" s="259">
        <v>17641019.199999999</v>
      </c>
      <c r="R9" s="259">
        <v>21407525.73</v>
      </c>
      <c r="S9" s="259">
        <v>13162778.798296982</v>
      </c>
      <c r="T9" s="218">
        <v>33080484.605316535</v>
      </c>
      <c r="U9" s="215">
        <f t="shared" si="6"/>
        <v>85291808.333613515</v>
      </c>
      <c r="W9" s="268" t="s">
        <v>20</v>
      </c>
      <c r="X9" s="276">
        <f t="shared" si="7"/>
        <v>-80775.480000000447</v>
      </c>
      <c r="Y9" s="276">
        <f t="shared" si="8"/>
        <v>1291997.5509607233</v>
      </c>
      <c r="Z9" s="276">
        <f t="shared" si="9"/>
        <v>-90228.920538024977</v>
      </c>
      <c r="AA9" s="277">
        <f t="shared" si="10"/>
        <v>4389817.9338247404</v>
      </c>
      <c r="AB9" s="278">
        <f t="shared" si="11"/>
        <v>5510811.0842474382</v>
      </c>
    </row>
    <row r="10" spans="1:28">
      <c r="A10" s="65" t="s">
        <v>5</v>
      </c>
      <c r="B10" s="9">
        <v>7412841.9299999997</v>
      </c>
      <c r="C10" s="9">
        <v>5339978.7</v>
      </c>
      <c r="D10" s="9">
        <v>0</v>
      </c>
      <c r="E10" s="9">
        <v>5163675.8803278459</v>
      </c>
      <c r="F10" s="63">
        <f t="shared" si="0"/>
        <v>17916496.510327846</v>
      </c>
      <c r="I10" s="268" t="s">
        <v>25</v>
      </c>
      <c r="J10" s="259">
        <f t="shared" si="1"/>
        <v>24405129.510000002</v>
      </c>
      <c r="K10" s="259">
        <f t="shared" si="2"/>
        <v>0</v>
      </c>
      <c r="L10" s="259">
        <f t="shared" si="3"/>
        <v>21323571.603477571</v>
      </c>
      <c r="M10" s="218">
        <f t="shared" si="4"/>
        <v>36999169.671441227</v>
      </c>
      <c r="N10" s="215">
        <f t="shared" si="5"/>
        <v>82727870.7849188</v>
      </c>
      <c r="P10" s="268" t="s">
        <v>25</v>
      </c>
      <c r="Q10" s="259">
        <v>25364973.93</v>
      </c>
      <c r="R10" s="259">
        <v>0</v>
      </c>
      <c r="S10" s="259">
        <v>22489959.251444831</v>
      </c>
      <c r="T10" s="218">
        <v>50709572.495409966</v>
      </c>
      <c r="U10" s="215">
        <f t="shared" si="6"/>
        <v>98564505.676854789</v>
      </c>
      <c r="W10" s="268" t="s">
        <v>25</v>
      </c>
      <c r="X10" s="276">
        <f t="shared" si="7"/>
        <v>959844.41999999806</v>
      </c>
      <c r="Y10" s="276">
        <f t="shared" si="8"/>
        <v>0</v>
      </c>
      <c r="Z10" s="276">
        <f t="shared" si="9"/>
        <v>1166387.6479672603</v>
      </c>
      <c r="AA10" s="277">
        <f t="shared" si="10"/>
        <v>13710402.823968738</v>
      </c>
      <c r="AB10" s="278">
        <f t="shared" si="11"/>
        <v>15836634.891935997</v>
      </c>
    </row>
    <row r="11" spans="1:28">
      <c r="A11" s="65" t="s">
        <v>6</v>
      </c>
      <c r="B11" s="9">
        <v>37682659.87376523</v>
      </c>
      <c r="C11" s="9">
        <v>23237127.629999999</v>
      </c>
      <c r="D11" s="9">
        <v>26394086.023610257</v>
      </c>
      <c r="E11" s="9">
        <v>19913132.947707031</v>
      </c>
      <c r="F11" s="63">
        <f t="shared" si="0"/>
        <v>107227006.47508252</v>
      </c>
      <c r="I11" s="268" t="s">
        <v>31</v>
      </c>
      <c r="J11" s="259">
        <f t="shared" si="1"/>
        <v>14325436.029999999</v>
      </c>
      <c r="K11" s="259">
        <f t="shared" si="2"/>
        <v>17670403.823332909</v>
      </c>
      <c r="L11" s="259">
        <f t="shared" si="3"/>
        <v>9151682.5372307543</v>
      </c>
      <c r="M11" s="218">
        <f t="shared" si="4"/>
        <v>28193480.269531008</v>
      </c>
      <c r="N11" s="215">
        <f t="shared" si="5"/>
        <v>69341002.660094664</v>
      </c>
      <c r="P11" s="268" t="s">
        <v>31</v>
      </c>
      <c r="Q11" s="259">
        <v>13479964.83</v>
      </c>
      <c r="R11" s="259">
        <v>16723437.619999999</v>
      </c>
      <c r="S11" s="259">
        <v>8138033.5227512307</v>
      </c>
      <c r="T11" s="218">
        <v>26810383.882002413</v>
      </c>
      <c r="U11" s="215">
        <f t="shared" si="6"/>
        <v>65151819.854753643</v>
      </c>
      <c r="W11" s="268" t="s">
        <v>31</v>
      </c>
      <c r="X11" s="276">
        <f t="shared" si="7"/>
        <v>-845471.19999999925</v>
      </c>
      <c r="Y11" s="276">
        <f t="shared" si="8"/>
        <v>-946966.20333291031</v>
      </c>
      <c r="Z11" s="276">
        <f t="shared" si="9"/>
        <v>-1013649.0144795235</v>
      </c>
      <c r="AA11" s="277">
        <f t="shared" si="10"/>
        <v>-1383096.3875285946</v>
      </c>
      <c r="AB11" s="278">
        <f t="shared" si="11"/>
        <v>-4189182.8053410277</v>
      </c>
    </row>
    <row r="12" spans="1:28">
      <c r="A12" s="65" t="s">
        <v>7</v>
      </c>
      <c r="B12" s="9">
        <v>6837788.4800000004</v>
      </c>
      <c r="C12" s="9">
        <v>6751803.8700000001</v>
      </c>
      <c r="D12" s="9">
        <v>0</v>
      </c>
      <c r="E12" s="9">
        <v>7522171.8474793527</v>
      </c>
      <c r="F12" s="63">
        <f t="shared" si="0"/>
        <v>21111764.197479352</v>
      </c>
      <c r="I12" s="268" t="s">
        <v>39</v>
      </c>
      <c r="J12" s="259">
        <f t="shared" si="1"/>
        <v>66146850.710000001</v>
      </c>
      <c r="K12" s="259">
        <f t="shared" si="2"/>
        <v>0</v>
      </c>
      <c r="L12" s="259">
        <f t="shared" si="3"/>
        <v>71729429.745989323</v>
      </c>
      <c r="M12" s="218">
        <f t="shared" si="4"/>
        <v>62646137.701007858</v>
      </c>
      <c r="N12" s="215">
        <f t="shared" si="5"/>
        <v>200522418.1569972</v>
      </c>
      <c r="P12" s="268" t="s">
        <v>39</v>
      </c>
      <c r="Q12" s="259">
        <v>66697182.609999999</v>
      </c>
      <c r="R12" s="259">
        <v>0</v>
      </c>
      <c r="S12" s="259">
        <v>72401304.254294619</v>
      </c>
      <c r="T12" s="218">
        <v>79868239.27235584</v>
      </c>
      <c r="U12" s="215">
        <f t="shared" si="6"/>
        <v>218966726.13665044</v>
      </c>
      <c r="W12" s="268" t="s">
        <v>39</v>
      </c>
      <c r="X12" s="276">
        <f t="shared" si="7"/>
        <v>550331.89999999851</v>
      </c>
      <c r="Y12" s="276">
        <f t="shared" si="8"/>
        <v>0</v>
      </c>
      <c r="Z12" s="276">
        <f t="shared" si="9"/>
        <v>671874.5083052963</v>
      </c>
      <c r="AA12" s="277">
        <f t="shared" si="10"/>
        <v>17222101.571347982</v>
      </c>
      <c r="AB12" s="278">
        <f t="shared" si="11"/>
        <v>18444307.979653277</v>
      </c>
    </row>
    <row r="13" spans="1:28">
      <c r="A13" s="65" t="s">
        <v>8</v>
      </c>
      <c r="B13" s="9">
        <v>4692979.16</v>
      </c>
      <c r="C13" s="9">
        <v>2847114.17</v>
      </c>
      <c r="D13" s="9">
        <v>0</v>
      </c>
      <c r="E13" s="9">
        <v>999271.4828422555</v>
      </c>
      <c r="F13" s="63">
        <f t="shared" si="0"/>
        <v>8539364.8128422555</v>
      </c>
      <c r="I13" s="268" t="s">
        <v>45</v>
      </c>
      <c r="J13" s="259">
        <f t="shared" si="1"/>
        <v>8800078.8800000008</v>
      </c>
      <c r="K13" s="259">
        <f t="shared" si="2"/>
        <v>8353830.3409364149</v>
      </c>
      <c r="L13" s="259">
        <f t="shared" si="3"/>
        <v>2479452.433364782</v>
      </c>
      <c r="M13" s="218">
        <f t="shared" si="4"/>
        <v>8451896.3212104775</v>
      </c>
      <c r="N13" s="215">
        <f t="shared" si="5"/>
        <v>28085257.975511678</v>
      </c>
      <c r="P13" s="268" t="s">
        <v>45</v>
      </c>
      <c r="Q13" s="259">
        <v>8567683.1699999999</v>
      </c>
      <c r="R13" s="259">
        <v>8015543.1900000004</v>
      </c>
      <c r="S13" s="259">
        <v>2344408.0906964196</v>
      </c>
      <c r="T13" s="218">
        <v>7706778.8669623602</v>
      </c>
      <c r="U13" s="215">
        <f t="shared" si="6"/>
        <v>26634413.317658782</v>
      </c>
      <c r="W13" s="268" t="s">
        <v>45</v>
      </c>
      <c r="X13" s="276">
        <f t="shared" si="7"/>
        <v>-232395.71000000089</v>
      </c>
      <c r="Y13" s="276">
        <f t="shared" si="8"/>
        <v>-338287.15093641449</v>
      </c>
      <c r="Z13" s="276">
        <f t="shared" si="9"/>
        <v>-135044.34266836243</v>
      </c>
      <c r="AA13" s="277">
        <f t="shared" si="10"/>
        <v>-745117.45424811728</v>
      </c>
      <c r="AB13" s="278">
        <f t="shared" si="11"/>
        <v>-1450844.6578528951</v>
      </c>
    </row>
    <row r="14" spans="1:28">
      <c r="A14" s="65" t="s">
        <v>9</v>
      </c>
      <c r="B14" s="9">
        <v>10277016.806674574</v>
      </c>
      <c r="C14" s="9">
        <v>9693407.8100000005</v>
      </c>
      <c r="D14" s="9">
        <v>9474739.389337305</v>
      </c>
      <c r="E14" s="9">
        <v>3558205.5434952863</v>
      </c>
      <c r="F14" s="63">
        <f t="shared" si="0"/>
        <v>33003369.549507163</v>
      </c>
      <c r="I14" s="268" t="s">
        <v>46</v>
      </c>
      <c r="J14" s="259">
        <f t="shared" si="1"/>
        <v>21160275.140000001</v>
      </c>
      <c r="K14" s="259">
        <f t="shared" si="2"/>
        <v>0</v>
      </c>
      <c r="L14" s="259">
        <f t="shared" si="3"/>
        <v>17405197.750645991</v>
      </c>
      <c r="M14" s="218">
        <f t="shared" si="4"/>
        <v>25149611.733935378</v>
      </c>
      <c r="N14" s="215">
        <f t="shared" si="5"/>
        <v>63715084.624581374</v>
      </c>
      <c r="P14" s="268" t="s">
        <v>46</v>
      </c>
      <c r="Q14" s="259">
        <v>21683055.550000001</v>
      </c>
      <c r="R14" s="259">
        <v>0</v>
      </c>
      <c r="S14" s="259">
        <v>18043802.028718401</v>
      </c>
      <c r="T14" s="218">
        <v>33422146.851413317</v>
      </c>
      <c r="U14" s="215">
        <f t="shared" si="6"/>
        <v>73149004.430131719</v>
      </c>
      <c r="W14" s="268" t="s">
        <v>46</v>
      </c>
      <c r="X14" s="276">
        <f t="shared" si="7"/>
        <v>522780.41000000015</v>
      </c>
      <c r="Y14" s="276">
        <f t="shared" si="8"/>
        <v>0</v>
      </c>
      <c r="Z14" s="276">
        <f t="shared" si="9"/>
        <v>638604.27807240933</v>
      </c>
      <c r="AA14" s="277">
        <f t="shared" si="10"/>
        <v>8272535.1174779385</v>
      </c>
      <c r="AB14" s="278">
        <f t="shared" si="11"/>
        <v>9433919.805550348</v>
      </c>
    </row>
    <row r="15" spans="1:28">
      <c r="A15" s="65" t="s">
        <v>10</v>
      </c>
      <c r="B15" s="9">
        <v>23776311.68</v>
      </c>
      <c r="C15" s="9">
        <v>4591180.75</v>
      </c>
      <c r="D15" s="9">
        <v>8058789.1666300381</v>
      </c>
      <c r="E15" s="9">
        <v>3912786.6144030662</v>
      </c>
      <c r="F15" s="63">
        <f t="shared" si="0"/>
        <v>40339068.211033106</v>
      </c>
      <c r="I15" s="268" t="s">
        <v>47</v>
      </c>
      <c r="J15" s="259">
        <f t="shared" si="1"/>
        <v>39615398.719999999</v>
      </c>
      <c r="K15" s="259">
        <f t="shared" si="2"/>
        <v>0</v>
      </c>
      <c r="L15" s="259">
        <f t="shared" si="3"/>
        <v>39690966.383817434</v>
      </c>
      <c r="M15" s="218">
        <f t="shared" si="4"/>
        <v>10781489.118756974</v>
      </c>
      <c r="N15" s="215">
        <f t="shared" si="5"/>
        <v>90087854.222574413</v>
      </c>
      <c r="P15" s="268" t="s">
        <v>47</v>
      </c>
      <c r="Q15" s="259">
        <v>39465188.299999997</v>
      </c>
      <c r="R15" s="259">
        <v>0</v>
      </c>
      <c r="S15" s="259">
        <v>39516890.218708888</v>
      </c>
      <c r="T15" s="218">
        <v>12423975.091150288</v>
      </c>
      <c r="U15" s="215">
        <f t="shared" si="6"/>
        <v>91406053.609859169</v>
      </c>
      <c r="W15" s="268" t="s">
        <v>47</v>
      </c>
      <c r="X15" s="276">
        <f t="shared" si="7"/>
        <v>-150210.42000000179</v>
      </c>
      <c r="Y15" s="276">
        <f t="shared" si="8"/>
        <v>0</v>
      </c>
      <c r="Z15" s="276">
        <f t="shared" si="9"/>
        <v>-174076.16510854661</v>
      </c>
      <c r="AA15" s="277">
        <f t="shared" si="10"/>
        <v>1642485.9723933134</v>
      </c>
      <c r="AB15" s="278">
        <f t="shared" si="11"/>
        <v>1318199.387284765</v>
      </c>
    </row>
    <row r="16" spans="1:28">
      <c r="A16" s="65" t="s">
        <v>11</v>
      </c>
      <c r="B16" s="9">
        <v>5389365.4900000002</v>
      </c>
      <c r="C16" s="9">
        <v>3564282.4</v>
      </c>
      <c r="D16" s="9">
        <v>0</v>
      </c>
      <c r="E16" s="9">
        <v>2197322.3439074308</v>
      </c>
      <c r="F16" s="63">
        <f t="shared" si="0"/>
        <v>11150970.233907431</v>
      </c>
      <c r="I16" s="268" t="s">
        <v>48</v>
      </c>
      <c r="J16" s="259">
        <f t="shared" si="1"/>
        <v>14864043.029999999</v>
      </c>
      <c r="K16" s="259">
        <f t="shared" si="2"/>
        <v>15645736.289694797</v>
      </c>
      <c r="L16" s="259">
        <f t="shared" si="3"/>
        <v>9802085.7211358696</v>
      </c>
      <c r="M16" s="218">
        <f t="shared" si="4"/>
        <v>19717144.79065343</v>
      </c>
      <c r="N16" s="215">
        <f t="shared" si="5"/>
        <v>60029009.831484094</v>
      </c>
      <c r="P16" s="268" t="s">
        <v>48</v>
      </c>
      <c r="Q16" s="259">
        <v>15052318.01</v>
      </c>
      <c r="R16" s="259">
        <v>17171332.84</v>
      </c>
      <c r="S16" s="259">
        <v>10036752.817523148</v>
      </c>
      <c r="T16" s="218">
        <v>24311906.031516474</v>
      </c>
      <c r="U16" s="215">
        <f t="shared" si="6"/>
        <v>66572309.699039623</v>
      </c>
      <c r="W16" s="268" t="s">
        <v>48</v>
      </c>
      <c r="X16" s="276">
        <f t="shared" si="7"/>
        <v>188274.98000000045</v>
      </c>
      <c r="Y16" s="276">
        <f t="shared" si="8"/>
        <v>1525596.5503052026</v>
      </c>
      <c r="Z16" s="276">
        <f t="shared" si="9"/>
        <v>234667.09638727829</v>
      </c>
      <c r="AA16" s="277">
        <f t="shared" si="10"/>
        <v>4594761.2408630438</v>
      </c>
      <c r="AB16" s="278">
        <f t="shared" si="11"/>
        <v>6543299.8675555252</v>
      </c>
    </row>
    <row r="17" spans="1:28" ht="13.8" thickBot="1">
      <c r="A17" s="65" t="s">
        <v>12</v>
      </c>
      <c r="B17" s="9">
        <v>5879618.4400000004</v>
      </c>
      <c r="C17" s="9">
        <v>5286075.2300000004</v>
      </c>
      <c r="D17" s="9">
        <v>0</v>
      </c>
      <c r="E17" s="9">
        <v>5073628.5276064463</v>
      </c>
      <c r="F17" s="63">
        <f t="shared" si="0"/>
        <v>16239322.197606448</v>
      </c>
      <c r="I17" s="268" t="s">
        <v>49</v>
      </c>
      <c r="J17" s="259">
        <f t="shared" si="1"/>
        <v>10291428.779999999</v>
      </c>
      <c r="K17" s="259">
        <f t="shared" si="2"/>
        <v>8787454.3831691872</v>
      </c>
      <c r="L17" s="259">
        <f t="shared" si="3"/>
        <v>4280354.967553379</v>
      </c>
      <c r="M17" s="218">
        <f t="shared" si="4"/>
        <v>6400450.8389404938</v>
      </c>
      <c r="N17" s="215">
        <f t="shared" si="5"/>
        <v>29759688.969663061</v>
      </c>
      <c r="P17" s="268" t="s">
        <v>49</v>
      </c>
      <c r="Q17" s="259">
        <v>10272989.48</v>
      </c>
      <c r="R17" s="259">
        <v>9018342.1300000008</v>
      </c>
      <c r="S17" s="259">
        <v>4532747.80593001</v>
      </c>
      <c r="T17" s="218">
        <v>6900674.8488941686</v>
      </c>
      <c r="U17" s="215">
        <f t="shared" si="6"/>
        <v>30724754.264824178</v>
      </c>
      <c r="W17" s="268" t="s">
        <v>49</v>
      </c>
      <c r="X17" s="276">
        <f t="shared" si="7"/>
        <v>-18439.299999998882</v>
      </c>
      <c r="Y17" s="276">
        <f t="shared" si="8"/>
        <v>230887.74683081359</v>
      </c>
      <c r="Z17" s="276">
        <f t="shared" si="9"/>
        <v>252392.83837663103</v>
      </c>
      <c r="AA17" s="277">
        <f t="shared" si="10"/>
        <v>500224.00995367486</v>
      </c>
      <c r="AB17" s="278">
        <f t="shared" si="11"/>
        <v>965065.29516112059</v>
      </c>
    </row>
    <row r="18" spans="1:28" ht="13.8" thickBot="1">
      <c r="A18" s="65" t="s">
        <v>13</v>
      </c>
      <c r="B18" s="9">
        <v>17012903.190000001</v>
      </c>
      <c r="C18" s="9">
        <v>4314119.53</v>
      </c>
      <c r="D18" s="9">
        <v>7442204.1708095567</v>
      </c>
      <c r="E18" s="9">
        <v>3449947.5918254661</v>
      </c>
      <c r="F18" s="63">
        <f t="shared" si="0"/>
        <v>32219174.482635025</v>
      </c>
      <c r="I18" s="269" t="s">
        <v>140</v>
      </c>
      <c r="J18" s="270">
        <f>SUM(J6:J17)</f>
        <v>263547395.40000001</v>
      </c>
      <c r="K18" s="270">
        <f>SUM(K6:K17)</f>
        <v>122331799.87516865</v>
      </c>
      <c r="L18" s="270">
        <f>SUM(L6:L17)</f>
        <v>220484095.49414402</v>
      </c>
      <c r="M18" s="271">
        <f>SUM(M6:M17)</f>
        <v>299370004.99357289</v>
      </c>
      <c r="N18" s="266">
        <f>SUM(N6:N17)</f>
        <v>905733295.76288545</v>
      </c>
      <c r="P18" s="269" t="s">
        <v>140</v>
      </c>
      <c r="Q18" s="270">
        <f>SUM(Q6:Q17)</f>
        <v>263310841.60999998</v>
      </c>
      <c r="R18" s="270">
        <f>SUM(R6:R17)</f>
        <v>124714618</v>
      </c>
      <c r="S18" s="270">
        <f>SUM(S6:S17)</f>
        <v>223381775.37879363</v>
      </c>
      <c r="T18" s="271">
        <f>SUM(T6:T17)</f>
        <v>351538553.50463998</v>
      </c>
      <c r="U18" s="266">
        <f>SUM(U6:U17)</f>
        <v>962945788.49343336</v>
      </c>
      <c r="W18" s="269" t="s">
        <v>140</v>
      </c>
      <c r="X18" s="279">
        <f>SUM(X6:X17)</f>
        <v>-236553.79000000283</v>
      </c>
      <c r="Y18" s="279">
        <f>SUM(Y6:Y17)</f>
        <v>2382818.1248313477</v>
      </c>
      <c r="Z18" s="279">
        <f>SUM(Z6:Z17)</f>
        <v>2897679.8846495827</v>
      </c>
      <c r="AA18" s="280">
        <f>SUM(AA6:AA17)</f>
        <v>52168548.511067048</v>
      </c>
      <c r="AB18" s="281">
        <f>SUM(AB6:AB17)</f>
        <v>57212492.730547957</v>
      </c>
    </row>
    <row r="19" spans="1:28">
      <c r="A19" s="65" t="s">
        <v>14</v>
      </c>
      <c r="B19" s="9">
        <v>10830983.9</v>
      </c>
      <c r="C19" s="9">
        <v>12411050.140000001</v>
      </c>
      <c r="D19" s="9">
        <v>0</v>
      </c>
      <c r="E19" s="9">
        <v>16976111.196089759</v>
      </c>
      <c r="F19" s="63">
        <f t="shared" si="0"/>
        <v>40218145.236089759</v>
      </c>
      <c r="I19" s="268" t="s">
        <v>1</v>
      </c>
      <c r="J19" s="259">
        <f t="shared" ref="J19:J57" si="12">VLOOKUP(I19,$A$6:$E$56,3,FALSE)</f>
        <v>2441285.7200000002</v>
      </c>
      <c r="K19" s="259">
        <f t="shared" ref="K19:K57" si="13">VLOOKUP(I19,$A$6:$E$56,4,FALSE)</f>
        <v>0</v>
      </c>
      <c r="L19" s="259">
        <f t="shared" ref="L19:L57" si="14">VLOOKUP(I19,$A$6:$E$56,5,FALSE)</f>
        <v>321322.96431123291</v>
      </c>
      <c r="M19" s="218">
        <f t="shared" ref="M19:M57" si="15">VLOOKUP(I19,$A$6:$E$56,2,FALSE)</f>
        <v>4562939.0966919307</v>
      </c>
      <c r="N19" s="215">
        <f t="shared" si="5"/>
        <v>7325547.7810031641</v>
      </c>
      <c r="P19" s="268" t="s">
        <v>1</v>
      </c>
      <c r="Q19" s="259">
        <v>2443293.2200000002</v>
      </c>
      <c r="R19" s="259">
        <v>0</v>
      </c>
      <c r="S19" s="259">
        <v>1718741.9861008578</v>
      </c>
      <c r="T19" s="218">
        <v>4783188.2086414928</v>
      </c>
      <c r="U19" s="215">
        <f t="shared" ref="U19:U57" si="16">SUM(Q19:T19)</f>
        <v>8945223.4147423506</v>
      </c>
      <c r="W19" s="268" t="s">
        <v>1</v>
      </c>
      <c r="X19" s="276">
        <f t="shared" si="7"/>
        <v>2007.5</v>
      </c>
      <c r="Y19" s="276">
        <f t="shared" si="8"/>
        <v>0</v>
      </c>
      <c r="Z19" s="276">
        <f t="shared" si="9"/>
        <v>1397419.0217896248</v>
      </c>
      <c r="AA19" s="277">
        <f t="shared" si="10"/>
        <v>220249.1119495621</v>
      </c>
      <c r="AB19" s="278">
        <f t="shared" ref="AB19:AB57" si="17">SUM(X19:AA19)</f>
        <v>1619675.6337391869</v>
      </c>
    </row>
    <row r="20" spans="1:28">
      <c r="A20" s="65" t="s">
        <v>15</v>
      </c>
      <c r="B20" s="9">
        <v>4257430.12</v>
      </c>
      <c r="C20" s="9">
        <v>3547003.56</v>
      </c>
      <c r="D20" s="9">
        <v>0</v>
      </c>
      <c r="E20" s="9">
        <v>2168457.5281603355</v>
      </c>
      <c r="F20" s="63">
        <f t="shared" si="0"/>
        <v>9972891.2081603352</v>
      </c>
      <c r="I20" s="268" t="s">
        <v>2</v>
      </c>
      <c r="J20" s="259">
        <f t="shared" si="12"/>
        <v>3324386.94</v>
      </c>
      <c r="K20" s="259">
        <f t="shared" si="13"/>
        <v>0</v>
      </c>
      <c r="L20" s="259">
        <f t="shared" si="14"/>
        <v>1796569.8522838235</v>
      </c>
      <c r="M20" s="218">
        <f t="shared" si="15"/>
        <v>4640168.13</v>
      </c>
      <c r="N20" s="215">
        <f t="shared" si="5"/>
        <v>9761124.9222838245</v>
      </c>
      <c r="P20" s="268" t="s">
        <v>2</v>
      </c>
      <c r="Q20" s="259">
        <v>3334020.9</v>
      </c>
      <c r="R20" s="259">
        <v>0</v>
      </c>
      <c r="S20" s="259">
        <v>2900632.6789315413</v>
      </c>
      <c r="T20" s="218">
        <v>4723833.2856675256</v>
      </c>
      <c r="U20" s="215">
        <f t="shared" si="16"/>
        <v>10958486.864599068</v>
      </c>
      <c r="W20" s="268" t="s">
        <v>2</v>
      </c>
      <c r="X20" s="276">
        <f t="shared" si="7"/>
        <v>9633.9599999999627</v>
      </c>
      <c r="Y20" s="276">
        <f t="shared" si="8"/>
        <v>0</v>
      </c>
      <c r="Z20" s="276">
        <f t="shared" si="9"/>
        <v>1104062.8266477177</v>
      </c>
      <c r="AA20" s="277">
        <f t="shared" si="10"/>
        <v>83665.155667525716</v>
      </c>
      <c r="AB20" s="278">
        <f t="shared" si="17"/>
        <v>1197361.9423152434</v>
      </c>
    </row>
    <row r="21" spans="1:28">
      <c r="A21" s="65" t="s">
        <v>16</v>
      </c>
      <c r="B21" s="9">
        <v>4616317.99</v>
      </c>
      <c r="C21" s="9">
        <v>2748931.17</v>
      </c>
      <c r="D21" s="9">
        <v>0</v>
      </c>
      <c r="E21" s="9">
        <v>835253.84726699162</v>
      </c>
      <c r="F21" s="63">
        <f t="shared" si="0"/>
        <v>8200503.0072669918</v>
      </c>
      <c r="I21" s="268" t="s">
        <v>3</v>
      </c>
      <c r="J21" s="259">
        <f t="shared" si="12"/>
        <v>3398906.55</v>
      </c>
      <c r="K21" s="259">
        <f t="shared" si="13"/>
        <v>0</v>
      </c>
      <c r="L21" s="259">
        <f t="shared" si="14"/>
        <v>1921057.0751348846</v>
      </c>
      <c r="M21" s="218">
        <f t="shared" si="15"/>
        <v>4266326.5999999996</v>
      </c>
      <c r="N21" s="215">
        <f t="shared" si="5"/>
        <v>9586290.2251348831</v>
      </c>
      <c r="P21" s="268" t="s">
        <v>3</v>
      </c>
      <c r="Q21" s="259">
        <v>3421062.17</v>
      </c>
      <c r="R21" s="259">
        <v>0</v>
      </c>
      <c r="S21" s="259">
        <v>2084379.9700768916</v>
      </c>
      <c r="T21" s="218">
        <v>4383432.8024118254</v>
      </c>
      <c r="U21" s="215">
        <f t="shared" si="16"/>
        <v>9888874.9424887169</v>
      </c>
      <c r="W21" s="268" t="s">
        <v>3</v>
      </c>
      <c r="X21" s="276">
        <f t="shared" si="7"/>
        <v>22155.620000000112</v>
      </c>
      <c r="Y21" s="276">
        <f t="shared" si="8"/>
        <v>0</v>
      </c>
      <c r="Z21" s="276">
        <f t="shared" si="9"/>
        <v>163322.89494200703</v>
      </c>
      <c r="AA21" s="277">
        <f t="shared" si="10"/>
        <v>117106.20241182577</v>
      </c>
      <c r="AB21" s="278">
        <f t="shared" si="17"/>
        <v>302584.71735383291</v>
      </c>
    </row>
    <row r="22" spans="1:28">
      <c r="A22" s="65" t="s">
        <v>17</v>
      </c>
      <c r="B22" s="9">
        <v>11742400.09</v>
      </c>
      <c r="C22" s="9">
        <v>9749997.0600000005</v>
      </c>
      <c r="D22" s="9">
        <v>0</v>
      </c>
      <c r="E22" s="9">
        <v>12530742.812994475</v>
      </c>
      <c r="F22" s="63">
        <f t="shared" si="0"/>
        <v>34023139.962994471</v>
      </c>
      <c r="I22" s="268" t="s">
        <v>4</v>
      </c>
      <c r="J22" s="259">
        <f t="shared" si="12"/>
        <v>5701763.79</v>
      </c>
      <c r="K22" s="259">
        <f t="shared" si="13"/>
        <v>0</v>
      </c>
      <c r="L22" s="259">
        <f t="shared" si="14"/>
        <v>5768048.6439359272</v>
      </c>
      <c r="M22" s="218">
        <f t="shared" si="15"/>
        <v>10679743.710000001</v>
      </c>
      <c r="N22" s="215">
        <f t="shared" si="5"/>
        <v>22149556.143935926</v>
      </c>
      <c r="P22" s="268" t="s">
        <v>4</v>
      </c>
      <c r="Q22" s="259">
        <v>5826931.5800000001</v>
      </c>
      <c r="R22" s="259">
        <v>0</v>
      </c>
      <c r="S22" s="259">
        <v>8518240.5976785552</v>
      </c>
      <c r="T22" s="218">
        <v>14195098.344623413</v>
      </c>
      <c r="U22" s="215">
        <f t="shared" si="16"/>
        <v>28540270.522301968</v>
      </c>
      <c r="W22" s="268" t="s">
        <v>4</v>
      </c>
      <c r="X22" s="276">
        <f t="shared" si="7"/>
        <v>125167.79000000004</v>
      </c>
      <c r="Y22" s="276">
        <f t="shared" si="8"/>
        <v>0</v>
      </c>
      <c r="Z22" s="276">
        <f t="shared" si="9"/>
        <v>2750191.953742628</v>
      </c>
      <c r="AA22" s="277">
        <f t="shared" si="10"/>
        <v>3515354.634623412</v>
      </c>
      <c r="AB22" s="278">
        <f t="shared" si="17"/>
        <v>6390714.3783660401</v>
      </c>
    </row>
    <row r="23" spans="1:28">
      <c r="A23" s="65" t="s">
        <v>18</v>
      </c>
      <c r="B23" s="9">
        <v>24380281.196164481</v>
      </c>
      <c r="C23" s="9">
        <v>13286424.48</v>
      </c>
      <c r="D23" s="9">
        <v>15890021.446048504</v>
      </c>
      <c r="E23" s="9">
        <v>7897008.1408915808</v>
      </c>
      <c r="F23" s="63">
        <f t="shared" si="0"/>
        <v>61453735.263104565</v>
      </c>
      <c r="I23" s="268" t="s">
        <v>5</v>
      </c>
      <c r="J23" s="259">
        <f t="shared" si="12"/>
        <v>5339978.7</v>
      </c>
      <c r="K23" s="259">
        <f t="shared" si="13"/>
        <v>0</v>
      </c>
      <c r="L23" s="259">
        <f t="shared" si="14"/>
        <v>5163675.8803278459</v>
      </c>
      <c r="M23" s="218">
        <f t="shared" si="15"/>
        <v>7412841.9299999997</v>
      </c>
      <c r="N23" s="215">
        <f t="shared" si="5"/>
        <v>17916496.510327846</v>
      </c>
      <c r="P23" s="268" t="s">
        <v>5</v>
      </c>
      <c r="Q23" s="259">
        <v>5441614.9100000001</v>
      </c>
      <c r="R23" s="259">
        <v>0</v>
      </c>
      <c r="S23" s="259">
        <v>6137628.3987900279</v>
      </c>
      <c r="T23" s="218">
        <v>9399517.3429417629</v>
      </c>
      <c r="U23" s="215">
        <f t="shared" si="16"/>
        <v>20978760.651731789</v>
      </c>
      <c r="W23" s="268" t="s">
        <v>5</v>
      </c>
      <c r="X23" s="276">
        <f t="shared" si="7"/>
        <v>101636.20999999996</v>
      </c>
      <c r="Y23" s="276">
        <f t="shared" si="8"/>
        <v>0</v>
      </c>
      <c r="Z23" s="276">
        <f t="shared" si="9"/>
        <v>973952.51846218202</v>
      </c>
      <c r="AA23" s="277">
        <f t="shared" si="10"/>
        <v>1986675.4129417632</v>
      </c>
      <c r="AB23" s="278">
        <f t="shared" si="17"/>
        <v>3062264.1414039452</v>
      </c>
    </row>
    <row r="24" spans="1:28">
      <c r="A24" s="65" t="s">
        <v>19</v>
      </c>
      <c r="B24" s="9">
        <v>5042213.4000000004</v>
      </c>
      <c r="C24" s="9">
        <v>3396546.93</v>
      </c>
      <c r="D24" s="9">
        <v>0</v>
      </c>
      <c r="E24" s="9">
        <v>1917115.2532814068</v>
      </c>
      <c r="F24" s="63">
        <f t="shared" si="0"/>
        <v>10355875.583281407</v>
      </c>
      <c r="I24" s="268" t="s">
        <v>7</v>
      </c>
      <c r="J24" s="259">
        <f t="shared" si="12"/>
        <v>6751803.8700000001</v>
      </c>
      <c r="K24" s="259">
        <f t="shared" si="13"/>
        <v>0</v>
      </c>
      <c r="L24" s="259">
        <f t="shared" si="14"/>
        <v>7522171.8474793527</v>
      </c>
      <c r="M24" s="218">
        <f t="shared" si="15"/>
        <v>6837788.4800000004</v>
      </c>
      <c r="N24" s="215">
        <f t="shared" si="5"/>
        <v>21111764.197479352</v>
      </c>
      <c r="P24" s="268" t="s">
        <v>7</v>
      </c>
      <c r="Q24" s="259">
        <v>6893917.4699999997</v>
      </c>
      <c r="R24" s="259">
        <v>0</v>
      </c>
      <c r="S24" s="259">
        <v>8249514.9753969274</v>
      </c>
      <c r="T24" s="218">
        <v>8793503.5793775618</v>
      </c>
      <c r="U24" s="215">
        <f t="shared" si="16"/>
        <v>23936936.024774488</v>
      </c>
      <c r="W24" s="268" t="s">
        <v>7</v>
      </c>
      <c r="X24" s="276">
        <f t="shared" si="7"/>
        <v>142113.59999999963</v>
      </c>
      <c r="Y24" s="276">
        <f t="shared" si="8"/>
        <v>0</v>
      </c>
      <c r="Z24" s="276">
        <f t="shared" si="9"/>
        <v>727343.12791757472</v>
      </c>
      <c r="AA24" s="277">
        <f t="shared" si="10"/>
        <v>1955715.0993775614</v>
      </c>
      <c r="AB24" s="278">
        <f t="shared" si="17"/>
        <v>2825171.8272951357</v>
      </c>
    </row>
    <row r="25" spans="1:28">
      <c r="A25" s="65" t="s">
        <v>20</v>
      </c>
      <c r="B25" s="9">
        <v>28690666.671491794</v>
      </c>
      <c r="C25" s="9">
        <v>17721794.68</v>
      </c>
      <c r="D25" s="9">
        <v>20115528.179039277</v>
      </c>
      <c r="E25" s="9">
        <v>13253007.718835007</v>
      </c>
      <c r="F25" s="63">
        <f t="shared" si="0"/>
        <v>79780997.249366075</v>
      </c>
      <c r="I25" s="268" t="s">
        <v>8</v>
      </c>
      <c r="J25" s="259">
        <f t="shared" si="12"/>
        <v>2847114.17</v>
      </c>
      <c r="K25" s="259">
        <f t="shared" si="13"/>
        <v>0</v>
      </c>
      <c r="L25" s="259">
        <f t="shared" si="14"/>
        <v>999271.4828422555</v>
      </c>
      <c r="M25" s="218">
        <f t="shared" si="15"/>
        <v>4692979.16</v>
      </c>
      <c r="N25" s="215">
        <f t="shared" si="5"/>
        <v>8539364.8128422555</v>
      </c>
      <c r="P25" s="268" t="s">
        <v>8</v>
      </c>
      <c r="Q25" s="259">
        <v>2870724.84</v>
      </c>
      <c r="R25" s="259">
        <v>0</v>
      </c>
      <c r="S25" s="259">
        <v>2974219.0796211474</v>
      </c>
      <c r="T25" s="218">
        <v>5180272.6433373308</v>
      </c>
      <c r="U25" s="215">
        <f t="shared" si="16"/>
        <v>11025216.562958479</v>
      </c>
      <c r="W25" s="268" t="s">
        <v>8</v>
      </c>
      <c r="X25" s="276">
        <f t="shared" si="7"/>
        <v>23610.669999999925</v>
      </c>
      <c r="Y25" s="276">
        <f t="shared" si="8"/>
        <v>0</v>
      </c>
      <c r="Z25" s="276">
        <f t="shared" si="9"/>
        <v>1974947.596778892</v>
      </c>
      <c r="AA25" s="277">
        <f t="shared" si="10"/>
        <v>487293.48333733063</v>
      </c>
      <c r="AB25" s="278">
        <f t="shared" si="17"/>
        <v>2485851.7501162225</v>
      </c>
    </row>
    <row r="26" spans="1:28">
      <c r="A26" s="65" t="s">
        <v>21</v>
      </c>
      <c r="B26" s="9">
        <v>6670648.1900000004</v>
      </c>
      <c r="C26" s="9">
        <v>5014460.3</v>
      </c>
      <c r="D26" s="9">
        <v>0</v>
      </c>
      <c r="E26" s="9">
        <v>4619887.6922569042</v>
      </c>
      <c r="F26" s="63">
        <f t="shared" si="0"/>
        <v>16304996.182256903</v>
      </c>
      <c r="I26" s="268" t="s">
        <v>10</v>
      </c>
      <c r="J26" s="259">
        <f t="shared" si="12"/>
        <v>4591180.75</v>
      </c>
      <c r="K26" s="259">
        <f t="shared" si="13"/>
        <v>8058789.1666300381</v>
      </c>
      <c r="L26" s="259">
        <f t="shared" si="14"/>
        <v>3912786.6144030662</v>
      </c>
      <c r="M26" s="218">
        <f t="shared" si="15"/>
        <v>23776311.68</v>
      </c>
      <c r="N26" s="215">
        <f t="shared" si="5"/>
        <v>40339068.211033106</v>
      </c>
      <c r="P26" s="268" t="s">
        <v>10</v>
      </c>
      <c r="Q26" s="259">
        <v>3644327.85</v>
      </c>
      <c r="R26" s="259">
        <v>6928203.5499999998</v>
      </c>
      <c r="S26" s="259">
        <v>3660359.1323029641</v>
      </c>
      <c r="T26" s="218">
        <v>15368248.397203868</v>
      </c>
      <c r="U26" s="215">
        <f t="shared" si="16"/>
        <v>29601138.929506831</v>
      </c>
      <c r="W26" s="268" t="s">
        <v>10</v>
      </c>
      <c r="X26" s="276">
        <f t="shared" si="7"/>
        <v>-946852.89999999991</v>
      </c>
      <c r="Y26" s="276">
        <f t="shared" si="8"/>
        <v>-1130585.6166300382</v>
      </c>
      <c r="Z26" s="276">
        <f t="shared" si="9"/>
        <v>-252427.48210010212</v>
      </c>
      <c r="AA26" s="277">
        <f t="shared" si="10"/>
        <v>-8408063.2827961314</v>
      </c>
      <c r="AB26" s="278">
        <f t="shared" si="17"/>
        <v>-10737929.281526271</v>
      </c>
    </row>
    <row r="27" spans="1:28">
      <c r="A27" s="65" t="s">
        <v>22</v>
      </c>
      <c r="B27" s="9">
        <v>4342230.63</v>
      </c>
      <c r="C27" s="9">
        <v>2497137.23</v>
      </c>
      <c r="D27" s="9">
        <v>0</v>
      </c>
      <c r="E27" s="9">
        <v>414624.57763109758</v>
      </c>
      <c r="F27" s="63">
        <f t="shared" si="0"/>
        <v>7253992.4376310967</v>
      </c>
      <c r="I27" s="268" t="s">
        <v>11</v>
      </c>
      <c r="J27" s="259">
        <f t="shared" si="12"/>
        <v>3564282.4</v>
      </c>
      <c r="K27" s="259">
        <f t="shared" si="13"/>
        <v>0</v>
      </c>
      <c r="L27" s="259">
        <f t="shared" si="14"/>
        <v>2197322.3439074308</v>
      </c>
      <c r="M27" s="218">
        <f t="shared" si="15"/>
        <v>5389365.4900000002</v>
      </c>
      <c r="N27" s="215">
        <f t="shared" si="5"/>
        <v>11150970.233907431</v>
      </c>
      <c r="P27" s="268" t="s">
        <v>11</v>
      </c>
      <c r="Q27" s="259">
        <v>3612033.9</v>
      </c>
      <c r="R27" s="259">
        <v>0</v>
      </c>
      <c r="S27" s="259">
        <v>3693123.3659876306</v>
      </c>
      <c r="T27" s="218">
        <v>6302080.6875453042</v>
      </c>
      <c r="U27" s="215">
        <f t="shared" si="16"/>
        <v>13607237.953532934</v>
      </c>
      <c r="W27" s="268" t="s">
        <v>11</v>
      </c>
      <c r="X27" s="276">
        <f t="shared" si="7"/>
        <v>47751.5</v>
      </c>
      <c r="Y27" s="276">
        <f t="shared" si="8"/>
        <v>0</v>
      </c>
      <c r="Z27" s="276">
        <f t="shared" si="9"/>
        <v>1495801.0220801998</v>
      </c>
      <c r="AA27" s="277">
        <f t="shared" si="10"/>
        <v>912715.19754530396</v>
      </c>
      <c r="AB27" s="278">
        <f t="shared" si="17"/>
        <v>2456267.7196255038</v>
      </c>
    </row>
    <row r="28" spans="1:28">
      <c r="A28" s="65" t="s">
        <v>23</v>
      </c>
      <c r="B28" s="9">
        <v>5189100</v>
      </c>
      <c r="C28" s="9">
        <v>4490733.6500000004</v>
      </c>
      <c r="D28" s="9">
        <v>0</v>
      </c>
      <c r="E28" s="9">
        <v>3744986.7349527162</v>
      </c>
      <c r="F28" s="63">
        <f t="shared" si="0"/>
        <v>13424820.384952717</v>
      </c>
      <c r="I28" s="268" t="s">
        <v>12</v>
      </c>
      <c r="J28" s="259">
        <f t="shared" si="12"/>
        <v>5286075.2300000004</v>
      </c>
      <c r="K28" s="259">
        <f t="shared" si="13"/>
        <v>0</v>
      </c>
      <c r="L28" s="259">
        <f t="shared" si="14"/>
        <v>5073628.5276064463</v>
      </c>
      <c r="M28" s="218">
        <f t="shared" si="15"/>
        <v>5879618.4400000004</v>
      </c>
      <c r="N28" s="215">
        <f t="shared" si="5"/>
        <v>16239322.197606448</v>
      </c>
      <c r="P28" s="268" t="s">
        <v>12</v>
      </c>
      <c r="Q28" s="259">
        <v>5383135.2000000002</v>
      </c>
      <c r="R28" s="259">
        <v>0</v>
      </c>
      <c r="S28" s="259">
        <v>5567521.0863518687</v>
      </c>
      <c r="T28" s="218">
        <v>7215552.9521146528</v>
      </c>
      <c r="U28" s="215">
        <f t="shared" si="16"/>
        <v>18166209.238466524</v>
      </c>
      <c r="W28" s="268" t="s">
        <v>12</v>
      </c>
      <c r="X28" s="276">
        <f t="shared" si="7"/>
        <v>97059.969999999739</v>
      </c>
      <c r="Y28" s="276">
        <f t="shared" si="8"/>
        <v>0</v>
      </c>
      <c r="Z28" s="276">
        <f t="shared" si="9"/>
        <v>493892.5587454224</v>
      </c>
      <c r="AA28" s="277">
        <f t="shared" si="10"/>
        <v>1335934.5121146524</v>
      </c>
      <c r="AB28" s="278">
        <f t="shared" si="17"/>
        <v>1926887.0408600746</v>
      </c>
    </row>
    <row r="29" spans="1:28">
      <c r="A29" s="65" t="s">
        <v>24</v>
      </c>
      <c r="B29" s="9">
        <v>23335462.609999999</v>
      </c>
      <c r="C29" s="9">
        <v>4649174.22</v>
      </c>
      <c r="D29" s="9">
        <v>8045943.4176237639</v>
      </c>
      <c r="E29" s="9">
        <v>4009666.4382386375</v>
      </c>
      <c r="F29" s="63">
        <f t="shared" si="0"/>
        <v>40040246.6858624</v>
      </c>
      <c r="I29" s="268" t="s">
        <v>13</v>
      </c>
      <c r="J29" s="259">
        <f t="shared" si="12"/>
        <v>4314119.53</v>
      </c>
      <c r="K29" s="259">
        <f t="shared" si="13"/>
        <v>7442204.1708095567</v>
      </c>
      <c r="L29" s="259">
        <f t="shared" si="14"/>
        <v>3449947.5918254661</v>
      </c>
      <c r="M29" s="218">
        <f t="shared" si="15"/>
        <v>17012903.190000001</v>
      </c>
      <c r="N29" s="215">
        <f t="shared" si="5"/>
        <v>32219174.482635025</v>
      </c>
      <c r="P29" s="268" t="s">
        <v>13</v>
      </c>
      <c r="Q29" s="259">
        <v>4021820.05</v>
      </c>
      <c r="R29" s="259">
        <v>7149681.4699999997</v>
      </c>
      <c r="S29" s="259">
        <v>3150866.5058017666</v>
      </c>
      <c r="T29" s="218">
        <v>16676727.674164966</v>
      </c>
      <c r="U29" s="215">
        <f t="shared" si="16"/>
        <v>30999095.699966732</v>
      </c>
      <c r="W29" s="268" t="s">
        <v>13</v>
      </c>
      <c r="X29" s="276">
        <f t="shared" si="7"/>
        <v>-292299.48000000045</v>
      </c>
      <c r="Y29" s="276">
        <f t="shared" si="8"/>
        <v>-292522.70080955699</v>
      </c>
      <c r="Z29" s="276">
        <f t="shared" si="9"/>
        <v>-299081.08602369949</v>
      </c>
      <c r="AA29" s="277">
        <f t="shared" si="10"/>
        <v>-336175.51583503559</v>
      </c>
      <c r="AB29" s="278">
        <f t="shared" si="17"/>
        <v>-1220078.7826682925</v>
      </c>
    </row>
    <row r="30" spans="1:28">
      <c r="A30" s="65" t="s">
        <v>25</v>
      </c>
      <c r="B30" s="9">
        <v>36999169.671441227</v>
      </c>
      <c r="C30" s="9">
        <v>24405129.510000002</v>
      </c>
      <c r="D30" s="9">
        <v>0</v>
      </c>
      <c r="E30" s="9">
        <v>21323571.603477571</v>
      </c>
      <c r="F30" s="63">
        <f t="shared" si="0"/>
        <v>82727870.7849188</v>
      </c>
      <c r="I30" s="268" t="s">
        <v>14</v>
      </c>
      <c r="J30" s="259">
        <f t="shared" si="12"/>
        <v>12411050.140000001</v>
      </c>
      <c r="K30" s="259">
        <f t="shared" si="13"/>
        <v>0</v>
      </c>
      <c r="L30" s="259">
        <f t="shared" si="14"/>
        <v>16976111.196089759</v>
      </c>
      <c r="M30" s="218">
        <f t="shared" si="15"/>
        <v>10830983.9</v>
      </c>
      <c r="N30" s="215">
        <f t="shared" si="5"/>
        <v>40218145.236089759</v>
      </c>
      <c r="P30" s="268" t="s">
        <v>14</v>
      </c>
      <c r="Q30" s="259">
        <v>12654853.73</v>
      </c>
      <c r="R30" s="259">
        <v>0</v>
      </c>
      <c r="S30" s="259">
        <v>18476531.852501161</v>
      </c>
      <c r="T30" s="218">
        <v>14122982.113210045</v>
      </c>
      <c r="U30" s="215">
        <f t="shared" si="16"/>
        <v>45254367.69571121</v>
      </c>
      <c r="W30" s="268" t="s">
        <v>14</v>
      </c>
      <c r="X30" s="276">
        <f t="shared" si="7"/>
        <v>243803.58999999985</v>
      </c>
      <c r="Y30" s="276">
        <f t="shared" si="8"/>
        <v>0</v>
      </c>
      <c r="Z30" s="276">
        <f t="shared" si="9"/>
        <v>1500420.6564114019</v>
      </c>
      <c r="AA30" s="277">
        <f t="shared" si="10"/>
        <v>3291998.2132100444</v>
      </c>
      <c r="AB30" s="278">
        <f t="shared" si="17"/>
        <v>5036222.4596214462</v>
      </c>
    </row>
    <row r="31" spans="1:28">
      <c r="A31" s="65" t="s">
        <v>26</v>
      </c>
      <c r="B31" s="9">
        <v>4370812.9400000004</v>
      </c>
      <c r="C31" s="9">
        <v>2849191.32</v>
      </c>
      <c r="D31" s="9">
        <v>0</v>
      </c>
      <c r="E31" s="9">
        <v>1002741.4149642385</v>
      </c>
      <c r="F31" s="63">
        <f t="shared" si="0"/>
        <v>8222745.674964238</v>
      </c>
      <c r="I31" s="268" t="s">
        <v>15</v>
      </c>
      <c r="J31" s="259">
        <f t="shared" si="12"/>
        <v>3547003.56</v>
      </c>
      <c r="K31" s="259">
        <f t="shared" si="13"/>
        <v>0</v>
      </c>
      <c r="L31" s="259">
        <f t="shared" si="14"/>
        <v>2168457.5281603355</v>
      </c>
      <c r="M31" s="218">
        <f t="shared" si="15"/>
        <v>4257430.12</v>
      </c>
      <c r="N31" s="215">
        <f t="shared" si="5"/>
        <v>9972891.2081603371</v>
      </c>
      <c r="P31" s="268" t="s">
        <v>15</v>
      </c>
      <c r="Q31" s="259">
        <v>3579153.56</v>
      </c>
      <c r="R31" s="259">
        <v>0</v>
      </c>
      <c r="S31" s="259">
        <v>2627805.8082002969</v>
      </c>
      <c r="T31" s="218">
        <v>4484336.1714675697</v>
      </c>
      <c r="U31" s="215">
        <f t="shared" si="16"/>
        <v>10691295.539667867</v>
      </c>
      <c r="W31" s="268" t="s">
        <v>15</v>
      </c>
      <c r="X31" s="276">
        <f t="shared" si="7"/>
        <v>32150</v>
      </c>
      <c r="Y31" s="276">
        <f t="shared" si="8"/>
        <v>0</v>
      </c>
      <c r="Z31" s="276">
        <f t="shared" si="9"/>
        <v>459348.28003996145</v>
      </c>
      <c r="AA31" s="277">
        <f t="shared" si="10"/>
        <v>226906.05146756954</v>
      </c>
      <c r="AB31" s="278">
        <f t="shared" si="17"/>
        <v>718404.33150753099</v>
      </c>
    </row>
    <row r="32" spans="1:28">
      <c r="A32" s="65" t="s">
        <v>27</v>
      </c>
      <c r="B32" s="9">
        <v>7044868.2999999998</v>
      </c>
      <c r="C32" s="9">
        <v>3644488.65</v>
      </c>
      <c r="D32" s="9">
        <v>0</v>
      </c>
      <c r="E32" s="9">
        <v>2331309.2858806569</v>
      </c>
      <c r="F32" s="63">
        <f t="shared" si="0"/>
        <v>13020666.235880656</v>
      </c>
      <c r="I32" s="268" t="s">
        <v>16</v>
      </c>
      <c r="J32" s="259">
        <f t="shared" si="12"/>
        <v>2748931.17</v>
      </c>
      <c r="K32" s="259">
        <f t="shared" si="13"/>
        <v>0</v>
      </c>
      <c r="L32" s="259">
        <f t="shared" si="14"/>
        <v>835253.84726699162</v>
      </c>
      <c r="M32" s="218">
        <f t="shared" si="15"/>
        <v>4616317.99</v>
      </c>
      <c r="N32" s="215">
        <f t="shared" si="5"/>
        <v>8200503.0072669918</v>
      </c>
      <c r="P32" s="268" t="s">
        <v>16</v>
      </c>
      <c r="Q32" s="259">
        <v>2756671.43</v>
      </c>
      <c r="R32" s="259">
        <v>0</v>
      </c>
      <c r="S32" s="259">
        <v>904930.12946649513</v>
      </c>
      <c r="T32" s="218">
        <v>4849072.1731425952</v>
      </c>
      <c r="U32" s="215">
        <f t="shared" si="16"/>
        <v>8510673.7326090895</v>
      </c>
      <c r="W32" s="268" t="s">
        <v>16</v>
      </c>
      <c r="X32" s="276">
        <f t="shared" si="7"/>
        <v>7740.2600000002421</v>
      </c>
      <c r="Y32" s="276">
        <f t="shared" si="8"/>
        <v>0</v>
      </c>
      <c r="Z32" s="276">
        <f t="shared" si="9"/>
        <v>69676.282199503505</v>
      </c>
      <c r="AA32" s="277">
        <f t="shared" si="10"/>
        <v>232754.18314259499</v>
      </c>
      <c r="AB32" s="278">
        <f t="shared" si="17"/>
        <v>310170.72534209874</v>
      </c>
    </row>
    <row r="33" spans="1:28">
      <c r="A33" s="65" t="s">
        <v>28</v>
      </c>
      <c r="B33" s="9">
        <v>4262351.58</v>
      </c>
      <c r="C33" s="9">
        <v>3158532.89</v>
      </c>
      <c r="D33" s="9">
        <v>0</v>
      </c>
      <c r="E33" s="9">
        <v>1519505.7138691328</v>
      </c>
      <c r="F33" s="63">
        <f t="shared" si="0"/>
        <v>8940390.1838691328</v>
      </c>
      <c r="I33" s="268" t="s">
        <v>17</v>
      </c>
      <c r="J33" s="259">
        <f t="shared" si="12"/>
        <v>9749997.0600000005</v>
      </c>
      <c r="K33" s="259">
        <f t="shared" si="13"/>
        <v>0</v>
      </c>
      <c r="L33" s="259">
        <f t="shared" si="14"/>
        <v>12530742.812994475</v>
      </c>
      <c r="M33" s="218">
        <f t="shared" si="15"/>
        <v>11742400.09</v>
      </c>
      <c r="N33" s="215">
        <f t="shared" si="5"/>
        <v>34023139.962994471</v>
      </c>
      <c r="P33" s="268" t="s">
        <v>17</v>
      </c>
      <c r="Q33" s="259">
        <v>9990382.3499999996</v>
      </c>
      <c r="R33" s="259">
        <v>0</v>
      </c>
      <c r="S33" s="259">
        <v>13746468.436023457</v>
      </c>
      <c r="T33" s="218">
        <v>16206339.909596281</v>
      </c>
      <c r="U33" s="215">
        <f t="shared" si="16"/>
        <v>39943190.69561974</v>
      </c>
      <c r="W33" s="268" t="s">
        <v>17</v>
      </c>
      <c r="X33" s="276">
        <f t="shared" si="7"/>
        <v>240385.28999999911</v>
      </c>
      <c r="Y33" s="276">
        <f t="shared" si="8"/>
        <v>0</v>
      </c>
      <c r="Z33" s="276">
        <f t="shared" si="9"/>
        <v>1215725.6230289824</v>
      </c>
      <c r="AA33" s="277">
        <f t="shared" si="10"/>
        <v>4463939.8195962813</v>
      </c>
      <c r="AB33" s="278">
        <f t="shared" si="17"/>
        <v>5920050.7326252628</v>
      </c>
    </row>
    <row r="34" spans="1:28">
      <c r="A34" s="65" t="s">
        <v>29</v>
      </c>
      <c r="B34" s="9">
        <v>5329929.42</v>
      </c>
      <c r="C34" s="9">
        <v>3251421.63</v>
      </c>
      <c r="D34" s="9">
        <v>0</v>
      </c>
      <c r="E34" s="9">
        <v>1674679.1176612398</v>
      </c>
      <c r="F34" s="63">
        <f t="shared" si="0"/>
        <v>10256030.16766124</v>
      </c>
      <c r="I34" s="268" t="s">
        <v>19</v>
      </c>
      <c r="J34" s="259">
        <f t="shared" si="12"/>
        <v>3396546.93</v>
      </c>
      <c r="K34" s="259">
        <f t="shared" si="13"/>
        <v>0</v>
      </c>
      <c r="L34" s="259">
        <f t="shared" si="14"/>
        <v>1917115.2532814068</v>
      </c>
      <c r="M34" s="218">
        <f t="shared" si="15"/>
        <v>5042213.4000000004</v>
      </c>
      <c r="N34" s="215">
        <f t="shared" si="5"/>
        <v>10355875.583281407</v>
      </c>
      <c r="P34" s="268" t="s">
        <v>19</v>
      </c>
      <c r="Q34" s="259">
        <v>3428899.93</v>
      </c>
      <c r="R34" s="259">
        <v>0</v>
      </c>
      <c r="S34" s="259">
        <v>2314156.6694885492</v>
      </c>
      <c r="T34" s="218">
        <v>5626028.1148718223</v>
      </c>
      <c r="U34" s="215">
        <f t="shared" si="16"/>
        <v>11369084.714360371</v>
      </c>
      <c r="W34" s="268" t="s">
        <v>19</v>
      </c>
      <c r="X34" s="276">
        <f t="shared" si="7"/>
        <v>32353</v>
      </c>
      <c r="Y34" s="276">
        <f t="shared" si="8"/>
        <v>0</v>
      </c>
      <c r="Z34" s="276">
        <f t="shared" si="9"/>
        <v>397041.41620714241</v>
      </c>
      <c r="AA34" s="277">
        <f t="shared" si="10"/>
        <v>583814.71487182193</v>
      </c>
      <c r="AB34" s="278">
        <f t="shared" si="17"/>
        <v>1013209.1310789643</v>
      </c>
    </row>
    <row r="35" spans="1:28">
      <c r="A35" s="65" t="s">
        <v>30</v>
      </c>
      <c r="B35" s="9">
        <v>4624268.04</v>
      </c>
      <c r="C35" s="9">
        <v>3416176.19</v>
      </c>
      <c r="D35" s="9">
        <v>0</v>
      </c>
      <c r="E35" s="9">
        <v>1949906.5176035317</v>
      </c>
      <c r="F35" s="63">
        <f t="shared" si="0"/>
        <v>9990350.7476035319</v>
      </c>
      <c r="I35" s="268" t="s">
        <v>21</v>
      </c>
      <c r="J35" s="259">
        <f t="shared" si="12"/>
        <v>5014460.3</v>
      </c>
      <c r="K35" s="259">
        <f t="shared" si="13"/>
        <v>0</v>
      </c>
      <c r="L35" s="259">
        <f t="shared" si="14"/>
        <v>4619887.6922569042</v>
      </c>
      <c r="M35" s="218">
        <f t="shared" si="15"/>
        <v>6670648.1900000004</v>
      </c>
      <c r="N35" s="215">
        <f t="shared" si="5"/>
        <v>16304996.182256903</v>
      </c>
      <c r="P35" s="268" t="s">
        <v>21</v>
      </c>
      <c r="Q35" s="259">
        <v>5110801.75</v>
      </c>
      <c r="R35" s="259">
        <v>0</v>
      </c>
      <c r="S35" s="259">
        <v>5084065.160310776</v>
      </c>
      <c r="T35" s="218">
        <v>8390780.4269991964</v>
      </c>
      <c r="U35" s="215">
        <f t="shared" si="16"/>
        <v>18585647.337309971</v>
      </c>
      <c r="W35" s="268" t="s">
        <v>21</v>
      </c>
      <c r="X35" s="276">
        <f t="shared" si="7"/>
        <v>96341.450000000186</v>
      </c>
      <c r="Y35" s="276">
        <f t="shared" si="8"/>
        <v>0</v>
      </c>
      <c r="Z35" s="276">
        <f t="shared" si="9"/>
        <v>464177.46805387177</v>
      </c>
      <c r="AA35" s="277">
        <f t="shared" si="10"/>
        <v>1720132.236999196</v>
      </c>
      <c r="AB35" s="278">
        <f t="shared" si="17"/>
        <v>2280651.155053068</v>
      </c>
    </row>
    <row r="36" spans="1:28">
      <c r="A36" s="65" t="s">
        <v>31</v>
      </c>
      <c r="B36" s="9">
        <v>28193480.269531008</v>
      </c>
      <c r="C36" s="9">
        <v>14325436.029999999</v>
      </c>
      <c r="D36" s="9">
        <v>17670403.823332909</v>
      </c>
      <c r="E36" s="9">
        <v>9151682.5372307543</v>
      </c>
      <c r="F36" s="63">
        <f t="shared" si="0"/>
        <v>69341002.660094678</v>
      </c>
      <c r="I36" s="268" t="s">
        <v>22</v>
      </c>
      <c r="J36" s="259">
        <f t="shared" si="12"/>
        <v>2497137.23</v>
      </c>
      <c r="K36" s="259">
        <f t="shared" si="13"/>
        <v>0</v>
      </c>
      <c r="L36" s="259">
        <f t="shared" si="14"/>
        <v>414624.57763109758</v>
      </c>
      <c r="M36" s="218">
        <f t="shared" si="15"/>
        <v>4342230.63</v>
      </c>
      <c r="N36" s="215">
        <f t="shared" si="5"/>
        <v>7253992.4376310976</v>
      </c>
      <c r="P36" s="268" t="s">
        <v>22</v>
      </c>
      <c r="Q36" s="259">
        <v>2489961.59</v>
      </c>
      <c r="R36" s="259">
        <v>0</v>
      </c>
      <c r="S36" s="259">
        <v>2579267.2832715013</v>
      </c>
      <c r="T36" s="218">
        <v>4309832.6979241073</v>
      </c>
      <c r="U36" s="215">
        <f t="shared" si="16"/>
        <v>9379061.571195608</v>
      </c>
      <c r="W36" s="268" t="s">
        <v>22</v>
      </c>
      <c r="X36" s="276">
        <f t="shared" si="7"/>
        <v>-7175.6400000001304</v>
      </c>
      <c r="Y36" s="276">
        <f t="shared" si="8"/>
        <v>0</v>
      </c>
      <c r="Z36" s="276">
        <f t="shared" si="9"/>
        <v>2164642.7056404036</v>
      </c>
      <c r="AA36" s="277">
        <f t="shared" si="10"/>
        <v>-32397.932075892575</v>
      </c>
      <c r="AB36" s="278">
        <f t="shared" si="17"/>
        <v>2125069.1335645108</v>
      </c>
    </row>
    <row r="37" spans="1:28">
      <c r="A37" s="65" t="s">
        <v>32</v>
      </c>
      <c r="B37" s="9">
        <v>5012873.9400000004</v>
      </c>
      <c r="C37" s="9">
        <v>4171574.47</v>
      </c>
      <c r="D37" s="9">
        <v>0</v>
      </c>
      <c r="E37" s="9">
        <v>3211821.8273755731</v>
      </c>
      <c r="F37" s="63">
        <f t="shared" si="0"/>
        <v>12396270.237375572</v>
      </c>
      <c r="I37" s="268" t="s">
        <v>23</v>
      </c>
      <c r="J37" s="259">
        <f t="shared" si="12"/>
        <v>4490733.6500000004</v>
      </c>
      <c r="K37" s="259">
        <f t="shared" si="13"/>
        <v>0</v>
      </c>
      <c r="L37" s="259">
        <f t="shared" si="14"/>
        <v>3744986.7349527162</v>
      </c>
      <c r="M37" s="218">
        <f t="shared" si="15"/>
        <v>5189100</v>
      </c>
      <c r="N37" s="215">
        <f t="shared" si="5"/>
        <v>13424820.384952717</v>
      </c>
      <c r="P37" s="268" t="s">
        <v>23</v>
      </c>
      <c r="Q37" s="259">
        <v>4542437.33</v>
      </c>
      <c r="R37" s="259">
        <v>0</v>
      </c>
      <c r="S37" s="259">
        <v>4075084.6434160983</v>
      </c>
      <c r="T37" s="218">
        <v>5783912.209982574</v>
      </c>
      <c r="U37" s="215">
        <f t="shared" si="16"/>
        <v>14401434.183398671</v>
      </c>
      <c r="W37" s="268" t="s">
        <v>23</v>
      </c>
      <c r="X37" s="276">
        <f t="shared" si="7"/>
        <v>51703.679999999702</v>
      </c>
      <c r="Y37" s="276">
        <f t="shared" si="8"/>
        <v>0</v>
      </c>
      <c r="Z37" s="276">
        <f t="shared" si="9"/>
        <v>330097.90846338216</v>
      </c>
      <c r="AA37" s="277">
        <f t="shared" si="10"/>
        <v>594812.20998257399</v>
      </c>
      <c r="AB37" s="278">
        <f t="shared" si="17"/>
        <v>976613.79844595585</v>
      </c>
    </row>
    <row r="38" spans="1:28">
      <c r="A38" s="65" t="s">
        <v>33</v>
      </c>
      <c r="B38" s="9">
        <v>20026160.579999998</v>
      </c>
      <c r="C38" s="9">
        <v>9547650.5700000003</v>
      </c>
      <c r="D38" s="9">
        <v>0</v>
      </c>
      <c r="E38" s="9">
        <v>12192716.9831407</v>
      </c>
      <c r="F38" s="63">
        <f t="shared" ref="F38:F56" si="18">SUM(B38:E38)</f>
        <v>41766528.133140698</v>
      </c>
      <c r="I38" s="268" t="s">
        <v>24</v>
      </c>
      <c r="J38" s="259">
        <f t="shared" si="12"/>
        <v>4649174.22</v>
      </c>
      <c r="K38" s="259">
        <f t="shared" si="13"/>
        <v>8045943.4176237639</v>
      </c>
      <c r="L38" s="259">
        <f t="shared" si="14"/>
        <v>4009666.4382386375</v>
      </c>
      <c r="M38" s="218">
        <f t="shared" si="15"/>
        <v>23335462.609999999</v>
      </c>
      <c r="N38" s="215">
        <f t="shared" si="5"/>
        <v>40040246.6858624</v>
      </c>
      <c r="P38" s="268" t="s">
        <v>24</v>
      </c>
      <c r="Q38" s="259">
        <v>4272366.3099999996</v>
      </c>
      <c r="R38" s="259">
        <v>7698938.29</v>
      </c>
      <c r="S38" s="259">
        <v>4282795.5591065371</v>
      </c>
      <c r="T38" s="218">
        <v>23971150.933050621</v>
      </c>
      <c r="U38" s="215">
        <f t="shared" si="16"/>
        <v>40225251.092157155</v>
      </c>
      <c r="W38" s="268" t="s">
        <v>24</v>
      </c>
      <c r="X38" s="276">
        <f t="shared" si="7"/>
        <v>-376807.91000000015</v>
      </c>
      <c r="Y38" s="276">
        <f t="shared" si="8"/>
        <v>-347005.12762376387</v>
      </c>
      <c r="Z38" s="276">
        <f t="shared" si="9"/>
        <v>273129.12086789962</v>
      </c>
      <c r="AA38" s="277">
        <f t="shared" si="10"/>
        <v>635688.3230506219</v>
      </c>
      <c r="AB38" s="278">
        <f t="shared" si="17"/>
        <v>185004.4062947575</v>
      </c>
    </row>
    <row r="39" spans="1:28">
      <c r="A39" s="65" t="s">
        <v>34</v>
      </c>
      <c r="B39" s="9">
        <v>4968959.3899999997</v>
      </c>
      <c r="C39" s="9">
        <v>4014025.97</v>
      </c>
      <c r="D39" s="9">
        <v>0</v>
      </c>
      <c r="E39" s="9">
        <v>2948632.3719474021</v>
      </c>
      <c r="F39" s="63">
        <f t="shared" si="18"/>
        <v>11931617.731947402</v>
      </c>
      <c r="I39" s="268" t="s">
        <v>26</v>
      </c>
      <c r="J39" s="259">
        <f t="shared" si="12"/>
        <v>2849191.32</v>
      </c>
      <c r="K39" s="259">
        <f t="shared" si="13"/>
        <v>0</v>
      </c>
      <c r="L39" s="259">
        <f t="shared" si="14"/>
        <v>1002741.4149642385</v>
      </c>
      <c r="M39" s="218">
        <f t="shared" si="15"/>
        <v>4370812.9400000004</v>
      </c>
      <c r="N39" s="215">
        <f t="shared" si="5"/>
        <v>8222745.6749642389</v>
      </c>
      <c r="P39" s="268" t="s">
        <v>26</v>
      </c>
      <c r="Q39" s="259">
        <v>2859897.23</v>
      </c>
      <c r="R39" s="259">
        <v>0</v>
      </c>
      <c r="S39" s="259">
        <v>2416180.5686493949</v>
      </c>
      <c r="T39" s="218">
        <v>4523510.420630387</v>
      </c>
      <c r="U39" s="215">
        <f t="shared" si="16"/>
        <v>9799588.219279781</v>
      </c>
      <c r="W39" s="268" t="s">
        <v>26</v>
      </c>
      <c r="X39" s="276">
        <f t="shared" si="7"/>
        <v>10705.910000000149</v>
      </c>
      <c r="Y39" s="276">
        <f t="shared" si="8"/>
        <v>0</v>
      </c>
      <c r="Z39" s="276">
        <f t="shared" si="9"/>
        <v>1413439.1536851563</v>
      </c>
      <c r="AA39" s="277">
        <f t="shared" si="10"/>
        <v>152697.48063038662</v>
      </c>
      <c r="AB39" s="278">
        <f t="shared" si="17"/>
        <v>1576842.544315543</v>
      </c>
    </row>
    <row r="40" spans="1:28">
      <c r="A40" s="65" t="s">
        <v>35</v>
      </c>
      <c r="B40" s="9">
        <v>4280712.4000000004</v>
      </c>
      <c r="C40" s="9">
        <v>3904924.6</v>
      </c>
      <c r="D40" s="9">
        <v>0</v>
      </c>
      <c r="E40" s="9">
        <v>2766375.2885870226</v>
      </c>
      <c r="F40" s="63">
        <f t="shared" si="18"/>
        <v>10952012.288587023</v>
      </c>
      <c r="I40" s="268" t="s">
        <v>27</v>
      </c>
      <c r="J40" s="259">
        <f t="shared" si="12"/>
        <v>3644488.65</v>
      </c>
      <c r="K40" s="259">
        <f t="shared" si="13"/>
        <v>0</v>
      </c>
      <c r="L40" s="259">
        <f t="shared" si="14"/>
        <v>2331309.2858806569</v>
      </c>
      <c r="M40" s="218">
        <f t="shared" si="15"/>
        <v>7044868.2999999998</v>
      </c>
      <c r="N40" s="215">
        <f t="shared" si="5"/>
        <v>13020666.235880658</v>
      </c>
      <c r="P40" s="268" t="s">
        <v>27</v>
      </c>
      <c r="Q40" s="259">
        <v>3663423.1</v>
      </c>
      <c r="R40" s="259">
        <v>0</v>
      </c>
      <c r="S40" s="259">
        <v>2514627.6235656175</v>
      </c>
      <c r="T40" s="218">
        <v>8106173.5713390261</v>
      </c>
      <c r="U40" s="215">
        <f t="shared" si="16"/>
        <v>14284224.294904644</v>
      </c>
      <c r="W40" s="268" t="s">
        <v>27</v>
      </c>
      <c r="X40" s="276">
        <f t="shared" si="7"/>
        <v>18934.450000000186</v>
      </c>
      <c r="Y40" s="276">
        <f t="shared" si="8"/>
        <v>0</v>
      </c>
      <c r="Z40" s="276">
        <f t="shared" si="9"/>
        <v>183318.33768496057</v>
      </c>
      <c r="AA40" s="277">
        <f t="shared" si="10"/>
        <v>1061305.2713390263</v>
      </c>
      <c r="AB40" s="278">
        <f t="shared" si="17"/>
        <v>1263558.059023987</v>
      </c>
    </row>
    <row r="41" spans="1:28">
      <c r="A41" s="65" t="s">
        <v>36</v>
      </c>
      <c r="B41" s="9">
        <v>5448422.9900000002</v>
      </c>
      <c r="C41" s="9">
        <v>3906670.95</v>
      </c>
      <c r="D41" s="9">
        <v>0</v>
      </c>
      <c r="E41" s="9">
        <v>2769292.6124916826</v>
      </c>
      <c r="F41" s="63">
        <f t="shared" si="18"/>
        <v>12124386.552491684</v>
      </c>
      <c r="I41" s="268" t="s">
        <v>28</v>
      </c>
      <c r="J41" s="259">
        <f t="shared" si="12"/>
        <v>3158532.89</v>
      </c>
      <c r="K41" s="259">
        <f t="shared" si="13"/>
        <v>0</v>
      </c>
      <c r="L41" s="259">
        <f t="shared" si="14"/>
        <v>1519505.7138691328</v>
      </c>
      <c r="M41" s="218">
        <f t="shared" si="15"/>
        <v>4262351.58</v>
      </c>
      <c r="N41" s="215">
        <f t="shared" si="5"/>
        <v>8940390.1838691328</v>
      </c>
      <c r="P41" s="268" t="s">
        <v>28</v>
      </c>
      <c r="Q41" s="259">
        <v>3180167.38</v>
      </c>
      <c r="R41" s="259">
        <v>0</v>
      </c>
      <c r="S41" s="259">
        <v>2212342.7648131964</v>
      </c>
      <c r="T41" s="218">
        <v>4448426.443068319</v>
      </c>
      <c r="U41" s="215">
        <f t="shared" si="16"/>
        <v>9840936.5878815167</v>
      </c>
      <c r="W41" s="268" t="s">
        <v>28</v>
      </c>
      <c r="X41" s="276">
        <f t="shared" si="7"/>
        <v>21634.489999999758</v>
      </c>
      <c r="Y41" s="276">
        <f t="shared" si="8"/>
        <v>0</v>
      </c>
      <c r="Z41" s="276">
        <f t="shared" si="9"/>
        <v>692837.05094406358</v>
      </c>
      <c r="AA41" s="277">
        <f t="shared" si="10"/>
        <v>186074.86306831893</v>
      </c>
      <c r="AB41" s="278">
        <f t="shared" si="17"/>
        <v>900546.40401238226</v>
      </c>
    </row>
    <row r="42" spans="1:28">
      <c r="A42" s="65" t="s">
        <v>37</v>
      </c>
      <c r="B42" s="9">
        <v>5144806.88</v>
      </c>
      <c r="C42" s="9">
        <v>4361143.1900000004</v>
      </c>
      <c r="D42" s="9">
        <v>0</v>
      </c>
      <c r="E42" s="9">
        <v>3528502.0276969215</v>
      </c>
      <c r="F42" s="63">
        <f t="shared" si="18"/>
        <v>13034452.097696923</v>
      </c>
      <c r="I42" s="268" t="s">
        <v>29</v>
      </c>
      <c r="J42" s="259">
        <f t="shared" si="12"/>
        <v>3251421.63</v>
      </c>
      <c r="K42" s="259">
        <f t="shared" si="13"/>
        <v>0</v>
      </c>
      <c r="L42" s="259">
        <f t="shared" si="14"/>
        <v>1674679.1176612398</v>
      </c>
      <c r="M42" s="218">
        <f t="shared" si="15"/>
        <v>5329929.42</v>
      </c>
      <c r="N42" s="215">
        <f t="shared" si="5"/>
        <v>10256030.167661238</v>
      </c>
      <c r="P42" s="268" t="s">
        <v>29</v>
      </c>
      <c r="Q42" s="259">
        <v>3282604.13</v>
      </c>
      <c r="R42" s="259">
        <v>0</v>
      </c>
      <c r="S42" s="259">
        <v>1838584.382485369</v>
      </c>
      <c r="T42" s="218">
        <v>6053977.1095141228</v>
      </c>
      <c r="U42" s="215">
        <f t="shared" si="16"/>
        <v>11175165.621999491</v>
      </c>
      <c r="W42" s="268" t="s">
        <v>29</v>
      </c>
      <c r="X42" s="276">
        <f t="shared" si="7"/>
        <v>31182.5</v>
      </c>
      <c r="Y42" s="276">
        <f t="shared" si="8"/>
        <v>0</v>
      </c>
      <c r="Z42" s="276">
        <f t="shared" si="9"/>
        <v>163905.26482412918</v>
      </c>
      <c r="AA42" s="277">
        <f t="shared" si="10"/>
        <v>724047.6895141229</v>
      </c>
      <c r="AB42" s="278">
        <f t="shared" si="17"/>
        <v>919135.45433825208</v>
      </c>
    </row>
    <row r="43" spans="1:28">
      <c r="A43" s="65" t="s">
        <v>38</v>
      </c>
      <c r="B43" s="9">
        <v>16763233.83</v>
      </c>
      <c r="C43" s="9">
        <v>7409009.3399999999</v>
      </c>
      <c r="D43" s="9">
        <v>0</v>
      </c>
      <c r="E43" s="9">
        <v>8620053.1497683991</v>
      </c>
      <c r="F43" s="63">
        <f t="shared" si="18"/>
        <v>32792296.319768399</v>
      </c>
      <c r="I43" s="268" t="s">
        <v>30</v>
      </c>
      <c r="J43" s="259">
        <f t="shared" si="12"/>
        <v>3416176.19</v>
      </c>
      <c r="K43" s="259">
        <f t="shared" si="13"/>
        <v>0</v>
      </c>
      <c r="L43" s="259">
        <f t="shared" si="14"/>
        <v>1949906.5176035317</v>
      </c>
      <c r="M43" s="218">
        <f t="shared" si="15"/>
        <v>4624268.04</v>
      </c>
      <c r="N43" s="215">
        <f t="shared" si="5"/>
        <v>9990350.7476035319</v>
      </c>
      <c r="P43" s="268" t="s">
        <v>30</v>
      </c>
      <c r="Q43" s="259">
        <v>3449773.37</v>
      </c>
      <c r="R43" s="259">
        <v>0</v>
      </c>
      <c r="S43" s="259">
        <v>2135349.105516287</v>
      </c>
      <c r="T43" s="218">
        <v>5059782.1497001778</v>
      </c>
      <c r="U43" s="215">
        <f t="shared" si="16"/>
        <v>10644904.625216465</v>
      </c>
      <c r="W43" s="268" t="s">
        <v>30</v>
      </c>
      <c r="X43" s="276">
        <f t="shared" si="7"/>
        <v>33597.180000000168</v>
      </c>
      <c r="Y43" s="276">
        <f t="shared" si="8"/>
        <v>0</v>
      </c>
      <c r="Z43" s="276">
        <f t="shared" si="9"/>
        <v>185442.58791275532</v>
      </c>
      <c r="AA43" s="277">
        <f t="shared" si="10"/>
        <v>435514.1097001778</v>
      </c>
      <c r="AB43" s="278">
        <f t="shared" si="17"/>
        <v>654553.87761293328</v>
      </c>
    </row>
    <row r="44" spans="1:28">
      <c r="A44" s="65" t="s">
        <v>39</v>
      </c>
      <c r="B44" s="9">
        <v>62646137.701007858</v>
      </c>
      <c r="C44" s="9">
        <v>66146850.710000001</v>
      </c>
      <c r="D44" s="9">
        <v>0</v>
      </c>
      <c r="E44" s="9">
        <v>71729429.745989323</v>
      </c>
      <c r="F44" s="63">
        <f t="shared" si="18"/>
        <v>200522418.15699717</v>
      </c>
      <c r="I44" s="268" t="s">
        <v>32</v>
      </c>
      <c r="J44" s="259">
        <f t="shared" si="12"/>
        <v>4171574.47</v>
      </c>
      <c r="K44" s="259">
        <f t="shared" si="13"/>
        <v>0</v>
      </c>
      <c r="L44" s="259">
        <f t="shared" si="14"/>
        <v>3211821.8273755731</v>
      </c>
      <c r="M44" s="218">
        <f t="shared" si="15"/>
        <v>5012873.9400000004</v>
      </c>
      <c r="N44" s="215">
        <f t="shared" si="5"/>
        <v>12396270.237375572</v>
      </c>
      <c r="P44" s="268" t="s">
        <v>32</v>
      </c>
      <c r="Q44" s="259">
        <v>4217740.58</v>
      </c>
      <c r="R44" s="259">
        <v>0</v>
      </c>
      <c r="S44" s="259">
        <v>4879372.4781305455</v>
      </c>
      <c r="T44" s="218">
        <v>5554505.4326881915</v>
      </c>
      <c r="U44" s="215">
        <f t="shared" si="16"/>
        <v>14651618.490818737</v>
      </c>
      <c r="W44" s="268" t="s">
        <v>32</v>
      </c>
      <c r="X44" s="276">
        <f t="shared" si="7"/>
        <v>46166.10999999987</v>
      </c>
      <c r="Y44" s="276">
        <f t="shared" si="8"/>
        <v>0</v>
      </c>
      <c r="Z44" s="276">
        <f t="shared" si="9"/>
        <v>1667550.6507549724</v>
      </c>
      <c r="AA44" s="277">
        <f t="shared" si="10"/>
        <v>541631.49268819112</v>
      </c>
      <c r="AB44" s="278">
        <f t="shared" si="17"/>
        <v>2255348.2534431634</v>
      </c>
    </row>
    <row r="45" spans="1:28">
      <c r="A45" s="65" t="s">
        <v>40</v>
      </c>
      <c r="B45" s="9">
        <v>4171493.89</v>
      </c>
      <c r="C45" s="9">
        <v>2693950.85</v>
      </c>
      <c r="D45" s="9">
        <v>0</v>
      </c>
      <c r="E45" s="9">
        <v>743407.59040302725</v>
      </c>
      <c r="F45" s="63">
        <f t="shared" si="18"/>
        <v>7608852.3304030271</v>
      </c>
      <c r="I45" s="268" t="s">
        <v>33</v>
      </c>
      <c r="J45" s="259">
        <f t="shared" si="12"/>
        <v>9547650.5700000003</v>
      </c>
      <c r="K45" s="259">
        <f t="shared" si="13"/>
        <v>0</v>
      </c>
      <c r="L45" s="259">
        <f t="shared" si="14"/>
        <v>12192716.9831407</v>
      </c>
      <c r="M45" s="218">
        <f t="shared" si="15"/>
        <v>20026160.579999998</v>
      </c>
      <c r="N45" s="215">
        <f t="shared" si="5"/>
        <v>41766528.133140698</v>
      </c>
      <c r="P45" s="268" t="s">
        <v>33</v>
      </c>
      <c r="Q45" s="259">
        <v>9783762.1400000006</v>
      </c>
      <c r="R45" s="259">
        <v>0</v>
      </c>
      <c r="S45" s="259">
        <v>14166911.147800267</v>
      </c>
      <c r="T45" s="218">
        <v>27698343.32120087</v>
      </c>
      <c r="U45" s="215">
        <f t="shared" si="16"/>
        <v>51649016.609001137</v>
      </c>
      <c r="W45" s="268" t="s">
        <v>33</v>
      </c>
      <c r="X45" s="276">
        <f t="shared" si="7"/>
        <v>236111.5700000003</v>
      </c>
      <c r="Y45" s="276">
        <f t="shared" si="8"/>
        <v>0</v>
      </c>
      <c r="Z45" s="276">
        <f t="shared" si="9"/>
        <v>1974194.1646595672</v>
      </c>
      <c r="AA45" s="277">
        <f t="shared" si="10"/>
        <v>7672182.7412008718</v>
      </c>
      <c r="AB45" s="278">
        <f t="shared" si="17"/>
        <v>9882488.4758604392</v>
      </c>
    </row>
    <row r="46" spans="1:28">
      <c r="A46" s="65" t="s">
        <v>41</v>
      </c>
      <c r="B46" s="9">
        <v>31943282.18</v>
      </c>
      <c r="C46" s="9">
        <v>5887553.7999999998</v>
      </c>
      <c r="D46" s="9">
        <v>9149143.0140880179</v>
      </c>
      <c r="E46" s="9">
        <v>6078416.3761273762</v>
      </c>
      <c r="F46" s="63">
        <f t="shared" si="18"/>
        <v>53058395.370215394</v>
      </c>
      <c r="I46" s="268" t="s">
        <v>34</v>
      </c>
      <c r="J46" s="259">
        <f t="shared" si="12"/>
        <v>4014025.97</v>
      </c>
      <c r="K46" s="259">
        <f t="shared" si="13"/>
        <v>0</v>
      </c>
      <c r="L46" s="259">
        <f t="shared" si="14"/>
        <v>2948632.3719474021</v>
      </c>
      <c r="M46" s="218">
        <f t="shared" si="15"/>
        <v>4968959.3899999997</v>
      </c>
      <c r="N46" s="215">
        <f t="shared" si="5"/>
        <v>11931617.731947403</v>
      </c>
      <c r="P46" s="268" t="s">
        <v>34</v>
      </c>
      <c r="Q46" s="259">
        <v>4067941.47</v>
      </c>
      <c r="R46" s="259">
        <v>0</v>
      </c>
      <c r="S46" s="259">
        <v>3232742.8847484374</v>
      </c>
      <c r="T46" s="218">
        <v>5670841.0817171661</v>
      </c>
      <c r="U46" s="215">
        <f t="shared" si="16"/>
        <v>12971525.436465602</v>
      </c>
      <c r="W46" s="268" t="s">
        <v>34</v>
      </c>
      <c r="X46" s="276">
        <f t="shared" si="7"/>
        <v>53915.5</v>
      </c>
      <c r="Y46" s="276">
        <f t="shared" si="8"/>
        <v>0</v>
      </c>
      <c r="Z46" s="276">
        <f t="shared" si="9"/>
        <v>284110.51280103531</v>
      </c>
      <c r="AA46" s="277">
        <f t="shared" si="10"/>
        <v>701881.69171716645</v>
      </c>
      <c r="AB46" s="278">
        <f t="shared" si="17"/>
        <v>1039907.7045182018</v>
      </c>
    </row>
    <row r="47" spans="1:28">
      <c r="A47" s="65" t="s">
        <v>42</v>
      </c>
      <c r="B47" s="9">
        <v>5020066.84</v>
      </c>
      <c r="C47" s="9">
        <v>3088758.18</v>
      </c>
      <c r="D47" s="9">
        <v>0</v>
      </c>
      <c r="E47" s="9">
        <v>1402944.986497188</v>
      </c>
      <c r="F47" s="63">
        <f t="shared" si="18"/>
        <v>9511770.0064971875</v>
      </c>
      <c r="I47" s="268" t="s">
        <v>35</v>
      </c>
      <c r="J47" s="259">
        <f t="shared" si="12"/>
        <v>3904924.6</v>
      </c>
      <c r="K47" s="259">
        <f t="shared" si="13"/>
        <v>0</v>
      </c>
      <c r="L47" s="259">
        <f t="shared" si="14"/>
        <v>2766375.2885870226</v>
      </c>
      <c r="M47" s="218">
        <f t="shared" si="15"/>
        <v>4280712.4000000004</v>
      </c>
      <c r="N47" s="215">
        <f t="shared" si="5"/>
        <v>10952012.288587023</v>
      </c>
      <c r="P47" s="268" t="s">
        <v>35</v>
      </c>
      <c r="Q47" s="259">
        <v>3929934.02</v>
      </c>
      <c r="R47" s="259">
        <v>0</v>
      </c>
      <c r="S47" s="259">
        <v>3099472.9192519151</v>
      </c>
      <c r="T47" s="218">
        <v>4283419.7572006918</v>
      </c>
      <c r="U47" s="215">
        <f t="shared" si="16"/>
        <v>11312826.696452606</v>
      </c>
      <c r="W47" s="268" t="s">
        <v>35</v>
      </c>
      <c r="X47" s="276">
        <f t="shared" si="7"/>
        <v>25009.419999999925</v>
      </c>
      <c r="Y47" s="276">
        <f t="shared" si="8"/>
        <v>0</v>
      </c>
      <c r="Z47" s="276">
        <f t="shared" si="9"/>
        <v>333097.63066489249</v>
      </c>
      <c r="AA47" s="277">
        <f t="shared" si="10"/>
        <v>2707.3572006914765</v>
      </c>
      <c r="AB47" s="278">
        <f t="shared" si="17"/>
        <v>360814.4078655839</v>
      </c>
    </row>
    <row r="48" spans="1:28">
      <c r="A48" s="65" t="s">
        <v>43</v>
      </c>
      <c r="B48" s="9">
        <v>4449934.8499999996</v>
      </c>
      <c r="C48" s="9">
        <v>3661228.77</v>
      </c>
      <c r="D48" s="9">
        <v>0</v>
      </c>
      <c r="E48" s="9">
        <v>2359274.1523919348</v>
      </c>
      <c r="F48" s="63">
        <f t="shared" si="18"/>
        <v>10470437.772391934</v>
      </c>
      <c r="I48" s="268" t="s">
        <v>36</v>
      </c>
      <c r="J48" s="259">
        <f t="shared" si="12"/>
        <v>3906670.95</v>
      </c>
      <c r="K48" s="259">
        <f t="shared" si="13"/>
        <v>0</v>
      </c>
      <c r="L48" s="259">
        <f t="shared" si="14"/>
        <v>2769292.6124916826</v>
      </c>
      <c r="M48" s="218">
        <f t="shared" si="15"/>
        <v>5448422.9900000002</v>
      </c>
      <c r="N48" s="215">
        <f t="shared" si="5"/>
        <v>12124386.552491684</v>
      </c>
      <c r="P48" s="268" t="s">
        <v>36</v>
      </c>
      <c r="Q48" s="259">
        <v>3942363.2</v>
      </c>
      <c r="R48" s="259">
        <v>0</v>
      </c>
      <c r="S48" s="259">
        <v>3009811.9212916601</v>
      </c>
      <c r="T48" s="218">
        <v>6076235.2056293599</v>
      </c>
      <c r="U48" s="215">
        <f t="shared" si="16"/>
        <v>13028410.32692102</v>
      </c>
      <c r="W48" s="268" t="s">
        <v>36</v>
      </c>
      <c r="X48" s="276">
        <f t="shared" si="7"/>
        <v>35692.25</v>
      </c>
      <c r="Y48" s="276">
        <f t="shared" si="8"/>
        <v>0</v>
      </c>
      <c r="Z48" s="276">
        <f t="shared" si="9"/>
        <v>240519.30879997741</v>
      </c>
      <c r="AA48" s="277">
        <f t="shared" si="10"/>
        <v>627812.21562935971</v>
      </c>
      <c r="AB48" s="278">
        <f t="shared" si="17"/>
        <v>904023.77442933712</v>
      </c>
    </row>
    <row r="49" spans="1:28">
      <c r="A49" s="65" t="s">
        <v>44</v>
      </c>
      <c r="B49" s="9">
        <v>10569957.33</v>
      </c>
      <c r="C49" s="9">
        <v>4882532.88</v>
      </c>
      <c r="D49" s="9">
        <v>0</v>
      </c>
      <c r="E49" s="9">
        <v>4399499.0154434396</v>
      </c>
      <c r="F49" s="63">
        <f t="shared" si="18"/>
        <v>19851989.225443441</v>
      </c>
      <c r="I49" s="268" t="s">
        <v>37</v>
      </c>
      <c r="J49" s="259">
        <f t="shared" si="12"/>
        <v>4361143.1900000004</v>
      </c>
      <c r="K49" s="259">
        <f t="shared" si="13"/>
        <v>0</v>
      </c>
      <c r="L49" s="259">
        <f t="shared" si="14"/>
        <v>3528502.0276969215</v>
      </c>
      <c r="M49" s="218">
        <f t="shared" si="15"/>
        <v>5144806.88</v>
      </c>
      <c r="N49" s="215">
        <f t="shared" si="5"/>
        <v>13034452.097696923</v>
      </c>
      <c r="P49" s="268" t="s">
        <v>37</v>
      </c>
      <c r="Q49" s="259">
        <v>4401463.3600000003</v>
      </c>
      <c r="R49" s="259">
        <v>0</v>
      </c>
      <c r="S49" s="259">
        <v>3824822.6770570739</v>
      </c>
      <c r="T49" s="218">
        <v>5580621.5987967364</v>
      </c>
      <c r="U49" s="215">
        <f t="shared" si="16"/>
        <v>13806907.63585381</v>
      </c>
      <c r="W49" s="268" t="s">
        <v>37</v>
      </c>
      <c r="X49" s="276">
        <f t="shared" si="7"/>
        <v>40320.169999999925</v>
      </c>
      <c r="Y49" s="276">
        <f t="shared" si="8"/>
        <v>0</v>
      </c>
      <c r="Z49" s="276">
        <f t="shared" si="9"/>
        <v>296320.64936015243</v>
      </c>
      <c r="AA49" s="277">
        <f t="shared" si="10"/>
        <v>435814.71879673656</v>
      </c>
      <c r="AB49" s="278">
        <f t="shared" si="17"/>
        <v>772455.53815688891</v>
      </c>
    </row>
    <row r="50" spans="1:28">
      <c r="A50" s="65" t="s">
        <v>45</v>
      </c>
      <c r="B50" s="9">
        <v>8451896.3212104775</v>
      </c>
      <c r="C50" s="9">
        <v>8800078.8800000008</v>
      </c>
      <c r="D50" s="9">
        <v>8353830.3409364149</v>
      </c>
      <c r="E50" s="9">
        <v>2479452.433364782</v>
      </c>
      <c r="F50" s="63">
        <f t="shared" si="18"/>
        <v>28085257.975511674</v>
      </c>
      <c r="I50" s="268" t="s">
        <v>38</v>
      </c>
      <c r="J50" s="259">
        <f t="shared" si="12"/>
        <v>7409009.3399999999</v>
      </c>
      <c r="K50" s="259">
        <f t="shared" si="13"/>
        <v>0</v>
      </c>
      <c r="L50" s="259">
        <f t="shared" si="14"/>
        <v>8620053.1497683991</v>
      </c>
      <c r="M50" s="218">
        <f t="shared" si="15"/>
        <v>16763233.83</v>
      </c>
      <c r="N50" s="215">
        <f t="shared" si="5"/>
        <v>32792296.319768399</v>
      </c>
      <c r="P50" s="268" t="s">
        <v>38</v>
      </c>
      <c r="Q50" s="259">
        <v>7532728.4699999997</v>
      </c>
      <c r="R50" s="259">
        <v>0</v>
      </c>
      <c r="S50" s="259">
        <v>17905596.968442116</v>
      </c>
      <c r="T50" s="218">
        <v>22052503.047917143</v>
      </c>
      <c r="U50" s="215">
        <f t="shared" si="16"/>
        <v>47490828.486359254</v>
      </c>
      <c r="W50" s="268" t="s">
        <v>38</v>
      </c>
      <c r="X50" s="276">
        <f t="shared" si="7"/>
        <v>123719.12999999989</v>
      </c>
      <c r="Y50" s="276">
        <f t="shared" si="8"/>
        <v>0</v>
      </c>
      <c r="Z50" s="276">
        <f t="shared" si="9"/>
        <v>9285543.8186737169</v>
      </c>
      <c r="AA50" s="277">
        <f t="shared" si="10"/>
        <v>5289269.2179171424</v>
      </c>
      <c r="AB50" s="278">
        <f t="shared" si="17"/>
        <v>14698532.16659086</v>
      </c>
    </row>
    <row r="51" spans="1:28">
      <c r="A51" s="65" t="s">
        <v>46</v>
      </c>
      <c r="B51" s="9">
        <v>25149611.733935378</v>
      </c>
      <c r="C51" s="9">
        <v>21160275.140000001</v>
      </c>
      <c r="D51" s="9">
        <v>0</v>
      </c>
      <c r="E51" s="9">
        <v>17405197.750645991</v>
      </c>
      <c r="F51" s="63">
        <f t="shared" si="18"/>
        <v>63715084.624581367</v>
      </c>
      <c r="I51" s="268" t="s">
        <v>40</v>
      </c>
      <c r="J51" s="259">
        <f t="shared" si="12"/>
        <v>2693950.85</v>
      </c>
      <c r="K51" s="259">
        <f t="shared" si="13"/>
        <v>0</v>
      </c>
      <c r="L51" s="259">
        <f t="shared" si="14"/>
        <v>743407.59040302725</v>
      </c>
      <c r="M51" s="218">
        <f t="shared" si="15"/>
        <v>4171493.89</v>
      </c>
      <c r="N51" s="215">
        <f t="shared" si="5"/>
        <v>7608852.3304030281</v>
      </c>
      <c r="P51" s="268" t="s">
        <v>40</v>
      </c>
      <c r="Q51" s="259">
        <v>2704054.81</v>
      </c>
      <c r="R51" s="259">
        <v>0</v>
      </c>
      <c r="S51" s="259">
        <v>3555590.9773309566</v>
      </c>
      <c r="T51" s="218">
        <v>4288168.1510386094</v>
      </c>
      <c r="U51" s="215">
        <f t="shared" si="16"/>
        <v>10547813.938369567</v>
      </c>
      <c r="W51" s="268" t="s">
        <v>40</v>
      </c>
      <c r="X51" s="276">
        <f t="shared" si="7"/>
        <v>10103.959999999963</v>
      </c>
      <c r="Y51" s="276">
        <f t="shared" si="8"/>
        <v>0</v>
      </c>
      <c r="Z51" s="276">
        <f t="shared" si="9"/>
        <v>2812183.3869279292</v>
      </c>
      <c r="AA51" s="277">
        <f t="shared" si="10"/>
        <v>116674.26103860931</v>
      </c>
      <c r="AB51" s="278">
        <f t="shared" si="17"/>
        <v>2938961.6079665385</v>
      </c>
    </row>
    <row r="52" spans="1:28">
      <c r="A52" s="65" t="s">
        <v>47</v>
      </c>
      <c r="B52" s="9">
        <v>10781489.118756974</v>
      </c>
      <c r="C52" s="9">
        <v>39615398.719999999</v>
      </c>
      <c r="D52" s="9">
        <v>0</v>
      </c>
      <c r="E52" s="9">
        <v>39690966.383817434</v>
      </c>
      <c r="F52" s="63">
        <f t="shared" si="18"/>
        <v>90087854.222574413</v>
      </c>
      <c r="I52" s="268" t="s">
        <v>41</v>
      </c>
      <c r="J52" s="259">
        <f t="shared" si="12"/>
        <v>5887553.7999999998</v>
      </c>
      <c r="K52" s="259">
        <f t="shared" si="13"/>
        <v>9149143.0140880179</v>
      </c>
      <c r="L52" s="259">
        <f t="shared" si="14"/>
        <v>6078416.3761273762</v>
      </c>
      <c r="M52" s="218">
        <f t="shared" si="15"/>
        <v>31943282.18</v>
      </c>
      <c r="N52" s="215">
        <f t="shared" si="5"/>
        <v>53058395.370215394</v>
      </c>
      <c r="P52" s="268" t="s">
        <v>41</v>
      </c>
      <c r="Q52" s="259">
        <v>5162583.18</v>
      </c>
      <c r="R52" s="259">
        <v>8397289.0500000007</v>
      </c>
      <c r="S52" s="259">
        <v>5175989.3842794793</v>
      </c>
      <c r="T52" s="218">
        <v>29869249.628973708</v>
      </c>
      <c r="U52" s="215">
        <f t="shared" si="16"/>
        <v>48605111.243253186</v>
      </c>
      <c r="W52" s="268" t="s">
        <v>41</v>
      </c>
      <c r="X52" s="276">
        <f t="shared" si="7"/>
        <v>-724970.62000000011</v>
      </c>
      <c r="Y52" s="276">
        <f t="shared" si="8"/>
        <v>-751853.96408801712</v>
      </c>
      <c r="Z52" s="276">
        <f t="shared" si="9"/>
        <v>-902426.99184789695</v>
      </c>
      <c r="AA52" s="277">
        <f t="shared" si="10"/>
        <v>-2074032.5510262921</v>
      </c>
      <c r="AB52" s="278">
        <f t="shared" si="17"/>
        <v>-4453284.1269622063</v>
      </c>
    </row>
    <row r="53" spans="1:28">
      <c r="A53" s="65" t="s">
        <v>48</v>
      </c>
      <c r="B53" s="9">
        <v>19717144.79065343</v>
      </c>
      <c r="C53" s="9">
        <v>14864043.029999999</v>
      </c>
      <c r="D53" s="9">
        <v>15645736.289694797</v>
      </c>
      <c r="E53" s="9">
        <v>9802085.7211358696</v>
      </c>
      <c r="F53" s="63">
        <f t="shared" si="18"/>
        <v>60029009.831484094</v>
      </c>
      <c r="I53" s="268" t="s">
        <v>42</v>
      </c>
      <c r="J53" s="259">
        <f t="shared" si="12"/>
        <v>3088758.18</v>
      </c>
      <c r="K53" s="259">
        <f t="shared" si="13"/>
        <v>0</v>
      </c>
      <c r="L53" s="259">
        <f t="shared" si="14"/>
        <v>1402944.986497188</v>
      </c>
      <c r="M53" s="218">
        <f t="shared" si="15"/>
        <v>5020066.84</v>
      </c>
      <c r="N53" s="215">
        <f t="shared" si="5"/>
        <v>9511770.0064971875</v>
      </c>
      <c r="P53" s="268" t="s">
        <v>42</v>
      </c>
      <c r="Q53" s="259">
        <v>3098262.64</v>
      </c>
      <c r="R53" s="259">
        <v>0</v>
      </c>
      <c r="S53" s="259">
        <v>2047968.1588161183</v>
      </c>
      <c r="T53" s="218">
        <v>5326285.7538532885</v>
      </c>
      <c r="U53" s="215">
        <f t="shared" si="16"/>
        <v>10472516.552669406</v>
      </c>
      <c r="W53" s="268" t="s">
        <v>42</v>
      </c>
      <c r="X53" s="276">
        <f t="shared" si="7"/>
        <v>9504.4599999999627</v>
      </c>
      <c r="Y53" s="276">
        <f t="shared" si="8"/>
        <v>0</v>
      </c>
      <c r="Z53" s="276">
        <f t="shared" si="9"/>
        <v>645023.17231893027</v>
      </c>
      <c r="AA53" s="277">
        <f t="shared" si="10"/>
        <v>306218.91385328863</v>
      </c>
      <c r="AB53" s="278">
        <f t="shared" si="17"/>
        <v>960746.54617221886</v>
      </c>
    </row>
    <row r="54" spans="1:28">
      <c r="A54" s="65" t="s">
        <v>49</v>
      </c>
      <c r="B54" s="9">
        <v>6400450.8389404938</v>
      </c>
      <c r="C54" s="9">
        <v>10291428.779999999</v>
      </c>
      <c r="D54" s="9">
        <v>8787454.3831691872</v>
      </c>
      <c r="E54" s="9">
        <v>4280354.967553379</v>
      </c>
      <c r="F54" s="63">
        <f t="shared" si="18"/>
        <v>29759688.969663061</v>
      </c>
      <c r="I54" s="268" t="s">
        <v>43</v>
      </c>
      <c r="J54" s="259">
        <f t="shared" si="12"/>
        <v>3661228.77</v>
      </c>
      <c r="K54" s="259">
        <f t="shared" si="13"/>
        <v>0</v>
      </c>
      <c r="L54" s="259">
        <f t="shared" si="14"/>
        <v>2359274.1523919348</v>
      </c>
      <c r="M54" s="218">
        <f t="shared" si="15"/>
        <v>4449934.8499999996</v>
      </c>
      <c r="N54" s="215">
        <f t="shared" si="5"/>
        <v>10470437.772391934</v>
      </c>
      <c r="P54" s="268" t="s">
        <v>43</v>
      </c>
      <c r="Q54" s="259">
        <v>3697671.94</v>
      </c>
      <c r="R54" s="259">
        <v>0</v>
      </c>
      <c r="S54" s="259">
        <v>2575427.3718657605</v>
      </c>
      <c r="T54" s="218">
        <v>4783484.9832563614</v>
      </c>
      <c r="U54" s="215">
        <f t="shared" si="16"/>
        <v>11056584.295122121</v>
      </c>
      <c r="W54" s="268" t="s">
        <v>43</v>
      </c>
      <c r="X54" s="276">
        <f t="shared" si="7"/>
        <v>36443.169999999925</v>
      </c>
      <c r="Y54" s="276">
        <f t="shared" si="8"/>
        <v>0</v>
      </c>
      <c r="Z54" s="276">
        <f t="shared" si="9"/>
        <v>216153.21947382577</v>
      </c>
      <c r="AA54" s="277">
        <f t="shared" si="10"/>
        <v>333550.13325636182</v>
      </c>
      <c r="AB54" s="278">
        <f t="shared" si="17"/>
        <v>586146.52273018751</v>
      </c>
    </row>
    <row r="55" spans="1:28">
      <c r="A55" s="65" t="s">
        <v>50</v>
      </c>
      <c r="B55" s="9">
        <v>4293773.1900000004</v>
      </c>
      <c r="C55" s="9">
        <v>3012708.19</v>
      </c>
      <c r="D55" s="9">
        <v>0</v>
      </c>
      <c r="E55" s="9">
        <v>1275901.212743267</v>
      </c>
      <c r="F55" s="63">
        <f t="shared" si="18"/>
        <v>8582382.5927432682</v>
      </c>
      <c r="I55" s="268" t="s">
        <v>44</v>
      </c>
      <c r="J55" s="259">
        <f t="shared" si="12"/>
        <v>4882532.88</v>
      </c>
      <c r="K55" s="259">
        <f t="shared" si="13"/>
        <v>0</v>
      </c>
      <c r="L55" s="259">
        <f t="shared" si="14"/>
        <v>4399499.0154434396</v>
      </c>
      <c r="M55" s="218">
        <f t="shared" si="15"/>
        <v>10569957.33</v>
      </c>
      <c r="N55" s="215">
        <f t="shared" si="5"/>
        <v>19851989.225443438</v>
      </c>
      <c r="P55" s="268" t="s">
        <v>44</v>
      </c>
      <c r="Q55" s="259">
        <v>5020702.67</v>
      </c>
      <c r="R55" s="259">
        <v>0</v>
      </c>
      <c r="S55" s="259">
        <v>4924118.101341052</v>
      </c>
      <c r="T55" s="218">
        <v>14522440.744824842</v>
      </c>
      <c r="U55" s="215">
        <f t="shared" si="16"/>
        <v>24467261.516165894</v>
      </c>
      <c r="W55" s="268" t="s">
        <v>44</v>
      </c>
      <c r="X55" s="276">
        <f t="shared" si="7"/>
        <v>138169.79000000004</v>
      </c>
      <c r="Y55" s="276">
        <f t="shared" si="8"/>
        <v>0</v>
      </c>
      <c r="Z55" s="276">
        <f t="shared" si="9"/>
        <v>524619.08589761239</v>
      </c>
      <c r="AA55" s="277">
        <f t="shared" si="10"/>
        <v>3952483.4148248415</v>
      </c>
      <c r="AB55" s="278">
        <f t="shared" si="17"/>
        <v>4615272.290722454</v>
      </c>
    </row>
    <row r="56" spans="1:28">
      <c r="A56" s="65" t="s">
        <v>51</v>
      </c>
      <c r="B56" s="9">
        <v>4676321.92</v>
      </c>
      <c r="C56" s="9">
        <v>2770789.26</v>
      </c>
      <c r="D56" s="9">
        <v>0</v>
      </c>
      <c r="E56" s="9">
        <v>871768.44657321565</v>
      </c>
      <c r="F56" s="63">
        <f t="shared" si="18"/>
        <v>8318879.6265732152</v>
      </c>
      <c r="I56" s="268" t="s">
        <v>50</v>
      </c>
      <c r="J56" s="259">
        <f t="shared" si="12"/>
        <v>3012708.19</v>
      </c>
      <c r="K56" s="259">
        <f t="shared" si="13"/>
        <v>0</v>
      </c>
      <c r="L56" s="259">
        <f t="shared" si="14"/>
        <v>1275901.212743267</v>
      </c>
      <c r="M56" s="218">
        <f t="shared" si="15"/>
        <v>4293773.1900000004</v>
      </c>
      <c r="N56" s="215">
        <f t="shared" si="5"/>
        <v>8582382.5927432664</v>
      </c>
      <c r="P56" s="268" t="s">
        <v>50</v>
      </c>
      <c r="Q56" s="259">
        <v>3030910.95</v>
      </c>
      <c r="R56" s="259">
        <v>0</v>
      </c>
      <c r="S56" s="259">
        <v>1539148.4687656499</v>
      </c>
      <c r="T56" s="218">
        <v>4484336.1714675697</v>
      </c>
      <c r="U56" s="215">
        <f t="shared" si="16"/>
        <v>9054395.5902332198</v>
      </c>
      <c r="W56" s="268" t="s">
        <v>50</v>
      </c>
      <c r="X56" s="276">
        <f t="shared" si="7"/>
        <v>18202.760000000242</v>
      </c>
      <c r="Y56" s="276">
        <f t="shared" si="8"/>
        <v>0</v>
      </c>
      <c r="Z56" s="276">
        <f t="shared" si="9"/>
        <v>263247.25602238299</v>
      </c>
      <c r="AA56" s="277">
        <f t="shared" si="10"/>
        <v>190562.98146756925</v>
      </c>
      <c r="AB56" s="278">
        <f t="shared" si="17"/>
        <v>472012.99748995248</v>
      </c>
    </row>
    <row r="57" spans="1:28" ht="13.8" thickBot="1">
      <c r="A57" s="66" t="s">
        <v>52</v>
      </c>
      <c r="B57" s="12">
        <f>SUM(B6:B56)</f>
        <v>622950008.32026494</v>
      </c>
      <c r="C57" s="12">
        <f>SUM(C6:C56)</f>
        <v>439245659.00999993</v>
      </c>
      <c r="D57" s="12">
        <f>SUM(D6:D56)</f>
        <v>155027879.64431998</v>
      </c>
      <c r="E57" s="12">
        <f>SUM(E6:E56)</f>
        <v>367473492.49023998</v>
      </c>
      <c r="F57" s="20">
        <f>SUM(F6:F56)</f>
        <v>1584697039.4648252</v>
      </c>
      <c r="I57" s="268" t="s">
        <v>51</v>
      </c>
      <c r="J57" s="259">
        <f t="shared" si="12"/>
        <v>2770789.26</v>
      </c>
      <c r="K57" s="259">
        <f t="shared" si="13"/>
        <v>0</v>
      </c>
      <c r="L57" s="259">
        <f t="shared" si="14"/>
        <v>871768.44657321565</v>
      </c>
      <c r="M57" s="218">
        <f t="shared" si="15"/>
        <v>4676321.92</v>
      </c>
      <c r="N57" s="215">
        <f t="shared" si="5"/>
        <v>8318879.6265732152</v>
      </c>
      <c r="P57" s="268" t="s">
        <v>51</v>
      </c>
      <c r="Q57" s="259">
        <v>2796166.36</v>
      </c>
      <c r="R57" s="259">
        <v>0</v>
      </c>
      <c r="S57" s="259">
        <v>3547664.2987005324</v>
      </c>
      <c r="T57" s="218">
        <v>5210840.4286689237</v>
      </c>
      <c r="U57" s="215">
        <f t="shared" si="16"/>
        <v>11554671.087369457</v>
      </c>
      <c r="W57" s="268" t="s">
        <v>51</v>
      </c>
      <c r="X57" s="276">
        <f t="shared" si="7"/>
        <v>25377.100000000093</v>
      </c>
      <c r="Y57" s="276">
        <f t="shared" si="8"/>
        <v>0</v>
      </c>
      <c r="Z57" s="276">
        <f t="shared" si="9"/>
        <v>2675895.8521273169</v>
      </c>
      <c r="AA57" s="277">
        <f t="shared" si="10"/>
        <v>534518.50866892375</v>
      </c>
      <c r="AB57" s="278">
        <f t="shared" si="17"/>
        <v>3235791.4607962407</v>
      </c>
    </row>
    <row r="58" spans="1:28" ht="14.4" thickTop="1" thickBot="1">
      <c r="I58" s="269" t="s">
        <v>140</v>
      </c>
      <c r="J58" s="270">
        <f>SUM(J19:J57)</f>
        <v>175698263.61000001</v>
      </c>
      <c r="K58" s="270">
        <f>SUM(K19:K57)</f>
        <v>32696079.769151375</v>
      </c>
      <c r="L58" s="270">
        <f>SUM(L19:L57)</f>
        <v>146989396.99609599</v>
      </c>
      <c r="M58" s="271">
        <f>SUM(M19:M57)</f>
        <v>323580003.32669193</v>
      </c>
      <c r="N58" s="266">
        <f>SUM(N19:N57)</f>
        <v>678963743.70193923</v>
      </c>
      <c r="P58" s="269" t="s">
        <v>140</v>
      </c>
      <c r="Q58" s="270">
        <f>SUM(Q19:Q57)</f>
        <v>175540561.06999999</v>
      </c>
      <c r="R58" s="270">
        <f>SUM(R19:R57)</f>
        <v>30174112.359999999</v>
      </c>
      <c r="S58" s="270">
        <f>SUM(S19:S57)</f>
        <v>187348055.52167648</v>
      </c>
      <c r="T58" s="271">
        <f>SUM(T19:T57)</f>
        <v>358359035.66975993</v>
      </c>
      <c r="U58" s="266">
        <f>SUM(U19:U57)</f>
        <v>751421764.62143636</v>
      </c>
      <c r="W58" s="269" t="s">
        <v>140</v>
      </c>
      <c r="X58" s="279">
        <f>SUM(X19:X57)</f>
        <v>-157702.5400000019</v>
      </c>
      <c r="Y58" s="279">
        <f>SUM(Y19:Y57)</f>
        <v>-2521967.4091513762</v>
      </c>
      <c r="Z58" s="279">
        <f>SUM(Z19:Z57)</f>
        <v>40358658.525580481</v>
      </c>
      <c r="AA58" s="280">
        <f>SUM(AA19:AA57)</f>
        <v>34779032.343068078</v>
      </c>
      <c r="AB58" s="281">
        <f>SUM(AB19:AB57)</f>
        <v>72458020.919497177</v>
      </c>
    </row>
    <row r="59" spans="1:28" ht="13.8" thickBot="1">
      <c r="I59" s="269" t="s">
        <v>52</v>
      </c>
      <c r="J59" s="270">
        <f>J58+J18</f>
        <v>439245659.00999999</v>
      </c>
      <c r="K59" s="270">
        <f>K58+K18</f>
        <v>155027879.64432001</v>
      </c>
      <c r="L59" s="270">
        <f>L58+L18</f>
        <v>367473492.49023998</v>
      </c>
      <c r="M59" s="271">
        <f>M58+M18</f>
        <v>622950008.32026482</v>
      </c>
      <c r="N59" s="266">
        <f>N58+N18</f>
        <v>1584697039.4648247</v>
      </c>
      <c r="P59" s="269" t="s">
        <v>52</v>
      </c>
      <c r="Q59" s="270">
        <f>Q58+Q18</f>
        <v>438851402.67999995</v>
      </c>
      <c r="R59" s="270">
        <f>R58+R18</f>
        <v>154888730.36000001</v>
      </c>
      <c r="S59" s="270">
        <f>S58+S18</f>
        <v>410729830.90047014</v>
      </c>
      <c r="T59" s="271">
        <f>T58+T18</f>
        <v>709897589.17439985</v>
      </c>
      <c r="U59" s="266">
        <f>U58+U18</f>
        <v>1714367553.1148696</v>
      </c>
      <c r="W59" s="269" t="s">
        <v>52</v>
      </c>
      <c r="X59" s="279">
        <f>X58+X18</f>
        <v>-394256.33000000473</v>
      </c>
      <c r="Y59" s="279">
        <f>Y58+Y18</f>
        <v>-139149.2843200285</v>
      </c>
      <c r="Z59" s="279">
        <f>Z58+Z18</f>
        <v>43256338.410230063</v>
      </c>
      <c r="AA59" s="280">
        <f>AA58+AA18</f>
        <v>86947580.854135126</v>
      </c>
      <c r="AB59" s="281">
        <f>AB58+AB18</f>
        <v>129670513.65004513</v>
      </c>
    </row>
  </sheetData>
  <mergeCells count="16">
    <mergeCell ref="P1:U1"/>
    <mergeCell ref="P2:U2"/>
    <mergeCell ref="P3:U3"/>
    <mergeCell ref="P4:U4"/>
    <mergeCell ref="W1:AB1"/>
    <mergeCell ref="W2:AB2"/>
    <mergeCell ref="W3:AB3"/>
    <mergeCell ref="W4:AB4"/>
    <mergeCell ref="A1:F1"/>
    <mergeCell ref="A2:F2"/>
    <mergeCell ref="A3:F3"/>
    <mergeCell ref="A4:F4"/>
    <mergeCell ref="I1:N1"/>
    <mergeCell ref="I2:N2"/>
    <mergeCell ref="I3:N3"/>
    <mergeCell ref="I4:N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Q61"/>
  <sheetViews>
    <sheetView zoomScale="85" zoomScaleNormal="85"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X5" sqref="X5:X55"/>
    </sheetView>
  </sheetViews>
  <sheetFormatPr baseColWidth="10" defaultColWidth="11.44140625" defaultRowHeight="13.2"/>
  <cols>
    <col min="1" max="1" width="34" style="1" customWidth="1"/>
    <col min="2" max="2" width="16.109375" style="90" customWidth="1"/>
    <col min="3" max="3" width="18.88671875" style="90" customWidth="1"/>
    <col min="4" max="4" width="16.109375" style="90" customWidth="1"/>
    <col min="5" max="7" width="15" style="1" customWidth="1"/>
    <col min="8" max="8" width="18.6640625" style="1" customWidth="1"/>
    <col min="9" max="10" width="17.44140625" style="1" customWidth="1"/>
    <col min="11" max="26" width="16.6640625" style="1" customWidth="1"/>
    <col min="27" max="27" width="22.44140625" style="1" bestFit="1" customWidth="1"/>
    <col min="28" max="43" width="16.6640625" style="1" customWidth="1"/>
    <col min="44" max="16384" width="11.44140625" style="1"/>
  </cols>
  <sheetData>
    <row r="1" spans="1:43" ht="15.6">
      <c r="A1" s="164">
        <v>1</v>
      </c>
      <c r="B1" s="164">
        <v>2</v>
      </c>
      <c r="C1" s="164"/>
      <c r="D1" s="164">
        <v>3</v>
      </c>
      <c r="E1" s="164">
        <v>4</v>
      </c>
      <c r="F1" s="164">
        <v>5</v>
      </c>
      <c r="G1" s="164">
        <v>6</v>
      </c>
      <c r="H1" s="164">
        <v>7</v>
      </c>
      <c r="I1" s="164">
        <v>8</v>
      </c>
      <c r="J1" s="164">
        <v>9</v>
      </c>
      <c r="K1" s="164">
        <v>10</v>
      </c>
      <c r="L1" s="164">
        <v>11</v>
      </c>
      <c r="M1" s="164">
        <v>12</v>
      </c>
      <c r="N1" s="164">
        <v>13</v>
      </c>
      <c r="O1" s="164">
        <v>14</v>
      </c>
      <c r="P1" s="164">
        <v>15</v>
      </c>
      <c r="Q1" s="164">
        <v>16</v>
      </c>
      <c r="R1" s="164">
        <v>17</v>
      </c>
      <c r="S1" s="164">
        <v>18</v>
      </c>
      <c r="T1" s="164">
        <v>19</v>
      </c>
      <c r="U1" s="164">
        <v>20</v>
      </c>
      <c r="V1" s="164">
        <v>21</v>
      </c>
      <c r="W1" s="164">
        <v>22</v>
      </c>
      <c r="X1" s="164">
        <v>23</v>
      </c>
      <c r="Y1" s="164">
        <v>24</v>
      </c>
      <c r="Z1" s="164">
        <v>25</v>
      </c>
      <c r="AA1" s="164">
        <v>26</v>
      </c>
      <c r="AB1" s="164">
        <v>27</v>
      </c>
      <c r="AC1" s="164">
        <v>28</v>
      </c>
      <c r="AD1" s="164">
        <v>29</v>
      </c>
      <c r="AE1" s="164">
        <v>30</v>
      </c>
      <c r="AF1" s="164">
        <v>31</v>
      </c>
      <c r="AG1" s="164">
        <v>32</v>
      </c>
      <c r="AH1" s="164">
        <v>33</v>
      </c>
      <c r="AI1" s="164">
        <v>34</v>
      </c>
      <c r="AJ1" s="164">
        <v>35</v>
      </c>
      <c r="AK1" s="164">
        <v>36</v>
      </c>
      <c r="AL1" s="164">
        <v>37</v>
      </c>
      <c r="AM1" s="164">
        <v>38</v>
      </c>
      <c r="AN1" s="164">
        <v>39</v>
      </c>
      <c r="AO1" s="164">
        <v>40</v>
      </c>
      <c r="AP1" s="164">
        <v>41</v>
      </c>
      <c r="AQ1" s="164">
        <v>42</v>
      </c>
    </row>
    <row r="2" spans="1:43">
      <c r="A2" s="335" t="s">
        <v>62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B2" s="69"/>
      <c r="AC2" s="69"/>
      <c r="AD2" s="69"/>
      <c r="AE2" s="69"/>
      <c r="AF2" s="69"/>
      <c r="AG2" s="69"/>
      <c r="AH2" s="69"/>
      <c r="AI2" s="69"/>
      <c r="AJ2" s="88"/>
      <c r="AK2" s="88"/>
      <c r="AL2" s="88"/>
      <c r="AM2" s="88"/>
      <c r="AN2" s="88"/>
      <c r="AO2" s="88"/>
      <c r="AP2" s="88"/>
      <c r="AQ2" s="88"/>
    </row>
    <row r="3" spans="1:43" s="31" customFormat="1" ht="21" customHeight="1" thickBot="1">
      <c r="B3" s="90"/>
      <c r="C3" s="90"/>
      <c r="D3" s="90"/>
      <c r="E3" s="336" t="s">
        <v>74</v>
      </c>
      <c r="F3" s="336"/>
      <c r="G3" s="336"/>
      <c r="H3" s="336"/>
      <c r="I3" s="336"/>
      <c r="J3" s="336"/>
      <c r="K3" s="338" t="s">
        <v>75</v>
      </c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7"/>
      <c r="X3" s="337" t="s">
        <v>82</v>
      </c>
      <c r="Y3" s="337"/>
      <c r="Z3" s="337"/>
      <c r="AA3" s="38" t="s">
        <v>192</v>
      </c>
      <c r="AB3" s="334" t="s">
        <v>108</v>
      </c>
      <c r="AC3" s="334"/>
      <c r="AD3" s="334"/>
      <c r="AE3" s="334"/>
      <c r="AF3" s="334"/>
      <c r="AG3" s="334"/>
      <c r="AH3" s="334"/>
      <c r="AI3" s="334"/>
      <c r="AJ3" s="334"/>
      <c r="AK3" s="334"/>
      <c r="AL3" s="334"/>
      <c r="AM3" s="334"/>
      <c r="AN3" s="334"/>
      <c r="AO3" s="334"/>
      <c r="AP3" s="333" t="s">
        <v>106</v>
      </c>
      <c r="AQ3" s="333"/>
    </row>
    <row r="4" spans="1:43" ht="60" customHeight="1" thickTop="1">
      <c r="A4" s="15" t="s">
        <v>63</v>
      </c>
      <c r="B4" s="91" t="s">
        <v>100</v>
      </c>
      <c r="C4" s="241" t="s">
        <v>167</v>
      </c>
      <c r="D4" s="91" t="s">
        <v>101</v>
      </c>
      <c r="E4" s="72" t="s">
        <v>188</v>
      </c>
      <c r="F4" s="72" t="s">
        <v>189</v>
      </c>
      <c r="G4" s="289" t="s">
        <v>198</v>
      </c>
      <c r="H4" s="291" t="s">
        <v>199</v>
      </c>
      <c r="I4" s="16" t="s">
        <v>200</v>
      </c>
      <c r="J4" s="16" t="s">
        <v>201</v>
      </c>
      <c r="K4" s="292" t="s">
        <v>76</v>
      </c>
      <c r="L4" s="293" t="s">
        <v>78</v>
      </c>
      <c r="M4" s="293" t="s">
        <v>79</v>
      </c>
      <c r="N4" s="293" t="s">
        <v>80</v>
      </c>
      <c r="O4" s="16" t="s">
        <v>204</v>
      </c>
      <c r="P4" s="293" t="s">
        <v>77</v>
      </c>
      <c r="Q4" s="293" t="s">
        <v>205</v>
      </c>
      <c r="R4" s="293" t="s">
        <v>206</v>
      </c>
      <c r="S4" s="293" t="s">
        <v>207</v>
      </c>
      <c r="T4" s="16" t="s">
        <v>90</v>
      </c>
      <c r="U4" s="16" t="s">
        <v>83</v>
      </c>
      <c r="V4" s="16" t="s">
        <v>84</v>
      </c>
      <c r="W4" s="16" t="s">
        <v>91</v>
      </c>
      <c r="X4" s="75" t="s">
        <v>81</v>
      </c>
      <c r="Y4" s="84" t="s">
        <v>191</v>
      </c>
      <c r="Z4" s="76" t="s">
        <v>202</v>
      </c>
      <c r="AA4" s="28" t="s">
        <v>190</v>
      </c>
      <c r="AB4" s="85" t="s">
        <v>203</v>
      </c>
      <c r="AC4" s="81" t="s">
        <v>85</v>
      </c>
      <c r="AD4" s="82" t="s">
        <v>86</v>
      </c>
      <c r="AE4" s="82" t="s">
        <v>87</v>
      </c>
      <c r="AF4" s="81" t="s">
        <v>88</v>
      </c>
      <c r="AG4" s="81" t="s">
        <v>92</v>
      </c>
      <c r="AH4" s="81" t="s">
        <v>89</v>
      </c>
      <c r="AI4" s="81" t="s">
        <v>93</v>
      </c>
      <c r="AJ4" s="81" t="s">
        <v>142</v>
      </c>
      <c r="AK4" s="81" t="s">
        <v>143</v>
      </c>
      <c r="AL4" s="81" t="s">
        <v>144</v>
      </c>
      <c r="AM4" s="81" t="s">
        <v>145</v>
      </c>
      <c r="AN4" s="81" t="s">
        <v>126</v>
      </c>
      <c r="AO4" s="81" t="s">
        <v>127</v>
      </c>
      <c r="AP4" s="96" t="s">
        <v>112</v>
      </c>
      <c r="AQ4" s="83" t="s">
        <v>114</v>
      </c>
    </row>
    <row r="5" spans="1:43">
      <c r="A5" s="17" t="s">
        <v>1</v>
      </c>
      <c r="B5" s="92" t="s">
        <v>102</v>
      </c>
      <c r="C5" s="92" t="s">
        <v>102</v>
      </c>
      <c r="D5" s="92" t="s">
        <v>103</v>
      </c>
      <c r="E5" s="18">
        <v>110684</v>
      </c>
      <c r="F5" s="18">
        <v>558823</v>
      </c>
      <c r="G5" s="290">
        <v>145672.85</v>
      </c>
      <c r="H5" s="290">
        <v>626624</v>
      </c>
      <c r="I5" s="14">
        <f t="shared" ref="I5:I55" si="0">G5/H5</f>
        <v>0.23247250344704321</v>
      </c>
      <c r="J5" s="14">
        <f t="shared" ref="J5:J36" si="1">(G5-E5)/E5</f>
        <v>0.3161147952730296</v>
      </c>
      <c r="K5" s="294">
        <v>334</v>
      </c>
      <c r="L5" s="295">
        <v>51</v>
      </c>
      <c r="M5" s="295">
        <v>69</v>
      </c>
      <c r="N5" s="295">
        <v>52</v>
      </c>
      <c r="O5" s="58">
        <f t="shared" ref="O5:O36" si="2">0.25*(K5/$K$56)+0.25*(L5/$L$56)+0.25*(M5/$M$56)+0.25*(N5/$N$56)</f>
        <v>1.456616500754656E-3</v>
      </c>
      <c r="P5" s="295">
        <v>194.999999997044</v>
      </c>
      <c r="Q5" s="295">
        <v>48</v>
      </c>
      <c r="R5" s="295">
        <v>30</v>
      </c>
      <c r="S5" s="295">
        <v>7</v>
      </c>
      <c r="T5" s="58">
        <f t="shared" ref="T5:T36" si="3">0.25*(P5/$P$56)+0.25*(Q5/$Q$56)+0.25*(R5/$R$56)+0.25*(S5/$S$56)</f>
        <v>7.6890873659606746E-4</v>
      </c>
      <c r="U5" s="14">
        <f>IFERROR((T5-O5)/O5,0)</f>
        <v>-0.47212685274558897</v>
      </c>
      <c r="V5" s="14">
        <f>IF(U5&lt;0,U5*-1,0)</f>
        <v>0.47212685274558897</v>
      </c>
      <c r="W5" s="14">
        <f t="shared" ref="W5:W36" si="4">IFERROR(V5/$V$56,0)</f>
        <v>5.9883783217558835E-2</v>
      </c>
      <c r="X5" s="77">
        <v>46.9</v>
      </c>
      <c r="Y5" s="18">
        <v>2974</v>
      </c>
      <c r="Z5" s="78">
        <v>2918</v>
      </c>
      <c r="AA5" s="71">
        <v>1718741.9791512869</v>
      </c>
      <c r="AB5" s="86">
        <f>(G5/F5)*G5</f>
        <v>37973.704065728321</v>
      </c>
      <c r="AC5" s="33">
        <f t="shared" ref="AC5:AC36" si="5">AB5/$AB$56</f>
        <v>2.3846074066165529E-5</v>
      </c>
      <c r="AD5" s="29">
        <f>0.85*Y5/$Y$56</f>
        <v>4.3701708825155477E-4</v>
      </c>
      <c r="AE5" s="29">
        <f>0.15*X5/$X$56</f>
        <v>1.0965390826168547E-4</v>
      </c>
      <c r="AF5" s="33">
        <f>AD5+AE5</f>
        <v>5.4667099651324028E-4</v>
      </c>
      <c r="AG5" s="29">
        <f>0.85*T5</f>
        <v>6.5357242610665728E-4</v>
      </c>
      <c r="AH5" s="29">
        <f>0.15*W5</f>
        <v>8.9825674826338256E-3</v>
      </c>
      <c r="AI5" s="33">
        <f>AH5+AG5</f>
        <v>9.6361399087404823E-3</v>
      </c>
      <c r="AJ5" s="125">
        <f>IF('Datos Mun'!B5="AMM",Y5,0)</f>
        <v>0</v>
      </c>
      <c r="AK5" s="33">
        <f>AJ5/$AJ$56</f>
        <v>0</v>
      </c>
      <c r="AL5" s="125">
        <f>IF('Datos Mun'!B5="AMM",0,Y5)</f>
        <v>2974</v>
      </c>
      <c r="AM5" s="33">
        <f>AL5/$AL$56</f>
        <v>3.3592259548210087E-3</v>
      </c>
      <c r="AN5" s="125">
        <f>IF(D5="Zona de Crec",Y5,0)</f>
        <v>0</v>
      </c>
      <c r="AO5" s="33">
        <f>AN5/$AN$56</f>
        <v>0</v>
      </c>
      <c r="AP5" s="97">
        <f>IF('Datos Mun'!B5="AMM",'Art 14 F I'!F7,'Art 14 F I'!M7)</f>
        <v>1.205279505647343E-2</v>
      </c>
      <c r="AQ5" s="35">
        <f>IF('Datos Mun'!D5="Zona de Crec",'Art 14 F I'!T7,0)</f>
        <v>0</v>
      </c>
    </row>
    <row r="6" spans="1:43">
      <c r="A6" s="17" t="s">
        <v>2</v>
      </c>
      <c r="B6" s="92" t="s">
        <v>102</v>
      </c>
      <c r="C6" s="92" t="s">
        <v>102</v>
      </c>
      <c r="D6" s="92" t="s">
        <v>103</v>
      </c>
      <c r="E6" s="18">
        <v>953414</v>
      </c>
      <c r="F6" s="18">
        <v>2588435</v>
      </c>
      <c r="G6" s="290">
        <v>768052</v>
      </c>
      <c r="H6" s="290">
        <v>2597546</v>
      </c>
      <c r="I6" s="14">
        <f t="shared" si="0"/>
        <v>0.29568369530318234</v>
      </c>
      <c r="J6" s="14">
        <f t="shared" si="1"/>
        <v>-0.19441921347913918</v>
      </c>
      <c r="K6" s="8">
        <v>768</v>
      </c>
      <c r="L6" s="9">
        <v>120</v>
      </c>
      <c r="M6" s="9">
        <v>175</v>
      </c>
      <c r="N6" s="9">
        <v>44</v>
      </c>
      <c r="O6" s="14">
        <f t="shared" si="2"/>
        <v>2.0154670291984656E-3</v>
      </c>
      <c r="P6" s="9">
        <v>468.99999999269994</v>
      </c>
      <c r="Q6" s="9">
        <v>131</v>
      </c>
      <c r="R6" s="9">
        <v>85</v>
      </c>
      <c r="S6" s="9">
        <v>16</v>
      </c>
      <c r="T6" s="14">
        <f t="shared" si="3"/>
        <v>1.9410335279363288E-3</v>
      </c>
      <c r="U6" s="14">
        <f t="shared" ref="U6:U55" si="6">IFERROR((T6-O6)/O6,0)</f>
        <v>-3.6931143096763264E-2</v>
      </c>
      <c r="V6" s="14">
        <f t="shared" ref="V6:V55" si="7">IF(U6&lt;0,U6*-1,0)</f>
        <v>3.6931143096763264E-2</v>
      </c>
      <c r="W6" s="14">
        <f t="shared" si="4"/>
        <v>4.6842846457940176E-3</v>
      </c>
      <c r="X6" s="77">
        <v>980.9</v>
      </c>
      <c r="Y6" s="18">
        <v>3382</v>
      </c>
      <c r="Z6" s="78">
        <v>2599</v>
      </c>
      <c r="AA6" s="71">
        <v>2900632.6783973104</v>
      </c>
      <c r="AB6" s="86">
        <f t="shared" ref="AB6:AB55" si="8">(G6/F6)*G6</f>
        <v>227899.82159258393</v>
      </c>
      <c r="AC6" s="33">
        <f t="shared" si="5"/>
        <v>1.4311261329566678E-4</v>
      </c>
      <c r="AD6" s="29">
        <f t="shared" ref="AD6:AD55" si="9">0.85*Y6/$Y$56</f>
        <v>4.9697101293435045E-4</v>
      </c>
      <c r="AE6" s="29">
        <f t="shared" ref="AE6:AE55" si="10">0.15*X6/$X$56</f>
        <v>2.2933799278014345E-3</v>
      </c>
      <c r="AF6" s="33">
        <f t="shared" ref="AF6:AF55" si="11">AD6+AE6</f>
        <v>2.7903509407357849E-3</v>
      </c>
      <c r="AG6" s="29">
        <f t="shared" ref="AG6:AG55" si="12">0.85*T6</f>
        <v>1.6498784987458795E-3</v>
      </c>
      <c r="AH6" s="29">
        <f t="shared" ref="AH6:AH55" si="13">0.15*W6</f>
        <v>7.0264269686910264E-4</v>
      </c>
      <c r="AI6" s="33">
        <f t="shared" ref="AI6:AI55" si="14">AH6+AG6</f>
        <v>2.3525211956149823E-3</v>
      </c>
      <c r="AJ6" s="125">
        <f>IF('Datos Mun'!B6="AMM",Y6,0)</f>
        <v>0</v>
      </c>
      <c r="AK6" s="33">
        <f t="shared" ref="AK6:AK55" si="15">AJ6/$AJ$56</f>
        <v>0</v>
      </c>
      <c r="AL6" s="125">
        <f>IF('Datos Mun'!B6="AMM",0,Y6)</f>
        <v>3382</v>
      </c>
      <c r="AM6" s="33">
        <f t="shared" ref="AM6:AM55" si="16">AL6/$AL$56</f>
        <v>3.8200747071972601E-3</v>
      </c>
      <c r="AN6" s="125">
        <f t="shared" ref="AN6:AN55" si="17">IF(D6="Zona de Crec",Y6,0)</f>
        <v>0</v>
      </c>
      <c r="AO6" s="33">
        <f t="shared" ref="AO6:AO55" si="18">AN6/$AN$56</f>
        <v>0</v>
      </c>
      <c r="AP6" s="97">
        <f>IF('Datos Mun'!B6="AMM",'Art 14 F I'!F8,'Art 14 F I'!M8)</f>
        <v>6.3961466523900596E-3</v>
      </c>
      <c r="AQ6" s="35">
        <f>IF('Datos Mun'!D6="Zona de Crec",'Art 14 F I'!T8,0)</f>
        <v>0</v>
      </c>
    </row>
    <row r="7" spans="1:43">
      <c r="A7" s="17" t="s">
        <v>3</v>
      </c>
      <c r="B7" s="92" t="s">
        <v>102</v>
      </c>
      <c r="C7" s="92" t="s">
        <v>102</v>
      </c>
      <c r="D7" s="92" t="s">
        <v>103</v>
      </c>
      <c r="E7" s="18">
        <v>293401</v>
      </c>
      <c r="F7" s="18">
        <v>1115974</v>
      </c>
      <c r="G7" s="290">
        <v>272877</v>
      </c>
      <c r="H7" s="290">
        <v>1129316</v>
      </c>
      <c r="I7" s="14">
        <f t="shared" si="0"/>
        <v>0.24163033198856654</v>
      </c>
      <c r="J7" s="14">
        <f t="shared" si="1"/>
        <v>-6.9952045153220344E-2</v>
      </c>
      <c r="K7" s="8">
        <v>363</v>
      </c>
      <c r="L7" s="9">
        <v>60</v>
      </c>
      <c r="M7" s="9">
        <v>193</v>
      </c>
      <c r="N7" s="9">
        <v>19</v>
      </c>
      <c r="O7" s="14">
        <f t="shared" si="2"/>
        <v>1.1550411585427741E-3</v>
      </c>
      <c r="P7" s="9">
        <v>209.00000000199</v>
      </c>
      <c r="Q7" s="9">
        <v>47</v>
      </c>
      <c r="R7" s="9">
        <v>10</v>
      </c>
      <c r="S7" s="9">
        <v>2</v>
      </c>
      <c r="T7" s="14">
        <f t="shared" si="3"/>
        <v>4.7743907478538944E-4</v>
      </c>
      <c r="U7" s="14">
        <f t="shared" si="6"/>
        <v>-0.58664756553979658</v>
      </c>
      <c r="V7" s="14">
        <f t="shared" si="7"/>
        <v>0.58664756553979658</v>
      </c>
      <c r="W7" s="14">
        <f t="shared" si="4"/>
        <v>7.4409399583175981E-2</v>
      </c>
      <c r="X7" s="77">
        <v>694.5</v>
      </c>
      <c r="Y7" s="18">
        <v>1407</v>
      </c>
      <c r="Z7" s="78">
        <v>1506</v>
      </c>
      <c r="AA7" s="71">
        <v>2086699.1551099622</v>
      </c>
      <c r="AB7" s="86">
        <f t="shared" si="8"/>
        <v>66723.648695220501</v>
      </c>
      <c r="AC7" s="33">
        <f t="shared" si="5"/>
        <v>4.1899970200352918E-5</v>
      </c>
      <c r="AD7" s="29">
        <f t="shared" si="9"/>
        <v>2.0675287261934686E-4</v>
      </c>
      <c r="AE7" s="29">
        <f t="shared" si="10"/>
        <v>1.6237662961138713E-3</v>
      </c>
      <c r="AF7" s="33">
        <f t="shared" si="11"/>
        <v>1.8305191687332182E-3</v>
      </c>
      <c r="AG7" s="29">
        <f t="shared" si="12"/>
        <v>4.0582321356758103E-4</v>
      </c>
      <c r="AH7" s="29">
        <f t="shared" si="13"/>
        <v>1.1161409937476397E-2</v>
      </c>
      <c r="AI7" s="33">
        <f t="shared" si="14"/>
        <v>1.1567233151043979E-2</v>
      </c>
      <c r="AJ7" s="125">
        <f>IF('Datos Mun'!B7="AMM",Y7,0)</f>
        <v>0</v>
      </c>
      <c r="AK7" s="33">
        <f t="shared" si="15"/>
        <v>0</v>
      </c>
      <c r="AL7" s="125">
        <f>IF('Datos Mun'!B7="AMM",0,Y7)</f>
        <v>1407</v>
      </c>
      <c r="AM7" s="33">
        <f t="shared" si="16"/>
        <v>1.5892504769445728E-3</v>
      </c>
      <c r="AN7" s="125">
        <f t="shared" si="17"/>
        <v>0</v>
      </c>
      <c r="AO7" s="33">
        <f t="shared" si="18"/>
        <v>0</v>
      </c>
      <c r="AP7" s="97">
        <f>IF('Datos Mun'!B7="AMM",'Art 14 F I'!F9,'Art 14 F I'!M9)</f>
        <v>1.5882932206474437E-2</v>
      </c>
      <c r="AQ7" s="35">
        <f>IF('Datos Mun'!D7="Zona de Crec",'Art 14 F I'!T9,0)</f>
        <v>0</v>
      </c>
    </row>
    <row r="8" spans="1:43">
      <c r="A8" s="17" t="s">
        <v>4</v>
      </c>
      <c r="B8" s="92" t="s">
        <v>102</v>
      </c>
      <c r="C8" s="92" t="s">
        <v>102</v>
      </c>
      <c r="D8" s="92" t="s">
        <v>103</v>
      </c>
      <c r="E8" s="18">
        <v>18200124</v>
      </c>
      <c r="F8" s="18">
        <v>37146815</v>
      </c>
      <c r="G8" s="290">
        <v>23142962</v>
      </c>
      <c r="H8" s="290">
        <v>54890194.010000005</v>
      </c>
      <c r="I8" s="14">
        <f t="shared" si="0"/>
        <v>0.42162288578873974</v>
      </c>
      <c r="J8" s="14">
        <f t="shared" si="1"/>
        <v>0.27158265515114072</v>
      </c>
      <c r="K8" s="8">
        <v>3420</v>
      </c>
      <c r="L8" s="9">
        <v>629</v>
      </c>
      <c r="M8" s="9">
        <v>1238</v>
      </c>
      <c r="N8" s="9">
        <v>59</v>
      </c>
      <c r="O8" s="14">
        <f t="shared" si="2"/>
        <v>7.7354329857561889E-3</v>
      </c>
      <c r="P8" s="9">
        <v>2055.0000000045479</v>
      </c>
      <c r="Q8" s="9">
        <v>459</v>
      </c>
      <c r="R8" s="9">
        <v>244</v>
      </c>
      <c r="S8" s="9">
        <v>11</v>
      </c>
      <c r="T8" s="14">
        <f t="shared" si="3"/>
        <v>5.0653367968117088E-3</v>
      </c>
      <c r="U8" s="14">
        <f t="shared" si="6"/>
        <v>-0.34517734092727853</v>
      </c>
      <c r="V8" s="14">
        <f t="shared" si="7"/>
        <v>0.34517734092727853</v>
      </c>
      <c r="W8" s="14">
        <f t="shared" si="4"/>
        <v>4.3781718695930852E-2</v>
      </c>
      <c r="X8" s="77">
        <v>190.5</v>
      </c>
      <c r="Y8" s="18">
        <v>35289</v>
      </c>
      <c r="Z8" s="78">
        <v>38297</v>
      </c>
      <c r="AA8" s="71">
        <v>8518240.6165178325</v>
      </c>
      <c r="AB8" s="86">
        <f t="shared" si="8"/>
        <v>14418374.499494614</v>
      </c>
      <c r="AC8" s="33">
        <f t="shared" si="5"/>
        <v>9.0542030251656077E-3</v>
      </c>
      <c r="AD8" s="29">
        <f t="shared" si="9"/>
        <v>5.1855736473803348E-3</v>
      </c>
      <c r="AE8" s="29">
        <f t="shared" si="10"/>
        <v>4.4539593867486317E-4</v>
      </c>
      <c r="AF8" s="33">
        <f t="shared" si="11"/>
        <v>5.6309695860551979E-3</v>
      </c>
      <c r="AG8" s="29">
        <f t="shared" si="12"/>
        <v>4.3055362772899527E-3</v>
      </c>
      <c r="AH8" s="29">
        <f t="shared" si="13"/>
        <v>6.5672578043896278E-3</v>
      </c>
      <c r="AI8" s="33">
        <f t="shared" si="14"/>
        <v>1.0872794081679581E-2</v>
      </c>
      <c r="AJ8" s="125">
        <f>IF('Datos Mun'!B8="AMM",Y8,0)</f>
        <v>0</v>
      </c>
      <c r="AK8" s="33">
        <f t="shared" si="15"/>
        <v>0</v>
      </c>
      <c r="AL8" s="125">
        <f>IF('Datos Mun'!B8="AMM",0,Y8)</f>
        <v>35289</v>
      </c>
      <c r="AM8" s="33">
        <f t="shared" si="16"/>
        <v>3.9860028486778269E-2</v>
      </c>
      <c r="AN8" s="125">
        <f t="shared" si="17"/>
        <v>0</v>
      </c>
      <c r="AO8" s="33">
        <f t="shared" si="18"/>
        <v>0</v>
      </c>
      <c r="AP8" s="97">
        <f>IF('Datos Mun'!B8="AMM",'Art 14 F I'!F10,'Art 14 F I'!M10)</f>
        <v>4.0777407122091679E-2</v>
      </c>
      <c r="AQ8" s="35">
        <f>IF('Datos Mun'!D8="Zona de Crec",'Art 14 F I'!T10,0)</f>
        <v>0</v>
      </c>
    </row>
    <row r="9" spans="1:43">
      <c r="A9" s="17" t="s">
        <v>5</v>
      </c>
      <c r="B9" s="92" t="s">
        <v>102</v>
      </c>
      <c r="C9" s="92" t="s">
        <v>102</v>
      </c>
      <c r="D9" s="92" t="s">
        <v>103</v>
      </c>
      <c r="E9" s="18">
        <v>1756976</v>
      </c>
      <c r="F9" s="18">
        <v>10240869</v>
      </c>
      <c r="G9" s="290">
        <v>2531264</v>
      </c>
      <c r="H9" s="290">
        <v>10678636</v>
      </c>
      <c r="I9" s="14">
        <f t="shared" si="0"/>
        <v>0.23704001147712123</v>
      </c>
      <c r="J9" s="14">
        <f t="shared" si="1"/>
        <v>0.44069355529045362</v>
      </c>
      <c r="K9" s="8">
        <v>3207</v>
      </c>
      <c r="L9" s="9">
        <v>510</v>
      </c>
      <c r="M9" s="9">
        <v>1865</v>
      </c>
      <c r="N9" s="9">
        <v>534</v>
      </c>
      <c r="O9" s="14">
        <f t="shared" si="2"/>
        <v>1.7129340967256722E-2</v>
      </c>
      <c r="P9" s="9">
        <v>2802.0000000077798</v>
      </c>
      <c r="Q9" s="9">
        <v>476</v>
      </c>
      <c r="R9" s="9">
        <v>516</v>
      </c>
      <c r="S9" s="9">
        <v>204</v>
      </c>
      <c r="T9" s="14">
        <f t="shared" si="3"/>
        <v>1.4747255888058079E-2</v>
      </c>
      <c r="U9" s="14">
        <f t="shared" si="6"/>
        <v>-0.13906460754982192</v>
      </c>
      <c r="V9" s="14">
        <f t="shared" si="7"/>
        <v>0.13906460754982192</v>
      </c>
      <c r="W9" s="14">
        <f t="shared" si="4"/>
        <v>1.7638723074783286E-2</v>
      </c>
      <c r="X9" s="77">
        <v>4539.2</v>
      </c>
      <c r="Y9" s="18">
        <v>18030</v>
      </c>
      <c r="Z9" s="78">
        <v>19976</v>
      </c>
      <c r="AA9" s="71">
        <v>6137628.4181850413</v>
      </c>
      <c r="AB9" s="86">
        <f t="shared" si="8"/>
        <v>625659.5448780763</v>
      </c>
      <c r="AC9" s="33">
        <f t="shared" si="5"/>
        <v>3.9289092845780761E-4</v>
      </c>
      <c r="AD9" s="29">
        <f t="shared" si="9"/>
        <v>2.6494344657617798E-3</v>
      </c>
      <c r="AE9" s="29">
        <f t="shared" si="10"/>
        <v>1.0612814933506241E-2</v>
      </c>
      <c r="AF9" s="33">
        <f t="shared" si="11"/>
        <v>1.3262249399268022E-2</v>
      </c>
      <c r="AG9" s="29">
        <f t="shared" si="12"/>
        <v>1.2535167504849367E-2</v>
      </c>
      <c r="AH9" s="29">
        <f t="shared" si="13"/>
        <v>2.6458084612174929E-3</v>
      </c>
      <c r="AI9" s="33">
        <f t="shared" si="14"/>
        <v>1.518097596606686E-2</v>
      </c>
      <c r="AJ9" s="125">
        <f>IF('Datos Mun'!B9="AMM",Y9,0)</f>
        <v>0</v>
      </c>
      <c r="AK9" s="33">
        <f t="shared" si="15"/>
        <v>0</v>
      </c>
      <c r="AL9" s="125">
        <f>IF('Datos Mun'!B9="AMM",0,Y9)</f>
        <v>18030</v>
      </c>
      <c r="AM9" s="33">
        <f t="shared" si="16"/>
        <v>2.0365448542509344E-2</v>
      </c>
      <c r="AN9" s="125">
        <f t="shared" si="17"/>
        <v>0</v>
      </c>
      <c r="AO9" s="33">
        <f t="shared" si="18"/>
        <v>0</v>
      </c>
      <c r="AP9" s="97">
        <f>IF('Datos Mun'!B9="AMM",'Art 14 F I'!F11,'Art 14 F I'!M11)</f>
        <v>3.4435377411608993E-2</v>
      </c>
      <c r="AQ9" s="35">
        <f>IF('Datos Mun'!D9="Zona de Crec",'Art 14 F I'!T11,0)</f>
        <v>0</v>
      </c>
    </row>
    <row r="10" spans="1:43">
      <c r="A10" s="17" t="s">
        <v>6</v>
      </c>
      <c r="B10" s="92" t="s">
        <v>104</v>
      </c>
      <c r="C10" s="92" t="s">
        <v>104</v>
      </c>
      <c r="D10" s="92" t="s">
        <v>105</v>
      </c>
      <c r="E10" s="18">
        <v>292840828.44000006</v>
      </c>
      <c r="F10" s="18">
        <v>679461530</v>
      </c>
      <c r="G10" s="290">
        <v>299493654.98000002</v>
      </c>
      <c r="H10" s="290">
        <v>683317463.73000002</v>
      </c>
      <c r="I10" s="14">
        <f t="shared" si="0"/>
        <v>0.43829357637834249</v>
      </c>
      <c r="J10" s="14">
        <f t="shared" si="1"/>
        <v>2.2718234255245096E-2</v>
      </c>
      <c r="K10" s="8">
        <v>27572</v>
      </c>
      <c r="L10" s="9">
        <v>3826</v>
      </c>
      <c r="M10" s="9">
        <v>1071</v>
      </c>
      <c r="N10" s="9">
        <v>267</v>
      </c>
      <c r="O10" s="14">
        <f t="shared" si="2"/>
        <v>3.6220820415084468E-2</v>
      </c>
      <c r="P10" s="9">
        <v>34239.000000084088</v>
      </c>
      <c r="Q10" s="9">
        <v>3599</v>
      </c>
      <c r="R10" s="9">
        <v>155</v>
      </c>
      <c r="S10" s="9">
        <v>93</v>
      </c>
      <c r="T10" s="14">
        <f t="shared" si="3"/>
        <v>4.5460568081307974E-2</v>
      </c>
      <c r="U10" s="14">
        <f t="shared" si="6"/>
        <v>0.25509493049405185</v>
      </c>
      <c r="V10" s="14">
        <f t="shared" si="7"/>
        <v>0</v>
      </c>
      <c r="W10" s="14">
        <f t="shared" si="4"/>
        <v>0</v>
      </c>
      <c r="X10" s="77">
        <v>224</v>
      </c>
      <c r="Y10" s="18">
        <v>656464</v>
      </c>
      <c r="Z10" s="78">
        <v>665734</v>
      </c>
      <c r="AA10" s="71">
        <v>19810827.893906925</v>
      </c>
      <c r="AB10" s="86">
        <f t="shared" si="8"/>
        <v>132011078.49811494</v>
      </c>
      <c r="AC10" s="33">
        <f t="shared" si="5"/>
        <v>8.2898048343445538E-2</v>
      </c>
      <c r="AD10" s="29">
        <f t="shared" si="9"/>
        <v>9.6464689247467608E-2</v>
      </c>
      <c r="AE10" s="29">
        <f t="shared" si="10"/>
        <v>5.2372015886178146E-4</v>
      </c>
      <c r="AF10" s="33">
        <f t="shared" si="11"/>
        <v>9.6988409406329384E-2</v>
      </c>
      <c r="AG10" s="29">
        <f t="shared" si="12"/>
        <v>3.864148286911178E-2</v>
      </c>
      <c r="AH10" s="29">
        <f t="shared" si="13"/>
        <v>0</v>
      </c>
      <c r="AI10" s="33">
        <f t="shared" si="14"/>
        <v>3.864148286911178E-2</v>
      </c>
      <c r="AJ10" s="125">
        <f>IF('Datos Mun'!B10="AMM",Y10,0)</f>
        <v>656464</v>
      </c>
      <c r="AK10" s="33">
        <f t="shared" si="15"/>
        <v>0.13399633689240861</v>
      </c>
      <c r="AL10" s="125">
        <f>IF('Datos Mun'!B10="AMM",0,Y10)</f>
        <v>0</v>
      </c>
      <c r="AM10" s="33">
        <f t="shared" si="16"/>
        <v>0</v>
      </c>
      <c r="AN10" s="125">
        <f t="shared" si="17"/>
        <v>656464</v>
      </c>
      <c r="AO10" s="33">
        <f t="shared" si="18"/>
        <v>0.21943487323890931</v>
      </c>
      <c r="AP10" s="97">
        <f>IF('Datos Mun'!B10="AMM",'Art 14 F I'!F12,'Art 14 F I'!M12)</f>
        <v>9.5654578594180015E-2</v>
      </c>
      <c r="AQ10" s="35">
        <f>IF('Datos Mun'!D10="Zona de Crec",'Art 14 F I'!T12,0)</f>
        <v>0.26217672652556578</v>
      </c>
    </row>
    <row r="11" spans="1:43">
      <c r="A11" s="17" t="s">
        <v>7</v>
      </c>
      <c r="B11" s="92" t="s">
        <v>102</v>
      </c>
      <c r="C11" s="92" t="s">
        <v>102</v>
      </c>
      <c r="D11" s="92" t="s">
        <v>103</v>
      </c>
      <c r="E11" s="18">
        <v>785811.45</v>
      </c>
      <c r="F11" s="18">
        <v>1835394</v>
      </c>
      <c r="G11" s="290">
        <v>788778.4</v>
      </c>
      <c r="H11" s="290">
        <v>1836204</v>
      </c>
      <c r="I11" s="14">
        <f t="shared" si="0"/>
        <v>0.42957013490875745</v>
      </c>
      <c r="J11" s="14">
        <f t="shared" si="1"/>
        <v>3.7756512710524514E-3</v>
      </c>
      <c r="K11" s="8">
        <v>3888</v>
      </c>
      <c r="L11" s="9">
        <v>1140</v>
      </c>
      <c r="M11" s="9">
        <v>7405</v>
      </c>
      <c r="N11" s="9">
        <v>920</v>
      </c>
      <c r="O11" s="14">
        <f t="shared" si="2"/>
        <v>3.7957988260772901E-2</v>
      </c>
      <c r="P11" s="9">
        <v>3560.0000000065597</v>
      </c>
      <c r="Q11" s="9">
        <v>882</v>
      </c>
      <c r="R11" s="9">
        <v>2312</v>
      </c>
      <c r="S11" s="9">
        <v>356</v>
      </c>
      <c r="T11" s="14">
        <f t="shared" si="3"/>
        <v>3.1939083535832122E-2</v>
      </c>
      <c r="U11" s="14">
        <f t="shared" si="6"/>
        <v>-0.15856753744668087</v>
      </c>
      <c r="V11" s="14">
        <f t="shared" si="7"/>
        <v>0.15856753744668087</v>
      </c>
      <c r="W11" s="14">
        <f t="shared" si="4"/>
        <v>2.0112442201875788E-2</v>
      </c>
      <c r="X11" s="77">
        <v>2688.6</v>
      </c>
      <c r="Y11" s="18">
        <v>14992</v>
      </c>
      <c r="Z11" s="78">
        <v>17800</v>
      </c>
      <c r="AA11" s="71">
        <v>8224675.0942434939</v>
      </c>
      <c r="AB11" s="86">
        <f t="shared" si="8"/>
        <v>338985.17937105609</v>
      </c>
      <c r="AC11" s="33">
        <f t="shared" si="5"/>
        <v>2.1287008716934795E-4</v>
      </c>
      <c r="AD11" s="29">
        <f t="shared" si="9"/>
        <v>2.2030128403050801E-3</v>
      </c>
      <c r="AE11" s="29">
        <f t="shared" si="10"/>
        <v>6.2860447281954702E-3</v>
      </c>
      <c r="AF11" s="33">
        <f t="shared" si="11"/>
        <v>8.48905756850055E-3</v>
      </c>
      <c r="AG11" s="29">
        <f t="shared" si="12"/>
        <v>2.7148221005457301E-2</v>
      </c>
      <c r="AH11" s="29">
        <f t="shared" si="13"/>
        <v>3.0168663302813682E-3</v>
      </c>
      <c r="AI11" s="33">
        <f t="shared" si="14"/>
        <v>3.016508733573867E-2</v>
      </c>
      <c r="AJ11" s="125">
        <f>IF('Datos Mun'!B11="AMM",Y11,0)</f>
        <v>0</v>
      </c>
      <c r="AK11" s="33">
        <f t="shared" si="15"/>
        <v>0</v>
      </c>
      <c r="AL11" s="125">
        <f>IF('Datos Mun'!B11="AMM",0,Y11)</f>
        <v>14992</v>
      </c>
      <c r="AM11" s="33">
        <f t="shared" si="16"/>
        <v>1.6933932587315591E-2</v>
      </c>
      <c r="AN11" s="125">
        <f t="shared" si="17"/>
        <v>0</v>
      </c>
      <c r="AO11" s="33">
        <f t="shared" si="18"/>
        <v>0</v>
      </c>
      <c r="AP11" s="97">
        <f>IF('Datos Mun'!B11="AMM",'Art 14 F I'!F13,'Art 14 F I'!M13)</f>
        <v>4.604092713962258E-2</v>
      </c>
      <c r="AQ11" s="35">
        <f>IF('Datos Mun'!D11="Zona de Crec",'Art 14 F I'!T13,0)</f>
        <v>0</v>
      </c>
    </row>
    <row r="12" spans="1:43">
      <c r="A12" s="17" t="s">
        <v>8</v>
      </c>
      <c r="B12" s="92" t="s">
        <v>102</v>
      </c>
      <c r="C12" s="92" t="s">
        <v>102</v>
      </c>
      <c r="D12" s="92" t="s">
        <v>103</v>
      </c>
      <c r="E12" s="18">
        <v>927656</v>
      </c>
      <c r="F12" s="18">
        <v>2443492</v>
      </c>
      <c r="G12" s="290">
        <v>799410</v>
      </c>
      <c r="H12" s="290">
        <v>2185720</v>
      </c>
      <c r="I12" s="14">
        <f t="shared" si="0"/>
        <v>0.36574218106619327</v>
      </c>
      <c r="J12" s="14">
        <f t="shared" si="1"/>
        <v>-0.13824736755866399</v>
      </c>
      <c r="K12" s="8">
        <v>739</v>
      </c>
      <c r="L12" s="9">
        <v>104</v>
      </c>
      <c r="M12" s="9">
        <v>89</v>
      </c>
      <c r="N12" s="9">
        <v>41</v>
      </c>
      <c r="O12" s="14">
        <f t="shared" si="2"/>
        <v>1.7146220461403579E-3</v>
      </c>
      <c r="P12" s="9">
        <v>518.99999999744</v>
      </c>
      <c r="Q12" s="9">
        <v>104</v>
      </c>
      <c r="R12" s="9">
        <v>66</v>
      </c>
      <c r="S12" s="9">
        <v>26</v>
      </c>
      <c r="T12" s="14">
        <f t="shared" si="3"/>
        <v>2.1773658264017354E-3</v>
      </c>
      <c r="U12" s="14">
        <f t="shared" si="6"/>
        <v>0.26988092291419047</v>
      </c>
      <c r="V12" s="14">
        <f t="shared" si="7"/>
        <v>0</v>
      </c>
      <c r="W12" s="14">
        <f t="shared" si="4"/>
        <v>0</v>
      </c>
      <c r="X12" s="77">
        <v>466.7</v>
      </c>
      <c r="Y12" s="18">
        <v>3661</v>
      </c>
      <c r="Z12" s="78">
        <v>4384</v>
      </c>
      <c r="AA12" s="71">
        <v>2974219.0794317215</v>
      </c>
      <c r="AB12" s="86">
        <f t="shared" si="8"/>
        <v>261534.04557903195</v>
      </c>
      <c r="AC12" s="33">
        <f t="shared" si="5"/>
        <v>1.6423365523960225E-4</v>
      </c>
      <c r="AD12" s="29">
        <f t="shared" si="9"/>
        <v>5.3796891731302686E-4</v>
      </c>
      <c r="AE12" s="29">
        <f t="shared" si="10"/>
        <v>1.0911615988428275E-3</v>
      </c>
      <c r="AF12" s="33">
        <f t="shared" si="11"/>
        <v>1.6291305161558545E-3</v>
      </c>
      <c r="AG12" s="29">
        <f t="shared" si="12"/>
        <v>1.850760952441475E-3</v>
      </c>
      <c r="AH12" s="29">
        <f t="shared" si="13"/>
        <v>0</v>
      </c>
      <c r="AI12" s="33">
        <f t="shared" si="14"/>
        <v>1.850760952441475E-3</v>
      </c>
      <c r="AJ12" s="125">
        <f>IF('Datos Mun'!B12="AMM",Y12,0)</f>
        <v>0</v>
      </c>
      <c r="AK12" s="33">
        <f t="shared" si="15"/>
        <v>0</v>
      </c>
      <c r="AL12" s="125">
        <f>IF('Datos Mun'!B12="AMM",0,Y12)</f>
        <v>3661</v>
      </c>
      <c r="AM12" s="33">
        <f t="shared" si="16"/>
        <v>4.1352139275721966E-3</v>
      </c>
      <c r="AN12" s="125">
        <f t="shared" si="17"/>
        <v>0</v>
      </c>
      <c r="AO12" s="33">
        <f t="shared" si="18"/>
        <v>0</v>
      </c>
      <c r="AP12" s="97">
        <f>IF('Datos Mun'!B12="AMM",'Art 14 F I'!F14,'Art 14 F I'!M14)</f>
        <v>4.4867165989983812E-3</v>
      </c>
      <c r="AQ12" s="35">
        <f>IF('Datos Mun'!D12="Zona de Crec",'Art 14 F I'!T14,0)</f>
        <v>0</v>
      </c>
    </row>
    <row r="13" spans="1:43">
      <c r="A13" s="17" t="s">
        <v>9</v>
      </c>
      <c r="B13" s="92" t="s">
        <v>104</v>
      </c>
      <c r="C13" s="92" t="s">
        <v>102</v>
      </c>
      <c r="D13" s="92" t="s">
        <v>105</v>
      </c>
      <c r="E13" s="18">
        <v>28519495.5</v>
      </c>
      <c r="F13" s="18">
        <v>96076042</v>
      </c>
      <c r="G13" s="290">
        <v>27527682</v>
      </c>
      <c r="H13" s="290">
        <v>110141115</v>
      </c>
      <c r="I13" s="14">
        <f t="shared" si="0"/>
        <v>0.24993102711916435</v>
      </c>
      <c r="J13" s="14">
        <f t="shared" si="1"/>
        <v>-3.4776684601591216E-2</v>
      </c>
      <c r="K13" s="8">
        <v>6662</v>
      </c>
      <c r="L13" s="9">
        <v>1587</v>
      </c>
      <c r="M13" s="9">
        <v>3489</v>
      </c>
      <c r="N13" s="9">
        <v>461</v>
      </c>
      <c r="O13" s="14">
        <f t="shared" si="2"/>
        <v>2.4794035734260943E-2</v>
      </c>
      <c r="P13" s="9">
        <v>5056.9999999440479</v>
      </c>
      <c r="Q13" s="9">
        <v>1578</v>
      </c>
      <c r="R13" s="9">
        <v>861</v>
      </c>
      <c r="S13" s="9">
        <v>132</v>
      </c>
      <c r="T13" s="14">
        <f t="shared" si="3"/>
        <v>1.9688401476927853E-2</v>
      </c>
      <c r="U13" s="14">
        <f t="shared" si="6"/>
        <v>-0.20592187218146227</v>
      </c>
      <c r="V13" s="14">
        <f t="shared" si="7"/>
        <v>0.20592187218146227</v>
      </c>
      <c r="W13" s="14">
        <f t="shared" si="4"/>
        <v>2.6118787105111882E-2</v>
      </c>
      <c r="X13" s="77">
        <v>1140.9000000000001</v>
      </c>
      <c r="Y13" s="18">
        <v>122337</v>
      </c>
      <c r="Z13" s="78">
        <v>105145</v>
      </c>
      <c r="AA13" s="71">
        <v>6080772.1412531286</v>
      </c>
      <c r="AB13" s="86">
        <f t="shared" si="8"/>
        <v>7887224.1249605604</v>
      </c>
      <c r="AC13" s="33">
        <f t="shared" si="5"/>
        <v>4.9528834567919003E-3</v>
      </c>
      <c r="AD13" s="29">
        <f t="shared" si="9"/>
        <v>1.7976919813527389E-2</v>
      </c>
      <c r="AE13" s="29">
        <f t="shared" si="10"/>
        <v>2.6674657555598503E-3</v>
      </c>
      <c r="AF13" s="33">
        <f t="shared" si="11"/>
        <v>2.064438556908724E-2</v>
      </c>
      <c r="AG13" s="29">
        <f t="shared" si="12"/>
        <v>1.6735141255388674E-2</v>
      </c>
      <c r="AH13" s="29">
        <f t="shared" si="13"/>
        <v>3.9178180657667818E-3</v>
      </c>
      <c r="AI13" s="33">
        <f t="shared" si="14"/>
        <v>2.0652959321155455E-2</v>
      </c>
      <c r="AJ13" s="125">
        <f>IF('Datos Mun'!B13="AMM",Y13,0)</f>
        <v>122337</v>
      </c>
      <c r="AK13" s="33">
        <f t="shared" si="15"/>
        <v>2.4971224418104562E-2</v>
      </c>
      <c r="AL13" s="125">
        <f>IF('Datos Mun'!B13="AMM",0,Y13)</f>
        <v>0</v>
      </c>
      <c r="AM13" s="33">
        <f t="shared" si="16"/>
        <v>0</v>
      </c>
      <c r="AN13" s="125">
        <f t="shared" si="17"/>
        <v>122337</v>
      </c>
      <c r="AO13" s="33">
        <f t="shared" si="18"/>
        <v>4.0893337772411664E-2</v>
      </c>
      <c r="AP13" s="97">
        <f>IF('Datos Mun'!B13="AMM",'Art 14 F I'!F15,'Art 14 F I'!M15)</f>
        <v>1.6248804886289228E-2</v>
      </c>
      <c r="AQ13" s="35">
        <f>IF('Datos Mun'!D13="Zona de Crec",'Art 14 F I'!T15,0)</f>
        <v>4.4535855341681752E-2</v>
      </c>
    </row>
    <row r="14" spans="1:43">
      <c r="A14" s="17" t="s">
        <v>10</v>
      </c>
      <c r="B14" s="92" t="s">
        <v>102</v>
      </c>
      <c r="C14" s="92" t="s">
        <v>102</v>
      </c>
      <c r="D14" s="92" t="s">
        <v>105</v>
      </c>
      <c r="E14" s="18">
        <v>6103961.7199999997</v>
      </c>
      <c r="F14" s="18">
        <v>25918809</v>
      </c>
      <c r="G14" s="290">
        <v>4946842.92</v>
      </c>
      <c r="H14" s="290">
        <v>32779189</v>
      </c>
      <c r="I14" s="14">
        <f t="shared" si="0"/>
        <v>0.15091413396469328</v>
      </c>
      <c r="J14" s="14">
        <f t="shared" si="1"/>
        <v>-0.1895684889714544</v>
      </c>
      <c r="K14" s="8">
        <v>981</v>
      </c>
      <c r="L14" s="9">
        <v>253</v>
      </c>
      <c r="M14" s="9">
        <v>273</v>
      </c>
      <c r="N14" s="9">
        <v>153</v>
      </c>
      <c r="O14" s="14">
        <f t="shared" si="2"/>
        <v>4.7782824446849165E-3</v>
      </c>
      <c r="P14" s="9">
        <v>716.99999998365001</v>
      </c>
      <c r="Q14" s="9">
        <v>718</v>
      </c>
      <c r="R14" s="9">
        <v>221</v>
      </c>
      <c r="S14" s="9">
        <v>186</v>
      </c>
      <c r="T14" s="14">
        <f t="shared" si="3"/>
        <v>1.1864603001703446E-2</v>
      </c>
      <c r="U14" s="14">
        <f t="shared" si="6"/>
        <v>1.4830267233158099</v>
      </c>
      <c r="V14" s="14">
        <f t="shared" si="7"/>
        <v>0</v>
      </c>
      <c r="W14" s="14">
        <f t="shared" si="4"/>
        <v>0</v>
      </c>
      <c r="X14" s="77">
        <v>104.3</v>
      </c>
      <c r="Y14" s="18">
        <v>104478</v>
      </c>
      <c r="Z14" s="78">
        <v>47326</v>
      </c>
      <c r="AA14" s="71">
        <v>3660359.1184544452</v>
      </c>
      <c r="AB14" s="86">
        <f t="shared" si="8"/>
        <v>944150.43820702273</v>
      </c>
      <c r="AC14" s="33">
        <f t="shared" si="5"/>
        <v>5.9289136609158675E-4</v>
      </c>
      <c r="AD14" s="29">
        <f t="shared" si="9"/>
        <v>1.5352613095610606E-2</v>
      </c>
      <c r="AE14" s="29">
        <f t="shared" si="10"/>
        <v>2.4385719897001694E-4</v>
      </c>
      <c r="AF14" s="33">
        <f t="shared" si="11"/>
        <v>1.5596470294580623E-2</v>
      </c>
      <c r="AG14" s="29">
        <f t="shared" si="12"/>
        <v>1.0084912551447929E-2</v>
      </c>
      <c r="AH14" s="29">
        <f t="shared" si="13"/>
        <v>0</v>
      </c>
      <c r="AI14" s="33">
        <f t="shared" si="14"/>
        <v>1.0084912551447929E-2</v>
      </c>
      <c r="AJ14" s="125">
        <f>IF('Datos Mun'!B14="AMM",Y14,0)</f>
        <v>0</v>
      </c>
      <c r="AK14" s="33">
        <f t="shared" si="15"/>
        <v>0</v>
      </c>
      <c r="AL14" s="125">
        <f>IF('Datos Mun'!B14="AMM",0,Y14)</f>
        <v>104478</v>
      </c>
      <c r="AM14" s="33">
        <f t="shared" si="16"/>
        <v>0.11801116654599508</v>
      </c>
      <c r="AN14" s="125">
        <f t="shared" si="17"/>
        <v>104478</v>
      </c>
      <c r="AO14" s="33">
        <f t="shared" si="18"/>
        <v>3.4923646515657776E-2</v>
      </c>
      <c r="AP14" s="97">
        <f>IF('Datos Mun'!B14="AMM",'Art 14 F I'!F16,'Art 14 F I'!M16)</f>
        <v>3.1652836500092256E-2</v>
      </c>
      <c r="AQ14" s="35">
        <f>IF('Datos Mun'!D14="Zona de Crec",'Art 14 F I'!T16,0)</f>
        <v>2.3368739857385547E-2</v>
      </c>
    </row>
    <row r="15" spans="1:43">
      <c r="A15" s="17" t="s">
        <v>11</v>
      </c>
      <c r="B15" s="92" t="s">
        <v>102</v>
      </c>
      <c r="C15" s="92" t="s">
        <v>102</v>
      </c>
      <c r="D15" s="92" t="s">
        <v>103</v>
      </c>
      <c r="E15" s="18">
        <v>826855</v>
      </c>
      <c r="F15" s="18">
        <v>2065528</v>
      </c>
      <c r="G15" s="290">
        <v>1221813</v>
      </c>
      <c r="H15" s="290">
        <v>2853628</v>
      </c>
      <c r="I15" s="14">
        <f t="shared" si="0"/>
        <v>0.42816127399927389</v>
      </c>
      <c r="J15" s="14">
        <f t="shared" si="1"/>
        <v>0.47766295178719365</v>
      </c>
      <c r="K15" s="8">
        <v>1343</v>
      </c>
      <c r="L15" s="9">
        <v>319</v>
      </c>
      <c r="M15" s="9">
        <v>345</v>
      </c>
      <c r="N15" s="9">
        <v>110</v>
      </c>
      <c r="O15" s="14">
        <f t="shared" si="2"/>
        <v>4.5782718652147671E-3</v>
      </c>
      <c r="P15" s="9">
        <v>655.00000000354908</v>
      </c>
      <c r="Q15" s="9">
        <v>225</v>
      </c>
      <c r="R15" s="9">
        <v>136</v>
      </c>
      <c r="S15" s="9">
        <v>78</v>
      </c>
      <c r="T15" s="14">
        <f t="shared" si="3"/>
        <v>5.1731397653656686E-3</v>
      </c>
      <c r="U15" s="14">
        <f t="shared" si="6"/>
        <v>0.129932847516253</v>
      </c>
      <c r="V15" s="14">
        <f t="shared" si="7"/>
        <v>0</v>
      </c>
      <c r="W15" s="14">
        <f t="shared" si="4"/>
        <v>0</v>
      </c>
      <c r="X15" s="77">
        <v>1007.4</v>
      </c>
      <c r="Y15" s="18">
        <v>7340</v>
      </c>
      <c r="Z15" s="78">
        <v>8324</v>
      </c>
      <c r="AA15" s="71">
        <v>3693123.3689814457</v>
      </c>
      <c r="AB15" s="86">
        <f t="shared" si="8"/>
        <v>722733.85157160775</v>
      </c>
      <c r="AC15" s="33">
        <f t="shared" si="5"/>
        <v>4.5384998326396719E-4</v>
      </c>
      <c r="AD15" s="29">
        <f t="shared" si="9"/>
        <v>1.0785828607150006E-3</v>
      </c>
      <c r="AE15" s="29">
        <f t="shared" si="10"/>
        <v>2.3553378930239221E-3</v>
      </c>
      <c r="AF15" s="33">
        <f t="shared" si="11"/>
        <v>3.4339207537389229E-3</v>
      </c>
      <c r="AG15" s="29">
        <f t="shared" si="12"/>
        <v>4.3971688005608181E-3</v>
      </c>
      <c r="AH15" s="29">
        <f t="shared" si="13"/>
        <v>0</v>
      </c>
      <c r="AI15" s="33">
        <f t="shared" si="14"/>
        <v>4.3971688005608181E-3</v>
      </c>
      <c r="AJ15" s="125">
        <f>IF('Datos Mun'!B15="AMM",Y15,0)</f>
        <v>0</v>
      </c>
      <c r="AK15" s="33">
        <f t="shared" si="15"/>
        <v>0</v>
      </c>
      <c r="AL15" s="125">
        <f>IF('Datos Mun'!B15="AMM",0,Y15)</f>
        <v>7340</v>
      </c>
      <c r="AM15" s="33">
        <f t="shared" si="16"/>
        <v>8.2907594177492275E-3</v>
      </c>
      <c r="AN15" s="125">
        <f t="shared" si="17"/>
        <v>0</v>
      </c>
      <c r="AO15" s="33">
        <f t="shared" si="18"/>
        <v>0</v>
      </c>
      <c r="AP15" s="97">
        <f>IF('Datos Mun'!B15="AMM",'Art 14 F I'!F17,'Art 14 F I'!M17)</f>
        <v>1.0295372435408534E-2</v>
      </c>
      <c r="AQ15" s="35">
        <f>IF('Datos Mun'!D15="Zona de Crec",'Art 14 F I'!T17,0)</f>
        <v>0</v>
      </c>
    </row>
    <row r="16" spans="1:43">
      <c r="A16" s="17" t="s">
        <v>12</v>
      </c>
      <c r="B16" s="92" t="s">
        <v>102</v>
      </c>
      <c r="C16" s="92" t="s">
        <v>102</v>
      </c>
      <c r="D16" s="92" t="s">
        <v>103</v>
      </c>
      <c r="E16" s="18">
        <v>1648610</v>
      </c>
      <c r="F16" s="18">
        <v>4522487</v>
      </c>
      <c r="G16" s="290">
        <v>1408205</v>
      </c>
      <c r="H16" s="290">
        <v>4729640</v>
      </c>
      <c r="I16" s="14">
        <f t="shared" si="0"/>
        <v>0.29774041998968209</v>
      </c>
      <c r="J16" s="14">
        <f t="shared" si="1"/>
        <v>-0.1458228446994741</v>
      </c>
      <c r="K16" s="8">
        <v>2046</v>
      </c>
      <c r="L16" s="9">
        <v>378</v>
      </c>
      <c r="M16" s="9">
        <v>1925</v>
      </c>
      <c r="N16" s="9">
        <v>123</v>
      </c>
      <c r="O16" s="14">
        <f t="shared" si="2"/>
        <v>8.6358928470926001E-3</v>
      </c>
      <c r="P16" s="9">
        <v>787.99999998764804</v>
      </c>
      <c r="Q16" s="9">
        <v>297</v>
      </c>
      <c r="R16" s="9">
        <v>938</v>
      </c>
      <c r="S16" s="9">
        <v>242</v>
      </c>
      <c r="T16" s="14">
        <f t="shared" si="3"/>
        <v>1.6081358180129186E-2</v>
      </c>
      <c r="U16" s="14">
        <f t="shared" si="6"/>
        <v>0.86215351033949095</v>
      </c>
      <c r="V16" s="14">
        <f t="shared" si="7"/>
        <v>0</v>
      </c>
      <c r="W16" s="14">
        <f t="shared" si="4"/>
        <v>0</v>
      </c>
      <c r="X16" s="77">
        <v>4265.7</v>
      </c>
      <c r="Y16" s="18">
        <v>9930</v>
      </c>
      <c r="Z16" s="78">
        <v>11962</v>
      </c>
      <c r="AA16" s="71">
        <v>5563132.2810582956</v>
      </c>
      <c r="AB16" s="86">
        <f t="shared" si="8"/>
        <v>438484.69260939833</v>
      </c>
      <c r="AC16" s="33">
        <f t="shared" si="5"/>
        <v>2.7535208150211281E-4</v>
      </c>
      <c r="AD16" s="29">
        <f t="shared" si="9"/>
        <v>1.4591727257356889E-3</v>
      </c>
      <c r="AE16" s="29">
        <f t="shared" si="10"/>
        <v>9.9733619716816987E-3</v>
      </c>
      <c r="AF16" s="33">
        <f t="shared" si="11"/>
        <v>1.1432534697417387E-2</v>
      </c>
      <c r="AG16" s="29">
        <f t="shared" si="12"/>
        <v>1.3669154453109808E-2</v>
      </c>
      <c r="AH16" s="29">
        <f t="shared" si="13"/>
        <v>0</v>
      </c>
      <c r="AI16" s="33">
        <f t="shared" si="14"/>
        <v>1.3669154453109808E-2</v>
      </c>
      <c r="AJ16" s="125">
        <f>IF('Datos Mun'!B16="AMM",Y16,0)</f>
        <v>0</v>
      </c>
      <c r="AK16" s="33">
        <f t="shared" si="15"/>
        <v>0</v>
      </c>
      <c r="AL16" s="125">
        <f>IF('Datos Mun'!B16="AMM",0,Y16)</f>
        <v>9930</v>
      </c>
      <c r="AM16" s="33">
        <f t="shared" si="16"/>
        <v>1.1216245370333765E-2</v>
      </c>
      <c r="AN16" s="125">
        <f t="shared" si="17"/>
        <v>0</v>
      </c>
      <c r="AO16" s="33">
        <f t="shared" si="18"/>
        <v>0</v>
      </c>
      <c r="AP16" s="97">
        <f>IF('Datos Mun'!B16="AMM",'Art 14 F I'!F18,'Art 14 F I'!M18)</f>
        <v>3.0221684867559988E-2</v>
      </c>
      <c r="AQ16" s="35">
        <f>IF('Datos Mun'!D16="Zona de Crec",'Art 14 F I'!T18,0)</f>
        <v>0</v>
      </c>
    </row>
    <row r="17" spans="1:43">
      <c r="A17" s="17" t="s">
        <v>13</v>
      </c>
      <c r="B17" s="92" t="s">
        <v>102</v>
      </c>
      <c r="C17" s="92" t="s">
        <v>102</v>
      </c>
      <c r="D17" s="92" t="s">
        <v>105</v>
      </c>
      <c r="E17" s="18">
        <v>14225141</v>
      </c>
      <c r="F17" s="18">
        <v>45557174</v>
      </c>
      <c r="G17" s="290">
        <v>12990205</v>
      </c>
      <c r="H17" s="290">
        <v>49791403.200000003</v>
      </c>
      <c r="I17" s="14">
        <f t="shared" si="0"/>
        <v>0.26089252692521026</v>
      </c>
      <c r="J17" s="14">
        <f t="shared" si="1"/>
        <v>-8.6813621038975997E-2</v>
      </c>
      <c r="K17" s="8">
        <v>1162</v>
      </c>
      <c r="L17" s="9">
        <v>358</v>
      </c>
      <c r="M17" s="9">
        <v>131</v>
      </c>
      <c r="N17" s="9">
        <v>31</v>
      </c>
      <c r="O17" s="14">
        <f t="shared" si="2"/>
        <v>2.732122318270129E-3</v>
      </c>
      <c r="P17" s="9">
        <v>2032.9999999577099</v>
      </c>
      <c r="Q17" s="9">
        <v>691</v>
      </c>
      <c r="R17" s="9">
        <v>56</v>
      </c>
      <c r="S17" s="9">
        <v>67</v>
      </c>
      <c r="T17" s="14">
        <f t="shared" si="3"/>
        <v>7.241133376457703E-3</v>
      </c>
      <c r="U17" s="14">
        <f t="shared" si="6"/>
        <v>1.6503693952628373</v>
      </c>
      <c r="V17" s="14">
        <f t="shared" si="7"/>
        <v>0</v>
      </c>
      <c r="W17" s="14">
        <f t="shared" si="4"/>
        <v>0</v>
      </c>
      <c r="X17" s="77">
        <v>138.69999999999999</v>
      </c>
      <c r="Y17" s="18">
        <v>68747</v>
      </c>
      <c r="Z17" s="78">
        <v>50563</v>
      </c>
      <c r="AA17" s="71">
        <v>3096584.7941487241</v>
      </c>
      <c r="AB17" s="86">
        <f t="shared" si="8"/>
        <v>3704036.2938672402</v>
      </c>
      <c r="AC17" s="33">
        <f t="shared" si="5"/>
        <v>2.3259970545522657E-3</v>
      </c>
      <c r="AD17" s="29">
        <f t="shared" si="9"/>
        <v>1.010208936315724E-2</v>
      </c>
      <c r="AE17" s="29">
        <f t="shared" si="10"/>
        <v>3.2428565193807617E-4</v>
      </c>
      <c r="AF17" s="33">
        <f t="shared" si="11"/>
        <v>1.0426375015095317E-2</v>
      </c>
      <c r="AG17" s="29">
        <f t="shared" si="12"/>
        <v>6.1549633699890475E-3</v>
      </c>
      <c r="AH17" s="29">
        <f t="shared" si="13"/>
        <v>0</v>
      </c>
      <c r="AI17" s="33">
        <f t="shared" si="14"/>
        <v>6.1549633699890475E-3</v>
      </c>
      <c r="AJ17" s="125">
        <f>IF('Datos Mun'!B17="AMM",Y17,0)</f>
        <v>0</v>
      </c>
      <c r="AK17" s="33">
        <f t="shared" si="15"/>
        <v>0</v>
      </c>
      <c r="AL17" s="125">
        <f>IF('Datos Mun'!B17="AMM",0,Y17)</f>
        <v>68747</v>
      </c>
      <c r="AM17" s="33">
        <f t="shared" si="16"/>
        <v>7.7651885244142529E-2</v>
      </c>
      <c r="AN17" s="125">
        <f t="shared" si="17"/>
        <v>68747</v>
      </c>
      <c r="AO17" s="33">
        <f t="shared" si="18"/>
        <v>2.2979918518845358E-2</v>
      </c>
      <c r="AP17" s="97">
        <f>IF('Datos Mun'!B17="AMM",'Art 14 F I'!F19,'Art 14 F I'!M19)</f>
        <v>2.5015485903570774E-2</v>
      </c>
      <c r="AQ17" s="35">
        <f>IF('Datos Mun'!D17="Zona de Crec",'Art 14 F I'!T19,0)</f>
        <v>1.8468499102282251E-2</v>
      </c>
    </row>
    <row r="18" spans="1:43">
      <c r="A18" s="17" t="s">
        <v>14</v>
      </c>
      <c r="B18" s="92" t="s">
        <v>102</v>
      </c>
      <c r="C18" s="92" t="s">
        <v>102</v>
      </c>
      <c r="D18" s="92" t="s">
        <v>103</v>
      </c>
      <c r="E18" s="18">
        <v>766514</v>
      </c>
      <c r="F18" s="18">
        <v>6492908</v>
      </c>
      <c r="G18" s="290">
        <v>691812</v>
      </c>
      <c r="H18" s="290">
        <v>6711875</v>
      </c>
      <c r="I18" s="14">
        <f t="shared" si="0"/>
        <v>0.10307283732191079</v>
      </c>
      <c r="J18" s="14">
        <f t="shared" si="1"/>
        <v>-9.7456797918889934E-2</v>
      </c>
      <c r="K18" s="8">
        <v>7369</v>
      </c>
      <c r="L18" s="9">
        <v>3170</v>
      </c>
      <c r="M18" s="9">
        <v>23798</v>
      </c>
      <c r="N18" s="9">
        <v>1385</v>
      </c>
      <c r="O18" s="14">
        <f t="shared" si="2"/>
        <v>8.8679733485390655E-2</v>
      </c>
      <c r="P18" s="9">
        <v>7387.0000000238397</v>
      </c>
      <c r="Q18" s="9">
        <v>2297</v>
      </c>
      <c r="R18" s="9">
        <v>15800</v>
      </c>
      <c r="S18" s="9">
        <v>477</v>
      </c>
      <c r="T18" s="14">
        <f t="shared" si="3"/>
        <v>0.11264289211612472</v>
      </c>
      <c r="U18" s="14">
        <f t="shared" si="6"/>
        <v>0.27022136500536303</v>
      </c>
      <c r="V18" s="14">
        <f t="shared" si="7"/>
        <v>0</v>
      </c>
      <c r="W18" s="14">
        <f t="shared" si="4"/>
        <v>0</v>
      </c>
      <c r="X18" s="77">
        <v>5053.7</v>
      </c>
      <c r="Y18" s="18">
        <v>36088</v>
      </c>
      <c r="Z18" s="78">
        <v>37859</v>
      </c>
      <c r="AA18" s="71">
        <v>18511579.143657368</v>
      </c>
      <c r="AB18" s="86">
        <f t="shared" si="8"/>
        <v>73711.785742844353</v>
      </c>
      <c r="AC18" s="33">
        <f t="shared" si="5"/>
        <v>4.6288260405957263E-5</v>
      </c>
      <c r="AD18" s="29">
        <f t="shared" si="9"/>
        <v>5.3029834165508102E-3</v>
      </c>
      <c r="AE18" s="29">
        <f t="shared" si="10"/>
        <v>1.1815734673391896E-2</v>
      </c>
      <c r="AF18" s="33">
        <f t="shared" si="11"/>
        <v>1.7118718089942704E-2</v>
      </c>
      <c r="AG18" s="29">
        <f t="shared" si="12"/>
        <v>9.5746458298706011E-2</v>
      </c>
      <c r="AH18" s="29">
        <f t="shared" si="13"/>
        <v>0</v>
      </c>
      <c r="AI18" s="33">
        <f t="shared" si="14"/>
        <v>9.5746458298706011E-2</v>
      </c>
      <c r="AJ18" s="125">
        <f>IF('Datos Mun'!B18="AMM",Y18,0)</f>
        <v>0</v>
      </c>
      <c r="AK18" s="33">
        <f t="shared" si="15"/>
        <v>0</v>
      </c>
      <c r="AL18" s="125">
        <f>IF('Datos Mun'!B18="AMM",0,Y18)</f>
        <v>36088</v>
      </c>
      <c r="AM18" s="33">
        <f t="shared" si="16"/>
        <v>4.0762523960181762E-2</v>
      </c>
      <c r="AN18" s="125">
        <f t="shared" si="17"/>
        <v>0</v>
      </c>
      <c r="AO18" s="33">
        <f t="shared" si="18"/>
        <v>0</v>
      </c>
      <c r="AP18" s="97">
        <f>IF('Datos Mun'!B18="AMM",'Art 14 F I'!F20,'Art 14 F I'!M20)</f>
        <v>0.13307817208528025</v>
      </c>
      <c r="AQ18" s="35">
        <f>IF('Datos Mun'!D18="Zona de Crec",'Art 14 F I'!T20,0)</f>
        <v>0</v>
      </c>
    </row>
    <row r="19" spans="1:43">
      <c r="A19" s="17" t="s">
        <v>15</v>
      </c>
      <c r="B19" s="92" t="s">
        <v>102</v>
      </c>
      <c r="C19" s="92" t="s">
        <v>102</v>
      </c>
      <c r="D19" s="92" t="s">
        <v>103</v>
      </c>
      <c r="E19" s="18">
        <v>328496</v>
      </c>
      <c r="F19" s="18">
        <v>1493874</v>
      </c>
      <c r="G19" s="290">
        <v>329170</v>
      </c>
      <c r="H19" s="290">
        <v>1548836</v>
      </c>
      <c r="I19" s="14">
        <f t="shared" si="0"/>
        <v>0.21252734311444207</v>
      </c>
      <c r="J19" s="14">
        <f t="shared" si="1"/>
        <v>2.051775364083581E-3</v>
      </c>
      <c r="K19" s="8">
        <v>381</v>
      </c>
      <c r="L19" s="9">
        <v>83</v>
      </c>
      <c r="M19" s="9">
        <v>189</v>
      </c>
      <c r="N19" s="9">
        <v>25</v>
      </c>
      <c r="O19" s="14">
        <f t="shared" si="2"/>
        <v>1.3452333052524088E-3</v>
      </c>
      <c r="P19" s="9">
        <v>157.99999999728001</v>
      </c>
      <c r="Q19" s="9">
        <v>46</v>
      </c>
      <c r="R19" s="9">
        <v>88</v>
      </c>
      <c r="S19" s="9">
        <v>15</v>
      </c>
      <c r="T19" s="14">
        <f t="shared" si="3"/>
        <v>1.3395499066188247E-3</v>
      </c>
      <c r="U19" s="14">
        <f t="shared" si="6"/>
        <v>-4.2248423462260976E-3</v>
      </c>
      <c r="V19" s="14">
        <f t="shared" si="7"/>
        <v>4.2248423462260976E-3</v>
      </c>
      <c r="W19" s="14">
        <f t="shared" si="4"/>
        <v>5.3587196262716704E-4</v>
      </c>
      <c r="X19" s="77">
        <v>720.7</v>
      </c>
      <c r="Y19" s="18">
        <v>1360</v>
      </c>
      <c r="Z19" s="78">
        <v>1845</v>
      </c>
      <c r="AA19" s="71">
        <v>2627805.792300446</v>
      </c>
      <c r="AB19" s="86">
        <f t="shared" si="8"/>
        <v>72531.477822092085</v>
      </c>
      <c r="AC19" s="33">
        <f t="shared" si="5"/>
        <v>4.5547070922560457E-5</v>
      </c>
      <c r="AD19" s="29">
        <f t="shared" si="9"/>
        <v>1.9984641560931893E-4</v>
      </c>
      <c r="AE19" s="29">
        <f t="shared" si="10"/>
        <v>1.685022850409312E-3</v>
      </c>
      <c r="AF19" s="33">
        <f t="shared" si="11"/>
        <v>1.8848692660186309E-3</v>
      </c>
      <c r="AG19" s="29">
        <f t="shared" si="12"/>
        <v>1.138617420626001E-3</v>
      </c>
      <c r="AH19" s="29">
        <f t="shared" si="13"/>
        <v>8.0380794394075057E-5</v>
      </c>
      <c r="AI19" s="33">
        <f t="shared" si="14"/>
        <v>1.2189982150200762E-3</v>
      </c>
      <c r="AJ19" s="125">
        <f>IF('Datos Mun'!B19="AMM",Y19,0)</f>
        <v>0</v>
      </c>
      <c r="AK19" s="33">
        <f t="shared" si="15"/>
        <v>0</v>
      </c>
      <c r="AL19" s="125">
        <f>IF('Datos Mun'!B19="AMM",0,Y19)</f>
        <v>1360</v>
      </c>
      <c r="AM19" s="33">
        <f t="shared" si="16"/>
        <v>1.536162507920838E-3</v>
      </c>
      <c r="AN19" s="125">
        <f t="shared" si="17"/>
        <v>0</v>
      </c>
      <c r="AO19" s="33">
        <f t="shared" si="18"/>
        <v>0</v>
      </c>
      <c r="AP19" s="97">
        <f>IF('Datos Mun'!B19="AMM",'Art 14 F I'!F21,'Art 14 F I'!M21)</f>
        <v>3.7640590548644838E-3</v>
      </c>
      <c r="AQ19" s="35">
        <f>IF('Datos Mun'!D19="Zona de Crec",'Art 14 F I'!T21,0)</f>
        <v>0</v>
      </c>
    </row>
    <row r="20" spans="1:43">
      <c r="A20" s="17" t="s">
        <v>16</v>
      </c>
      <c r="B20" s="92" t="s">
        <v>102</v>
      </c>
      <c r="C20" s="92" t="s">
        <v>102</v>
      </c>
      <c r="D20" s="92" t="s">
        <v>103</v>
      </c>
      <c r="E20" s="18">
        <v>704192</v>
      </c>
      <c r="F20" s="18">
        <v>2353237</v>
      </c>
      <c r="G20" s="290">
        <v>632096</v>
      </c>
      <c r="H20" s="290">
        <v>2192867</v>
      </c>
      <c r="I20" s="14">
        <f t="shared" si="0"/>
        <v>0.28825095183611227</v>
      </c>
      <c r="J20" s="14">
        <f t="shared" si="1"/>
        <v>-0.10238116877215304</v>
      </c>
      <c r="K20" s="8">
        <v>519</v>
      </c>
      <c r="L20" s="9">
        <v>136</v>
      </c>
      <c r="M20" s="9">
        <v>317</v>
      </c>
      <c r="N20" s="9">
        <v>84</v>
      </c>
      <c r="O20" s="14">
        <f t="shared" si="2"/>
        <v>2.9413605324649069E-3</v>
      </c>
      <c r="P20" s="9">
        <v>277.00000000287605</v>
      </c>
      <c r="Q20" s="9">
        <v>120</v>
      </c>
      <c r="R20" s="9">
        <v>75</v>
      </c>
      <c r="S20" s="9">
        <v>23</v>
      </c>
      <c r="T20" s="14">
        <f t="shared" si="3"/>
        <v>1.9752871125510545E-3</v>
      </c>
      <c r="U20" s="14">
        <f t="shared" si="6"/>
        <v>-0.32844440837868571</v>
      </c>
      <c r="V20" s="14">
        <f t="shared" si="7"/>
        <v>0.32844440837868571</v>
      </c>
      <c r="W20" s="14">
        <f t="shared" si="4"/>
        <v>4.1659341416378143E-2</v>
      </c>
      <c r="X20" s="77">
        <v>614.70000000000005</v>
      </c>
      <c r="Y20" s="18">
        <v>3256</v>
      </c>
      <c r="Z20" s="78">
        <v>3294</v>
      </c>
      <c r="AA20" s="71">
        <v>896589.74590828759</v>
      </c>
      <c r="AB20" s="86">
        <f t="shared" si="8"/>
        <v>169785.42884375862</v>
      </c>
      <c r="AC20" s="33">
        <f t="shared" si="5"/>
        <v>1.0661893568654935E-4</v>
      </c>
      <c r="AD20" s="29">
        <f t="shared" si="9"/>
        <v>4.7845583031172234E-4</v>
      </c>
      <c r="AE20" s="29">
        <f t="shared" si="10"/>
        <v>1.4371909895193617E-3</v>
      </c>
      <c r="AF20" s="33">
        <f t="shared" si="11"/>
        <v>1.9156468198310841E-3</v>
      </c>
      <c r="AG20" s="29">
        <f t="shared" si="12"/>
        <v>1.6789940456683962E-3</v>
      </c>
      <c r="AH20" s="29">
        <f t="shared" si="13"/>
        <v>6.2489012124567209E-3</v>
      </c>
      <c r="AI20" s="33">
        <f t="shared" si="14"/>
        <v>7.9278952581251175E-3</v>
      </c>
      <c r="AJ20" s="125">
        <f>IF('Datos Mun'!B20="AMM",Y20,0)</f>
        <v>0</v>
      </c>
      <c r="AK20" s="33">
        <f t="shared" si="15"/>
        <v>0</v>
      </c>
      <c r="AL20" s="125">
        <f>IF('Datos Mun'!B20="AMM",0,Y20)</f>
        <v>3256</v>
      </c>
      <c r="AM20" s="33">
        <f t="shared" si="16"/>
        <v>3.6777537689634179E-3</v>
      </c>
      <c r="AN20" s="125">
        <f t="shared" si="17"/>
        <v>0</v>
      </c>
      <c r="AO20" s="33">
        <f t="shared" si="18"/>
        <v>0</v>
      </c>
      <c r="AP20" s="97">
        <f>IF('Datos Mun'!B20="AMM",'Art 14 F I'!F22,'Art 14 F I'!M22)</f>
        <v>1.1848127802200195E-2</v>
      </c>
      <c r="AQ20" s="35">
        <f>IF('Datos Mun'!D20="Zona de Crec",'Art 14 F I'!T22,0)</f>
        <v>0</v>
      </c>
    </row>
    <row r="21" spans="1:43">
      <c r="A21" s="17" t="s">
        <v>17</v>
      </c>
      <c r="B21" s="92" t="s">
        <v>102</v>
      </c>
      <c r="C21" s="92" t="s">
        <v>102</v>
      </c>
      <c r="D21" s="92" t="s">
        <v>103</v>
      </c>
      <c r="E21" s="18">
        <v>1253081</v>
      </c>
      <c r="F21" s="18">
        <v>9897478</v>
      </c>
      <c r="G21" s="290">
        <v>1193413</v>
      </c>
      <c r="H21" s="290">
        <v>10046865</v>
      </c>
      <c r="I21" s="14">
        <f t="shared" si="0"/>
        <v>0.11878461589759591</v>
      </c>
      <c r="J21" s="14">
        <f t="shared" si="1"/>
        <v>-4.7617033535741107E-2</v>
      </c>
      <c r="K21" s="8">
        <v>6824</v>
      </c>
      <c r="L21" s="9">
        <v>2466</v>
      </c>
      <c r="M21" s="9">
        <v>13627</v>
      </c>
      <c r="N21" s="9">
        <v>715</v>
      </c>
      <c r="O21" s="14">
        <f t="shared" si="2"/>
        <v>5.3101630915886641E-2</v>
      </c>
      <c r="P21" s="9">
        <v>7532.9999999958</v>
      </c>
      <c r="Q21" s="9">
        <v>1907</v>
      </c>
      <c r="R21" s="9">
        <v>3888</v>
      </c>
      <c r="S21" s="9">
        <v>352</v>
      </c>
      <c r="T21" s="14">
        <f t="shared" si="3"/>
        <v>4.6780151487491192E-2</v>
      </c>
      <c r="U21" s="14">
        <f t="shared" si="6"/>
        <v>-0.11904492045467902</v>
      </c>
      <c r="V21" s="14">
        <f t="shared" si="7"/>
        <v>0.11904492045467902</v>
      </c>
      <c r="W21" s="14">
        <f t="shared" si="4"/>
        <v>1.5099459325820221E-2</v>
      </c>
      <c r="X21" s="77">
        <v>7068.3</v>
      </c>
      <c r="Y21" s="18">
        <v>40903</v>
      </c>
      <c r="Z21" s="78">
        <v>44989</v>
      </c>
      <c r="AA21" s="71">
        <v>13770707.582336776</v>
      </c>
      <c r="AB21" s="86">
        <f t="shared" si="8"/>
        <v>143898.73749343015</v>
      </c>
      <c r="AC21" s="33">
        <f t="shared" si="5"/>
        <v>9.0363056138970116E-5</v>
      </c>
      <c r="AD21" s="29">
        <f t="shared" si="9"/>
        <v>6.0105278953440965E-3</v>
      </c>
      <c r="AE21" s="29">
        <f t="shared" si="10"/>
        <v>1.6525942852155039E-2</v>
      </c>
      <c r="AF21" s="33">
        <f t="shared" si="11"/>
        <v>2.2536470747499135E-2</v>
      </c>
      <c r="AG21" s="29">
        <f t="shared" si="12"/>
        <v>3.9763128764367515E-2</v>
      </c>
      <c r="AH21" s="29">
        <f t="shared" si="13"/>
        <v>2.2649188988730332E-3</v>
      </c>
      <c r="AI21" s="33">
        <f t="shared" si="14"/>
        <v>4.2028047663240552E-2</v>
      </c>
      <c r="AJ21" s="125">
        <f>IF('Datos Mun'!B21="AMM",Y21,0)</f>
        <v>0</v>
      </c>
      <c r="AK21" s="33">
        <f t="shared" si="15"/>
        <v>0</v>
      </c>
      <c r="AL21" s="125">
        <f>IF('Datos Mun'!B21="AMM",0,Y21)</f>
        <v>40903</v>
      </c>
      <c r="AM21" s="33">
        <f t="shared" si="16"/>
        <v>4.6201216956975023E-2</v>
      </c>
      <c r="AN21" s="125">
        <f t="shared" si="17"/>
        <v>0</v>
      </c>
      <c r="AO21" s="33">
        <f t="shared" si="18"/>
        <v>0</v>
      </c>
      <c r="AP21" s="97">
        <f>IF('Datos Mun'!B21="AMM",'Art 14 F I'!F23,'Art 14 F I'!M23)</f>
        <v>7.6277887709432737E-2</v>
      </c>
      <c r="AQ21" s="35">
        <f>IF('Datos Mun'!D21="Zona de Crec",'Art 14 F I'!T23,0)</f>
        <v>0</v>
      </c>
    </row>
    <row r="22" spans="1:43">
      <c r="A22" s="17" t="s">
        <v>18</v>
      </c>
      <c r="B22" s="92" t="s">
        <v>104</v>
      </c>
      <c r="C22" s="92" t="s">
        <v>104</v>
      </c>
      <c r="D22" s="92" t="s">
        <v>105</v>
      </c>
      <c r="E22" s="18">
        <v>89654721.319999993</v>
      </c>
      <c r="F22" s="18">
        <v>377012210</v>
      </c>
      <c r="G22" s="290">
        <v>90011508</v>
      </c>
      <c r="H22" s="290">
        <v>425436337.39000034</v>
      </c>
      <c r="I22" s="14">
        <f t="shared" si="0"/>
        <v>0.21157456495655624</v>
      </c>
      <c r="J22" s="14">
        <f t="shared" si="1"/>
        <v>3.9795637613611757E-3</v>
      </c>
      <c r="K22" s="8">
        <v>3671</v>
      </c>
      <c r="L22" s="9">
        <v>1809</v>
      </c>
      <c r="M22" s="9">
        <v>2369</v>
      </c>
      <c r="N22" s="9">
        <v>783</v>
      </c>
      <c r="O22" s="14">
        <f t="shared" si="2"/>
        <v>2.7393224121097081E-2</v>
      </c>
      <c r="P22" s="9">
        <v>8688.9999999445354</v>
      </c>
      <c r="Q22" s="9">
        <v>2884</v>
      </c>
      <c r="R22" s="9">
        <v>626</v>
      </c>
      <c r="S22" s="9">
        <v>329</v>
      </c>
      <c r="T22" s="14">
        <f t="shared" si="3"/>
        <v>3.4303099783455471E-2</v>
      </c>
      <c r="U22" s="14">
        <f t="shared" si="6"/>
        <v>0.25224762268990092</v>
      </c>
      <c r="V22" s="14">
        <f t="shared" si="7"/>
        <v>0</v>
      </c>
      <c r="W22" s="14">
        <f t="shared" si="4"/>
        <v>0</v>
      </c>
      <c r="X22" s="77">
        <v>1032</v>
      </c>
      <c r="Y22" s="18">
        <v>397205</v>
      </c>
      <c r="Z22" s="78">
        <v>300745</v>
      </c>
      <c r="AA22" s="71">
        <v>6970001.4448454408</v>
      </c>
      <c r="AB22" s="86">
        <f t="shared" si="8"/>
        <v>21490210.018487372</v>
      </c>
      <c r="AC22" s="33">
        <f t="shared" si="5"/>
        <v>1.3495052758384991E-2</v>
      </c>
      <c r="AD22" s="29">
        <f t="shared" si="9"/>
        <v>5.8367643758896706E-2</v>
      </c>
      <c r="AE22" s="29">
        <f t="shared" si="10"/>
        <v>2.4128535890417784E-3</v>
      </c>
      <c r="AF22" s="33">
        <f t="shared" si="11"/>
        <v>6.0780497347938486E-2</v>
      </c>
      <c r="AG22" s="29">
        <f t="shared" si="12"/>
        <v>2.9157634815937149E-2</v>
      </c>
      <c r="AH22" s="29">
        <f t="shared" si="13"/>
        <v>0</v>
      </c>
      <c r="AI22" s="33">
        <f t="shared" si="14"/>
        <v>2.9157634815937149E-2</v>
      </c>
      <c r="AJ22" s="125">
        <f>IF('Datos Mun'!B22="AMM",Y22,0)</f>
        <v>397205</v>
      </c>
      <c r="AK22" s="33">
        <f t="shared" si="15"/>
        <v>8.1076822179661279E-2</v>
      </c>
      <c r="AL22" s="125">
        <f>IF('Datos Mun'!B22="AMM",0,Y22)</f>
        <v>0</v>
      </c>
      <c r="AM22" s="33">
        <f t="shared" si="16"/>
        <v>0</v>
      </c>
      <c r="AN22" s="125">
        <f t="shared" si="17"/>
        <v>397205</v>
      </c>
      <c r="AO22" s="33">
        <f t="shared" si="18"/>
        <v>0.13277289969421169</v>
      </c>
      <c r="AP22" s="97">
        <f>IF('Datos Mun'!B22="AMM",'Art 14 F I'!F24,'Art 14 F I'!M24)</f>
        <v>3.71060283806516E-2</v>
      </c>
      <c r="AQ22" s="35">
        <f>IF('Datos Mun'!D22="Zona de Crec",'Art 14 F I'!T24,0)</f>
        <v>0.10170278514818408</v>
      </c>
    </row>
    <row r="23" spans="1:43">
      <c r="A23" s="17" t="s">
        <v>19</v>
      </c>
      <c r="B23" s="92" t="s">
        <v>102</v>
      </c>
      <c r="C23" s="92" t="s">
        <v>102</v>
      </c>
      <c r="D23" s="92" t="s">
        <v>103</v>
      </c>
      <c r="E23" s="18">
        <v>1101010</v>
      </c>
      <c r="F23" s="18">
        <v>4942797</v>
      </c>
      <c r="G23" s="290">
        <v>877317</v>
      </c>
      <c r="H23" s="290">
        <v>5541859</v>
      </c>
      <c r="I23" s="14">
        <f t="shared" si="0"/>
        <v>0.15830734776904284</v>
      </c>
      <c r="J23" s="14">
        <f t="shared" si="1"/>
        <v>-0.20317072506153441</v>
      </c>
      <c r="K23" s="8">
        <v>814</v>
      </c>
      <c r="L23" s="9">
        <v>216</v>
      </c>
      <c r="M23" s="9">
        <v>671</v>
      </c>
      <c r="N23" s="9">
        <v>199</v>
      </c>
      <c r="O23" s="14">
        <f t="shared" si="2"/>
        <v>6.2003374083399419E-3</v>
      </c>
      <c r="P23" s="9">
        <v>320.00000000721394</v>
      </c>
      <c r="Q23" s="9">
        <v>121</v>
      </c>
      <c r="R23" s="9">
        <v>244</v>
      </c>
      <c r="S23" s="9">
        <v>76</v>
      </c>
      <c r="T23" s="14">
        <f t="shared" si="3"/>
        <v>4.9631495236081066E-3</v>
      </c>
      <c r="U23" s="14">
        <f t="shared" si="6"/>
        <v>-0.19953557415564518</v>
      </c>
      <c r="V23" s="14">
        <f t="shared" si="7"/>
        <v>0.19953557415564518</v>
      </c>
      <c r="W23" s="14">
        <f t="shared" si="4"/>
        <v>2.5308759706083945E-2</v>
      </c>
      <c r="X23" s="77">
        <v>1888.6</v>
      </c>
      <c r="Y23" s="18">
        <v>5506</v>
      </c>
      <c r="Z23" s="78">
        <v>6127</v>
      </c>
      <c r="AA23" s="71">
        <v>2314156.6642328231</v>
      </c>
      <c r="AB23" s="86">
        <f t="shared" si="8"/>
        <v>155718.53719442655</v>
      </c>
      <c r="AC23" s="33">
        <f t="shared" si="5"/>
        <v>9.778545082107276E-5</v>
      </c>
      <c r="AD23" s="29">
        <f t="shared" si="9"/>
        <v>8.090840914300808E-4</v>
      </c>
      <c r="AE23" s="29">
        <f t="shared" si="10"/>
        <v>4.4156155894033936E-3</v>
      </c>
      <c r="AF23" s="33">
        <f t="shared" si="11"/>
        <v>5.224699680833474E-3</v>
      </c>
      <c r="AG23" s="29">
        <f t="shared" si="12"/>
        <v>4.2186770950668907E-3</v>
      </c>
      <c r="AH23" s="29">
        <f t="shared" si="13"/>
        <v>3.7963139559125916E-3</v>
      </c>
      <c r="AI23" s="33">
        <f t="shared" si="14"/>
        <v>8.0149910509794819E-3</v>
      </c>
      <c r="AJ23" s="125">
        <f>IF('Datos Mun'!B23="AMM",Y23,0)</f>
        <v>0</v>
      </c>
      <c r="AK23" s="33">
        <f t="shared" si="15"/>
        <v>0</v>
      </c>
      <c r="AL23" s="125">
        <f>IF('Datos Mun'!B23="AMM",0,Y23)</f>
        <v>5506</v>
      </c>
      <c r="AM23" s="33">
        <f t="shared" si="16"/>
        <v>6.219199094567745E-3</v>
      </c>
      <c r="AN23" s="125">
        <f t="shared" si="17"/>
        <v>0</v>
      </c>
      <c r="AO23" s="33">
        <f t="shared" si="18"/>
        <v>0</v>
      </c>
      <c r="AP23" s="97">
        <f>IF('Datos Mun'!B23="AMM",'Art 14 F I'!F25,'Art 14 F I'!M25)</f>
        <v>1.5828396135861469E-2</v>
      </c>
      <c r="AQ23" s="35">
        <f>IF('Datos Mun'!D23="Zona de Crec",'Art 14 F I'!T25,0)</f>
        <v>0</v>
      </c>
    </row>
    <row r="24" spans="1:43">
      <c r="A24" s="17" t="s">
        <v>20</v>
      </c>
      <c r="B24" s="92" t="s">
        <v>104</v>
      </c>
      <c r="C24" s="92" t="s">
        <v>104</v>
      </c>
      <c r="D24" s="92" t="s">
        <v>105</v>
      </c>
      <c r="E24" s="18">
        <v>149244141.31999999</v>
      </c>
      <c r="F24" s="18">
        <v>437682929</v>
      </c>
      <c r="G24" s="290">
        <v>130662277.23999999</v>
      </c>
      <c r="H24" s="290">
        <v>449264751.14000052</v>
      </c>
      <c r="I24" s="14">
        <f t="shared" si="0"/>
        <v>0.29083580874850967</v>
      </c>
      <c r="J24" s="14">
        <f t="shared" si="1"/>
        <v>-0.12450648927087812</v>
      </c>
      <c r="K24" s="8">
        <v>25525</v>
      </c>
      <c r="L24" s="9">
        <v>4791</v>
      </c>
      <c r="M24" s="9">
        <v>5994</v>
      </c>
      <c r="N24" s="9">
        <v>875</v>
      </c>
      <c r="O24" s="14">
        <f t="shared" si="2"/>
        <v>5.9388194498130251E-2</v>
      </c>
      <c r="P24" s="9">
        <v>20136.00000070727</v>
      </c>
      <c r="Q24" s="9">
        <v>4953</v>
      </c>
      <c r="R24" s="9">
        <v>1151</v>
      </c>
      <c r="S24" s="9">
        <v>297</v>
      </c>
      <c r="T24" s="14">
        <f t="shared" si="3"/>
        <v>5.2740416255770556E-2</v>
      </c>
      <c r="U24" s="14">
        <f t="shared" si="6"/>
        <v>-0.11193770577701247</v>
      </c>
      <c r="V24" s="14">
        <f t="shared" si="7"/>
        <v>0.11193770577701247</v>
      </c>
      <c r="W24" s="14">
        <f t="shared" si="4"/>
        <v>1.4197992060056841E-2</v>
      </c>
      <c r="X24" s="77">
        <v>149.4</v>
      </c>
      <c r="Y24" s="18">
        <v>481213</v>
      </c>
      <c r="Z24" s="78">
        <v>466325</v>
      </c>
      <c r="AA24" s="71">
        <v>13667505.466545394</v>
      </c>
      <c r="AB24" s="86">
        <f t="shared" si="8"/>
        <v>39006846.194685884</v>
      </c>
      <c r="AC24" s="33">
        <f t="shared" si="5"/>
        <v>2.4494848904810584E-2</v>
      </c>
      <c r="AD24" s="29">
        <f t="shared" si="9"/>
        <v>7.0712274407799397E-2</v>
      </c>
      <c r="AE24" s="29">
        <f t="shared" si="10"/>
        <v>3.4930264166942025E-4</v>
      </c>
      <c r="AF24" s="33">
        <f t="shared" si="11"/>
        <v>7.1061577049468819E-2</v>
      </c>
      <c r="AG24" s="29">
        <f t="shared" si="12"/>
        <v>4.4829353817404972E-2</v>
      </c>
      <c r="AH24" s="29">
        <f t="shared" si="13"/>
        <v>2.1296988090085262E-3</v>
      </c>
      <c r="AI24" s="33">
        <f t="shared" si="14"/>
        <v>4.6959052626413499E-2</v>
      </c>
      <c r="AJ24" s="125">
        <f>IF('Datos Mun'!B24="AMM",Y24,0)</f>
        <v>481213</v>
      </c>
      <c r="AK24" s="33">
        <f t="shared" si="15"/>
        <v>9.8224395039189699E-2</v>
      </c>
      <c r="AL24" s="125">
        <f>IF('Datos Mun'!B24="AMM",0,Y24)</f>
        <v>0</v>
      </c>
      <c r="AM24" s="33">
        <f t="shared" si="16"/>
        <v>0</v>
      </c>
      <c r="AN24" s="125">
        <f t="shared" si="17"/>
        <v>481213</v>
      </c>
      <c r="AO24" s="33">
        <f t="shared" si="18"/>
        <v>0.16085408134477333</v>
      </c>
      <c r="AP24" s="97">
        <f>IF('Datos Mun'!B24="AMM",'Art 14 F I'!F26,'Art 14 F I'!M26)</f>
        <v>5.2999087940284378E-2</v>
      </c>
      <c r="AQ24" s="35">
        <f>IF('Datos Mun'!D24="Zona de Crec",'Art 14 F I'!T26,0)</f>
        <v>0.14526358893885488</v>
      </c>
    </row>
    <row r="25" spans="1:43">
      <c r="A25" s="17" t="s">
        <v>21</v>
      </c>
      <c r="B25" s="92" t="s">
        <v>102</v>
      </c>
      <c r="C25" s="92" t="s">
        <v>102</v>
      </c>
      <c r="D25" s="92" t="s">
        <v>103</v>
      </c>
      <c r="E25" s="18">
        <v>4417747</v>
      </c>
      <c r="F25" s="18">
        <v>11203821</v>
      </c>
      <c r="G25" s="290">
        <v>3648762.03</v>
      </c>
      <c r="H25" s="290">
        <v>12500507</v>
      </c>
      <c r="I25" s="14">
        <f t="shared" si="0"/>
        <v>0.29188912337715578</v>
      </c>
      <c r="J25" s="14">
        <f t="shared" si="1"/>
        <v>-0.17406722702771349</v>
      </c>
      <c r="K25" s="8">
        <v>3166</v>
      </c>
      <c r="L25" s="9">
        <v>572</v>
      </c>
      <c r="M25" s="9">
        <v>3480</v>
      </c>
      <c r="N25" s="9">
        <v>459</v>
      </c>
      <c r="O25" s="14">
        <f t="shared" si="2"/>
        <v>1.9230399025526604E-2</v>
      </c>
      <c r="P25" s="9">
        <v>1684.0000000044001</v>
      </c>
      <c r="Q25" s="9">
        <v>407</v>
      </c>
      <c r="R25" s="9">
        <v>1314</v>
      </c>
      <c r="S25" s="9">
        <v>100</v>
      </c>
      <c r="T25" s="14">
        <f t="shared" si="3"/>
        <v>1.345054251066352E-2</v>
      </c>
      <c r="U25" s="14">
        <f t="shared" si="6"/>
        <v>-0.30055832472279181</v>
      </c>
      <c r="V25" s="14">
        <f t="shared" si="7"/>
        <v>0.30055832472279181</v>
      </c>
      <c r="W25" s="14">
        <f t="shared" si="4"/>
        <v>3.8122317036754221E-2</v>
      </c>
      <c r="X25" s="77">
        <v>2478.8000000000002</v>
      </c>
      <c r="Y25" s="18">
        <v>14109</v>
      </c>
      <c r="Z25" s="78">
        <v>16283</v>
      </c>
      <c r="AA25" s="71">
        <v>5035804.9607381914</v>
      </c>
      <c r="AB25" s="86">
        <f t="shared" si="8"/>
        <v>1188296.7740710708</v>
      </c>
      <c r="AC25" s="33">
        <f t="shared" si="5"/>
        <v>7.4620618620815709E-4</v>
      </c>
      <c r="AD25" s="29">
        <f t="shared" si="9"/>
        <v>2.0732596160528533E-3</v>
      </c>
      <c r="AE25" s="29">
        <f t="shared" si="10"/>
        <v>5.7955246865472486E-3</v>
      </c>
      <c r="AF25" s="33">
        <f t="shared" si="11"/>
        <v>7.8687843026001014E-3</v>
      </c>
      <c r="AG25" s="29">
        <f t="shared" si="12"/>
        <v>1.1432961134063991E-2</v>
      </c>
      <c r="AH25" s="29">
        <f t="shared" si="13"/>
        <v>5.7183475555131332E-3</v>
      </c>
      <c r="AI25" s="33">
        <f t="shared" si="14"/>
        <v>1.7151308689577125E-2</v>
      </c>
      <c r="AJ25" s="125">
        <f>IF('Datos Mun'!B25="AMM",Y25,0)</f>
        <v>0</v>
      </c>
      <c r="AK25" s="33">
        <f t="shared" si="15"/>
        <v>0</v>
      </c>
      <c r="AL25" s="125">
        <f>IF('Datos Mun'!B25="AMM",0,Y25)</f>
        <v>14109</v>
      </c>
      <c r="AM25" s="33">
        <f t="shared" si="16"/>
        <v>1.5936556488422869E-2</v>
      </c>
      <c r="AN25" s="125">
        <f t="shared" si="17"/>
        <v>0</v>
      </c>
      <c r="AO25" s="33">
        <f t="shared" si="18"/>
        <v>0</v>
      </c>
      <c r="AP25" s="97">
        <f>IF('Datos Mun'!B25="AMM",'Art 14 F I'!F27,'Art 14 F I'!M27)</f>
        <v>3.1235003002842064E-2</v>
      </c>
      <c r="AQ25" s="35">
        <f>IF('Datos Mun'!D25="Zona de Crec",'Art 14 F I'!T27,0)</f>
        <v>0</v>
      </c>
    </row>
    <row r="26" spans="1:43">
      <c r="A26" s="17" t="s">
        <v>22</v>
      </c>
      <c r="B26" s="92" t="s">
        <v>102</v>
      </c>
      <c r="C26" s="92" t="s">
        <v>102</v>
      </c>
      <c r="D26" s="92" t="s">
        <v>103</v>
      </c>
      <c r="E26" s="18">
        <v>320606.25</v>
      </c>
      <c r="F26" s="18">
        <v>822645</v>
      </c>
      <c r="G26" s="290">
        <v>218938</v>
      </c>
      <c r="H26" s="290">
        <v>796636</v>
      </c>
      <c r="I26" s="14">
        <f t="shared" si="0"/>
        <v>0.27482815238076108</v>
      </c>
      <c r="J26" s="14">
        <f t="shared" si="1"/>
        <v>-0.31711250170575278</v>
      </c>
      <c r="K26" s="8">
        <v>248</v>
      </c>
      <c r="L26" s="9">
        <v>45</v>
      </c>
      <c r="M26" s="9">
        <v>165</v>
      </c>
      <c r="N26" s="9">
        <v>30</v>
      </c>
      <c r="O26" s="14">
        <f t="shared" si="2"/>
        <v>1.1800840492623579E-3</v>
      </c>
      <c r="P26" s="9">
        <v>138</v>
      </c>
      <c r="Q26" s="9">
        <v>42</v>
      </c>
      <c r="R26" s="9">
        <v>26</v>
      </c>
      <c r="S26" s="9">
        <v>12</v>
      </c>
      <c r="T26" s="14">
        <f t="shared" si="3"/>
        <v>8.7935671088598514E-4</v>
      </c>
      <c r="U26" s="14">
        <f t="shared" si="6"/>
        <v>-0.25483552511734248</v>
      </c>
      <c r="V26" s="14">
        <f t="shared" si="7"/>
        <v>0.25483552511734248</v>
      </c>
      <c r="W26" s="14">
        <f t="shared" si="4"/>
        <v>3.2322913330420144E-2</v>
      </c>
      <c r="X26" s="77">
        <v>387.9</v>
      </c>
      <c r="Y26" s="18">
        <v>1808</v>
      </c>
      <c r="Z26" s="78">
        <v>1194</v>
      </c>
      <c r="AA26" s="71">
        <v>2579267.2849072521</v>
      </c>
      <c r="AB26" s="86">
        <f t="shared" si="8"/>
        <v>58267.962297224192</v>
      </c>
      <c r="AC26" s="33">
        <f t="shared" si="5"/>
        <v>3.6590113574887031E-5</v>
      </c>
      <c r="AD26" s="29">
        <f t="shared" si="9"/>
        <v>2.6567817604532988E-4</v>
      </c>
      <c r="AE26" s="29">
        <f t="shared" si="10"/>
        <v>9.0692432867180801E-4</v>
      </c>
      <c r="AF26" s="33">
        <f t="shared" si="11"/>
        <v>1.1726025047171379E-3</v>
      </c>
      <c r="AG26" s="29">
        <f t="shared" si="12"/>
        <v>7.4745320425308734E-4</v>
      </c>
      <c r="AH26" s="29">
        <f t="shared" si="13"/>
        <v>4.8484369995630211E-3</v>
      </c>
      <c r="AI26" s="33">
        <f t="shared" si="14"/>
        <v>5.5958902038161082E-3</v>
      </c>
      <c r="AJ26" s="125">
        <f>IF('Datos Mun'!B26="AMM",Y26,0)</f>
        <v>0</v>
      </c>
      <c r="AK26" s="33">
        <f t="shared" si="15"/>
        <v>0</v>
      </c>
      <c r="AL26" s="125">
        <f>IF('Datos Mun'!B26="AMM",0,Y26)</f>
        <v>1808</v>
      </c>
      <c r="AM26" s="33">
        <f t="shared" si="16"/>
        <v>2.0421925105300553E-3</v>
      </c>
      <c r="AN26" s="125">
        <f t="shared" si="17"/>
        <v>0</v>
      </c>
      <c r="AO26" s="33">
        <f t="shared" si="18"/>
        <v>0</v>
      </c>
      <c r="AP26" s="97">
        <f>IF('Datos Mun'!B26="AMM",'Art 14 F I'!F28,'Art 14 F I'!M28)</f>
        <v>8.060334991045786E-3</v>
      </c>
      <c r="AQ26" s="35">
        <f>IF('Datos Mun'!D26="Zona de Crec",'Art 14 F I'!T28,0)</f>
        <v>0</v>
      </c>
    </row>
    <row r="27" spans="1:43">
      <c r="A27" s="17" t="s">
        <v>23</v>
      </c>
      <c r="B27" s="92" t="s">
        <v>102</v>
      </c>
      <c r="C27" s="92" t="s">
        <v>102</v>
      </c>
      <c r="D27" s="92" t="s">
        <v>103</v>
      </c>
      <c r="E27" s="18">
        <v>194672</v>
      </c>
      <c r="F27" s="18">
        <v>1482915</v>
      </c>
      <c r="G27" s="290">
        <v>140414</v>
      </c>
      <c r="H27" s="290">
        <v>1746864</v>
      </c>
      <c r="I27" s="14">
        <f t="shared" si="0"/>
        <v>8.0380613487941815E-2</v>
      </c>
      <c r="J27" s="14">
        <f t="shared" si="1"/>
        <v>-0.27871496671324075</v>
      </c>
      <c r="K27" s="8">
        <v>1391</v>
      </c>
      <c r="L27" s="9">
        <v>288</v>
      </c>
      <c r="M27" s="9">
        <v>3319</v>
      </c>
      <c r="N27" s="9">
        <v>607</v>
      </c>
      <c r="O27" s="14">
        <f t="shared" si="2"/>
        <v>1.9591711602070995E-2</v>
      </c>
      <c r="P27" s="9">
        <v>1108.99999999377</v>
      </c>
      <c r="Q27" s="9">
        <v>248</v>
      </c>
      <c r="R27" s="9">
        <v>1071</v>
      </c>
      <c r="S27" s="9">
        <v>111</v>
      </c>
      <c r="T27" s="14">
        <f t="shared" si="3"/>
        <v>1.1600674236277331E-2</v>
      </c>
      <c r="U27" s="14">
        <f t="shared" si="6"/>
        <v>-0.40787847065638461</v>
      </c>
      <c r="V27" s="14">
        <f t="shared" si="7"/>
        <v>0.40787847065638461</v>
      </c>
      <c r="W27" s="14">
        <f t="shared" si="4"/>
        <v>5.1734625501291334E-2</v>
      </c>
      <c r="X27" s="77">
        <v>1306.7</v>
      </c>
      <c r="Y27" s="18">
        <v>6282</v>
      </c>
      <c r="Z27" s="78">
        <v>6604</v>
      </c>
      <c r="AA27" s="71">
        <v>4083989.3872715947</v>
      </c>
      <c r="AB27" s="86">
        <f t="shared" si="8"/>
        <v>13295.496637366268</v>
      </c>
      <c r="AC27" s="33">
        <f t="shared" si="5"/>
        <v>8.3490774829950728E-6</v>
      </c>
      <c r="AD27" s="29">
        <f t="shared" si="9"/>
        <v>9.2311410504245699E-4</v>
      </c>
      <c r="AE27" s="29">
        <f t="shared" si="10"/>
        <v>3.0551121945745076E-3</v>
      </c>
      <c r="AF27" s="33">
        <f t="shared" si="11"/>
        <v>3.9782262996169646E-3</v>
      </c>
      <c r="AG27" s="29">
        <f t="shared" si="12"/>
        <v>9.8605731008357313E-3</v>
      </c>
      <c r="AH27" s="29">
        <f t="shared" si="13"/>
        <v>7.7601938251937001E-3</v>
      </c>
      <c r="AI27" s="33">
        <f t="shared" si="14"/>
        <v>1.762076692602943E-2</v>
      </c>
      <c r="AJ27" s="125">
        <f>IF('Datos Mun'!B27="AMM",Y27,0)</f>
        <v>0</v>
      </c>
      <c r="AK27" s="33">
        <f t="shared" si="15"/>
        <v>0</v>
      </c>
      <c r="AL27" s="125">
        <f>IF('Datos Mun'!B27="AMM",0,Y27)</f>
        <v>6282</v>
      </c>
      <c r="AM27" s="33">
        <f t="shared" si="16"/>
        <v>7.0957153490872824E-3</v>
      </c>
      <c r="AN27" s="125">
        <f t="shared" si="17"/>
        <v>0</v>
      </c>
      <c r="AO27" s="33">
        <f t="shared" si="18"/>
        <v>0</v>
      </c>
      <c r="AP27" s="97">
        <f>IF('Datos Mun'!B27="AMM",'Art 14 F I'!F29,'Art 14 F I'!M29)</f>
        <v>2.5465951855443821E-2</v>
      </c>
      <c r="AQ27" s="35">
        <f>IF('Datos Mun'!D27="Zona de Crec",'Art 14 F I'!T29,0)</f>
        <v>0</v>
      </c>
    </row>
    <row r="28" spans="1:43">
      <c r="A28" s="17" t="s">
        <v>24</v>
      </c>
      <c r="B28" s="92" t="s">
        <v>102</v>
      </c>
      <c r="C28" s="92" t="s">
        <v>102</v>
      </c>
      <c r="D28" s="92" t="s">
        <v>105</v>
      </c>
      <c r="E28" s="18">
        <v>7133102</v>
      </c>
      <c r="F28" s="18">
        <v>59610291</v>
      </c>
      <c r="G28" s="290">
        <v>9156806</v>
      </c>
      <c r="H28" s="290">
        <v>63133792</v>
      </c>
      <c r="I28" s="14">
        <f t="shared" si="0"/>
        <v>0.14503811207791859</v>
      </c>
      <c r="J28" s="14">
        <f t="shared" si="1"/>
        <v>0.28370602298971753</v>
      </c>
      <c r="K28" s="8">
        <v>870</v>
      </c>
      <c r="L28" s="9">
        <v>513</v>
      </c>
      <c r="M28" s="9">
        <v>350</v>
      </c>
      <c r="N28" s="9">
        <v>123</v>
      </c>
      <c r="O28" s="14">
        <f t="shared" si="2"/>
        <v>5.2107891032981742E-3</v>
      </c>
      <c r="P28" s="9">
        <v>2629.9999999954803</v>
      </c>
      <c r="Q28" s="9">
        <v>724</v>
      </c>
      <c r="R28" s="9">
        <v>85</v>
      </c>
      <c r="S28" s="9">
        <v>417</v>
      </c>
      <c r="T28" s="14">
        <f t="shared" si="3"/>
        <v>2.1893178641778942E-2</v>
      </c>
      <c r="U28" s="14">
        <f t="shared" si="6"/>
        <v>3.2015092546964969</v>
      </c>
      <c r="V28" s="14">
        <f t="shared" si="7"/>
        <v>0</v>
      </c>
      <c r="W28" s="14">
        <f t="shared" si="4"/>
        <v>0</v>
      </c>
      <c r="X28" s="77">
        <v>184.5</v>
      </c>
      <c r="Y28" s="18">
        <v>102149</v>
      </c>
      <c r="Z28" s="78">
        <v>91913</v>
      </c>
      <c r="AA28" s="71">
        <v>4282795.5586598059</v>
      </c>
      <c r="AB28" s="86">
        <f t="shared" si="8"/>
        <v>1406587.59947399</v>
      </c>
      <c r="AC28" s="33">
        <f t="shared" si="5"/>
        <v>8.8328470721607565E-4</v>
      </c>
      <c r="AD28" s="29">
        <f t="shared" si="9"/>
        <v>1.5010376108879646E-2</v>
      </c>
      <c r="AE28" s="29">
        <f t="shared" si="10"/>
        <v>4.3136772013392265E-4</v>
      </c>
      <c r="AF28" s="33">
        <f t="shared" si="11"/>
        <v>1.5441743829013569E-2</v>
      </c>
      <c r="AG28" s="29">
        <f t="shared" si="12"/>
        <v>1.86092018455121E-2</v>
      </c>
      <c r="AH28" s="29">
        <f t="shared" si="13"/>
        <v>0</v>
      </c>
      <c r="AI28" s="33">
        <f t="shared" si="14"/>
        <v>1.86092018455121E-2</v>
      </c>
      <c r="AJ28" s="125">
        <f>IF('Datos Mun'!B28="AMM",Y28,0)</f>
        <v>0</v>
      </c>
      <c r="AK28" s="33">
        <f t="shared" si="15"/>
        <v>0</v>
      </c>
      <c r="AL28" s="125">
        <f>IF('Datos Mun'!B28="AMM",0,Y28)</f>
        <v>102149</v>
      </c>
      <c r="AM28" s="33">
        <f t="shared" si="16"/>
        <v>0.11538048825118065</v>
      </c>
      <c r="AN28" s="125">
        <f t="shared" si="17"/>
        <v>102149</v>
      </c>
      <c r="AO28" s="33">
        <f t="shared" si="18"/>
        <v>3.4145136468231842E-2</v>
      </c>
      <c r="AP28" s="97">
        <f>IF('Datos Mun'!B28="AMM",'Art 14 F I'!F30,'Art 14 F I'!M30)</f>
        <v>4.2197452710448141E-2</v>
      </c>
      <c r="AQ28" s="35">
        <f>IF('Datos Mun'!D28="Zona de Crec",'Art 14 F I'!T30,0)</f>
        <v>3.1153647005124397E-2</v>
      </c>
    </row>
    <row r="29" spans="1:43">
      <c r="A29" s="17" t="s">
        <v>25</v>
      </c>
      <c r="B29" s="92" t="s">
        <v>104</v>
      </c>
      <c r="C29" s="92" t="s">
        <v>104</v>
      </c>
      <c r="D29" s="92" t="s">
        <v>103</v>
      </c>
      <c r="E29" s="18">
        <v>259353547.03000003</v>
      </c>
      <c r="F29" s="18">
        <v>542535324</v>
      </c>
      <c r="G29" s="290">
        <v>215375991.11000001</v>
      </c>
      <c r="H29" s="290">
        <v>516795710.3599999</v>
      </c>
      <c r="I29" s="14">
        <f t="shared" si="0"/>
        <v>0.41675266801260619</v>
      </c>
      <c r="J29" s="14">
        <f t="shared" si="1"/>
        <v>-0.169566047673576</v>
      </c>
      <c r="K29" s="8">
        <v>69698</v>
      </c>
      <c r="L29" s="9">
        <v>9468</v>
      </c>
      <c r="M29" s="9">
        <v>3881</v>
      </c>
      <c r="N29" s="9">
        <v>299</v>
      </c>
      <c r="O29" s="14">
        <f t="shared" si="2"/>
        <v>8.640218657214932E-2</v>
      </c>
      <c r="P29" s="9">
        <v>32769.999999791457</v>
      </c>
      <c r="Q29" s="9">
        <v>7194</v>
      </c>
      <c r="R29" s="9">
        <v>736</v>
      </c>
      <c r="S29" s="9">
        <v>247</v>
      </c>
      <c r="T29" s="14">
        <f t="shared" si="3"/>
        <v>6.7373865202308994E-2</v>
      </c>
      <c r="U29" s="14">
        <f t="shared" si="6"/>
        <v>-0.22022962756794248</v>
      </c>
      <c r="V29" s="14">
        <f t="shared" si="7"/>
        <v>0.22022962756794248</v>
      </c>
      <c r="W29" s="14">
        <f t="shared" si="4"/>
        <v>2.7933558954904417E-2</v>
      </c>
      <c r="X29" s="77">
        <v>118.4</v>
      </c>
      <c r="Y29" s="18">
        <v>643143</v>
      </c>
      <c r="Z29" s="78">
        <v>710413</v>
      </c>
      <c r="AA29" s="71">
        <v>23819745.92530071</v>
      </c>
      <c r="AB29" s="86">
        <f t="shared" si="8"/>
        <v>85500087.265497223</v>
      </c>
      <c r="AC29" s="33">
        <f t="shared" si="5"/>
        <v>5.3690875403348902E-2</v>
      </c>
      <c r="AD29" s="29">
        <f t="shared" si="9"/>
        <v>9.4507222995753079E-2</v>
      </c>
      <c r="AE29" s="29">
        <f t="shared" si="10"/>
        <v>2.7682351254122733E-4</v>
      </c>
      <c r="AF29" s="33">
        <f t="shared" si="11"/>
        <v>9.4784046508294306E-2</v>
      </c>
      <c r="AG29" s="29">
        <f t="shared" si="12"/>
        <v>5.726778542196264E-2</v>
      </c>
      <c r="AH29" s="29">
        <f t="shared" si="13"/>
        <v>4.190033843235662E-3</v>
      </c>
      <c r="AI29" s="33">
        <f t="shared" si="14"/>
        <v>6.1457819265198305E-2</v>
      </c>
      <c r="AJ29" s="125">
        <f>IF('Datos Mun'!B29="AMM",Y29,0)</f>
        <v>643143</v>
      </c>
      <c r="AK29" s="33">
        <f t="shared" si="15"/>
        <v>0.13127727658789265</v>
      </c>
      <c r="AL29" s="125">
        <f>IF('Datos Mun'!B29="AMM",0,Y29)</f>
        <v>0</v>
      </c>
      <c r="AM29" s="33">
        <f t="shared" si="16"/>
        <v>0</v>
      </c>
      <c r="AN29" s="125">
        <f t="shared" si="17"/>
        <v>0</v>
      </c>
      <c r="AO29" s="33">
        <f t="shared" si="18"/>
        <v>0</v>
      </c>
      <c r="AP29" s="97">
        <f>IF('Datos Mun'!B29="AMM",'Art 14 F I'!F31,'Art 14 F I'!M31)</f>
        <v>8.3658366812567775E-2</v>
      </c>
      <c r="AQ29" s="35">
        <f>IF('Datos Mun'!D29="Zona de Crec",'Art 14 F I'!T31,0)</f>
        <v>0</v>
      </c>
    </row>
    <row r="30" spans="1:43">
      <c r="A30" s="17" t="s">
        <v>26</v>
      </c>
      <c r="B30" s="92" t="s">
        <v>102</v>
      </c>
      <c r="C30" s="92" t="s">
        <v>102</v>
      </c>
      <c r="D30" s="92" t="s">
        <v>103</v>
      </c>
      <c r="E30" s="18">
        <v>294751</v>
      </c>
      <c r="F30" s="18">
        <v>1019354</v>
      </c>
      <c r="G30" s="290">
        <v>288216.5</v>
      </c>
      <c r="H30" s="290">
        <v>997290</v>
      </c>
      <c r="I30" s="14">
        <f t="shared" si="0"/>
        <v>0.28899968915761715</v>
      </c>
      <c r="J30" s="14">
        <f t="shared" si="1"/>
        <v>-2.2169560069346669E-2</v>
      </c>
      <c r="K30" s="8">
        <v>525</v>
      </c>
      <c r="L30" s="9">
        <v>98</v>
      </c>
      <c r="M30" s="9">
        <v>163</v>
      </c>
      <c r="N30" s="9">
        <v>24</v>
      </c>
      <c r="O30" s="14">
        <f t="shared" si="2"/>
        <v>1.4096324493135357E-3</v>
      </c>
      <c r="P30" s="9">
        <v>374.99999999594002</v>
      </c>
      <c r="Q30" s="9">
        <v>59</v>
      </c>
      <c r="R30" s="9">
        <v>60</v>
      </c>
      <c r="S30" s="9">
        <v>19</v>
      </c>
      <c r="T30" s="14">
        <f t="shared" si="3"/>
        <v>1.5801406149717687E-3</v>
      </c>
      <c r="U30" s="14">
        <f t="shared" si="6"/>
        <v>0.12095930803896239</v>
      </c>
      <c r="V30" s="14">
        <f t="shared" si="7"/>
        <v>0</v>
      </c>
      <c r="W30" s="14">
        <f t="shared" si="4"/>
        <v>0</v>
      </c>
      <c r="X30" s="77">
        <v>496.6</v>
      </c>
      <c r="Y30" s="18">
        <v>1959</v>
      </c>
      <c r="Z30" s="78">
        <v>1998</v>
      </c>
      <c r="AA30" s="71">
        <v>2416180.5729740933</v>
      </c>
      <c r="AB30" s="86">
        <f t="shared" si="8"/>
        <v>81491.563158873178</v>
      </c>
      <c r="AC30" s="33">
        <f t="shared" si="5"/>
        <v>5.1173671325044735E-5</v>
      </c>
      <c r="AD30" s="29">
        <f t="shared" si="9"/>
        <v>2.8786700601371744E-4</v>
      </c>
      <c r="AE30" s="29">
        <f t="shared" si="10"/>
        <v>1.1610688879051814E-3</v>
      </c>
      <c r="AF30" s="33">
        <f t="shared" si="11"/>
        <v>1.4489358939188987E-3</v>
      </c>
      <c r="AG30" s="29">
        <f t="shared" si="12"/>
        <v>1.3431195227260034E-3</v>
      </c>
      <c r="AH30" s="29">
        <f t="shared" si="13"/>
        <v>0</v>
      </c>
      <c r="AI30" s="33">
        <f t="shared" si="14"/>
        <v>1.3431195227260034E-3</v>
      </c>
      <c r="AJ30" s="125">
        <f>IF('Datos Mun'!B30="AMM",Y30,0)</f>
        <v>0</v>
      </c>
      <c r="AK30" s="33">
        <f t="shared" si="15"/>
        <v>0</v>
      </c>
      <c r="AL30" s="125">
        <f>IF('Datos Mun'!B30="AMM",0,Y30)</f>
        <v>1959</v>
      </c>
      <c r="AM30" s="33">
        <f t="shared" si="16"/>
        <v>2.2127517301595012E-3</v>
      </c>
      <c r="AN30" s="125">
        <f t="shared" si="17"/>
        <v>0</v>
      </c>
      <c r="AO30" s="33">
        <f t="shared" si="18"/>
        <v>0</v>
      </c>
      <c r="AP30" s="97">
        <f>IF('Datos Mun'!B30="AMM",'Art 14 F I'!F32,'Art 14 F I'!M32)</f>
        <v>3.4099636241374663E-3</v>
      </c>
      <c r="AQ30" s="35">
        <f>IF('Datos Mun'!D30="Zona de Crec",'Art 14 F I'!T32,0)</f>
        <v>0</v>
      </c>
    </row>
    <row r="31" spans="1:43">
      <c r="A31" s="17" t="s">
        <v>27</v>
      </c>
      <c r="B31" s="92" t="s">
        <v>102</v>
      </c>
      <c r="C31" s="92" t="s">
        <v>102</v>
      </c>
      <c r="D31" s="92" t="s">
        <v>103</v>
      </c>
      <c r="E31" s="18">
        <v>501704</v>
      </c>
      <c r="F31" s="18">
        <v>2430155</v>
      </c>
      <c r="G31" s="290">
        <v>518824</v>
      </c>
      <c r="H31" s="290">
        <v>2347113</v>
      </c>
      <c r="I31" s="14">
        <f t="shared" si="0"/>
        <v>0.22104772970027434</v>
      </c>
      <c r="J31" s="14">
        <f t="shared" si="1"/>
        <v>3.4123706408559627E-2</v>
      </c>
      <c r="K31" s="8">
        <v>1777</v>
      </c>
      <c r="L31" s="9">
        <v>349</v>
      </c>
      <c r="M31" s="9">
        <v>145</v>
      </c>
      <c r="N31" s="9">
        <v>79</v>
      </c>
      <c r="O31" s="14">
        <f t="shared" si="2"/>
        <v>3.9637238245243383E-3</v>
      </c>
      <c r="P31" s="9">
        <v>887.9999999826681</v>
      </c>
      <c r="Q31" s="9">
        <v>347</v>
      </c>
      <c r="R31" s="9">
        <v>71</v>
      </c>
      <c r="S31" s="9">
        <v>43</v>
      </c>
      <c r="T31" s="14">
        <f t="shared" si="3"/>
        <v>4.1176242868988557E-3</v>
      </c>
      <c r="U31" s="14">
        <f t="shared" si="6"/>
        <v>3.8827241550560346E-2</v>
      </c>
      <c r="V31" s="14">
        <f t="shared" si="7"/>
        <v>0</v>
      </c>
      <c r="W31" s="14">
        <f t="shared" si="4"/>
        <v>0</v>
      </c>
      <c r="X31" s="77">
        <v>170.6</v>
      </c>
      <c r="Y31" s="18">
        <v>16086</v>
      </c>
      <c r="Z31" s="78">
        <v>15902</v>
      </c>
      <c r="AA31" s="71">
        <v>2523675.0481478898</v>
      </c>
      <c r="AB31" s="86">
        <f t="shared" si="8"/>
        <v>110765.9153329726</v>
      </c>
      <c r="AC31" s="33">
        <f t="shared" si="5"/>
        <v>6.95568758966686E-5</v>
      </c>
      <c r="AD31" s="29">
        <f t="shared" si="9"/>
        <v>2.3637716481555177E-3</v>
      </c>
      <c r="AE31" s="29">
        <f t="shared" si="10"/>
        <v>3.988690138474103E-4</v>
      </c>
      <c r="AF31" s="33">
        <f t="shared" si="11"/>
        <v>2.762640662002928E-3</v>
      </c>
      <c r="AG31" s="29">
        <f t="shared" si="12"/>
        <v>3.4999806438640274E-3</v>
      </c>
      <c r="AH31" s="29">
        <f t="shared" si="13"/>
        <v>0</v>
      </c>
      <c r="AI31" s="33">
        <f t="shared" si="14"/>
        <v>3.4999806438640274E-3</v>
      </c>
      <c r="AJ31" s="125">
        <f>IF('Datos Mun'!B31="AMM",Y31,0)</f>
        <v>0</v>
      </c>
      <c r="AK31" s="33">
        <f t="shared" si="15"/>
        <v>0</v>
      </c>
      <c r="AL31" s="125">
        <f>IF('Datos Mun'!B31="AMM",0,Y31)</f>
        <v>16086</v>
      </c>
      <c r="AM31" s="33">
        <f t="shared" si="16"/>
        <v>1.8169639781187207E-2</v>
      </c>
      <c r="AN31" s="125">
        <f t="shared" si="17"/>
        <v>0</v>
      </c>
      <c r="AO31" s="33">
        <f t="shared" si="18"/>
        <v>0</v>
      </c>
      <c r="AP31" s="97">
        <f>IF('Datos Mun'!B31="AMM",'Art 14 F I'!F33,'Art 14 F I'!M33)</f>
        <v>7.5420338817339862E-3</v>
      </c>
      <c r="AQ31" s="35">
        <f>IF('Datos Mun'!D31="Zona de Crec",'Art 14 F I'!T33,0)</f>
        <v>0</v>
      </c>
    </row>
    <row r="32" spans="1:43">
      <c r="A32" s="17" t="s">
        <v>28</v>
      </c>
      <c r="B32" s="92" t="s">
        <v>102</v>
      </c>
      <c r="C32" s="92" t="s">
        <v>102</v>
      </c>
      <c r="D32" s="92" t="s">
        <v>103</v>
      </c>
      <c r="E32" s="18">
        <v>314751</v>
      </c>
      <c r="F32" s="18">
        <v>721085</v>
      </c>
      <c r="G32" s="290">
        <v>336929</v>
      </c>
      <c r="H32" s="290">
        <v>702996</v>
      </c>
      <c r="I32" s="14">
        <f t="shared" si="0"/>
        <v>0.47927584225230302</v>
      </c>
      <c r="J32" s="14">
        <f t="shared" si="1"/>
        <v>7.046204777744948E-2</v>
      </c>
      <c r="K32" s="8">
        <v>236</v>
      </c>
      <c r="L32" s="9">
        <v>60</v>
      </c>
      <c r="M32" s="9">
        <v>117</v>
      </c>
      <c r="N32" s="9">
        <v>25</v>
      </c>
      <c r="O32" s="14">
        <f t="shared" si="2"/>
        <v>1.0357297174192843E-3</v>
      </c>
      <c r="P32" s="9">
        <v>156.00000000186</v>
      </c>
      <c r="Q32" s="9">
        <v>44</v>
      </c>
      <c r="R32" s="9">
        <v>20</v>
      </c>
      <c r="S32" s="9">
        <v>31</v>
      </c>
      <c r="T32" s="14">
        <f t="shared" si="3"/>
        <v>1.6264120738302961E-3</v>
      </c>
      <c r="U32" s="14">
        <f t="shared" si="6"/>
        <v>0.5703055019825134</v>
      </c>
      <c r="V32" s="14">
        <f t="shared" si="7"/>
        <v>0</v>
      </c>
      <c r="W32" s="14">
        <f t="shared" si="4"/>
        <v>0</v>
      </c>
      <c r="X32" s="77">
        <v>443.2</v>
      </c>
      <c r="Y32" s="18">
        <v>1386</v>
      </c>
      <c r="Z32" s="78">
        <v>1712</v>
      </c>
      <c r="AA32" s="71">
        <v>2212342.7472197949</v>
      </c>
      <c r="AB32" s="86">
        <f t="shared" si="8"/>
        <v>157431.02552542349</v>
      </c>
      <c r="AC32" s="33">
        <f t="shared" si="5"/>
        <v>9.886082981248519E-5</v>
      </c>
      <c r="AD32" s="29">
        <f t="shared" si="9"/>
        <v>2.0366700884890884E-4</v>
      </c>
      <c r="AE32" s="29">
        <f t="shared" si="10"/>
        <v>1.0362177428908102E-3</v>
      </c>
      <c r="AF32" s="33">
        <f t="shared" si="11"/>
        <v>1.239884751739719E-3</v>
      </c>
      <c r="AG32" s="29">
        <f t="shared" si="12"/>
        <v>1.3824502627557515E-3</v>
      </c>
      <c r="AH32" s="29">
        <f t="shared" si="13"/>
        <v>0</v>
      </c>
      <c r="AI32" s="33">
        <f t="shared" si="14"/>
        <v>1.3824502627557515E-3</v>
      </c>
      <c r="AJ32" s="125">
        <f>IF('Datos Mun'!B32="AMM",Y32,0)</f>
        <v>0</v>
      </c>
      <c r="AK32" s="33">
        <f t="shared" si="15"/>
        <v>0</v>
      </c>
      <c r="AL32" s="125">
        <f>IF('Datos Mun'!B32="AMM",0,Y32)</f>
        <v>1386</v>
      </c>
      <c r="AM32" s="33">
        <f t="shared" si="16"/>
        <v>1.5655303205722657E-3</v>
      </c>
      <c r="AN32" s="125">
        <f t="shared" si="17"/>
        <v>0</v>
      </c>
      <c r="AO32" s="33">
        <f t="shared" si="18"/>
        <v>0</v>
      </c>
      <c r="AP32" s="97">
        <f>IF('Datos Mun'!B32="AMM",'Art 14 F I'!F34,'Art 14 F I'!M34)</f>
        <v>3.3223747613822384E-3</v>
      </c>
      <c r="AQ32" s="35">
        <f>IF('Datos Mun'!D32="Zona de Crec",'Art 14 F I'!T34,0)</f>
        <v>0</v>
      </c>
    </row>
    <row r="33" spans="1:43">
      <c r="A33" s="17" t="s">
        <v>29</v>
      </c>
      <c r="B33" s="92" t="s">
        <v>102</v>
      </c>
      <c r="C33" s="92" t="s">
        <v>102</v>
      </c>
      <c r="D33" s="92" t="s">
        <v>103</v>
      </c>
      <c r="E33" s="18">
        <v>586273</v>
      </c>
      <c r="F33" s="18">
        <v>1890448</v>
      </c>
      <c r="G33" s="290">
        <v>629171</v>
      </c>
      <c r="H33" s="290">
        <v>1978005</v>
      </c>
      <c r="I33" s="14">
        <f t="shared" si="0"/>
        <v>0.31808362466222279</v>
      </c>
      <c r="J33" s="14">
        <f t="shared" si="1"/>
        <v>7.3170690105121672E-2</v>
      </c>
      <c r="K33" s="8">
        <v>1201</v>
      </c>
      <c r="L33" s="9">
        <v>185</v>
      </c>
      <c r="M33" s="9">
        <v>941</v>
      </c>
      <c r="N33" s="9">
        <v>42</v>
      </c>
      <c r="O33" s="14">
        <f t="shared" si="2"/>
        <v>4.0095605509974496E-3</v>
      </c>
      <c r="P33" s="9">
        <v>649.99999999475995</v>
      </c>
      <c r="Q33" s="9">
        <v>163</v>
      </c>
      <c r="R33" s="9">
        <v>395</v>
      </c>
      <c r="S33" s="9">
        <v>10</v>
      </c>
      <c r="T33" s="14">
        <f t="shared" si="3"/>
        <v>3.5180673320548577E-3</v>
      </c>
      <c r="U33" s="14">
        <f t="shared" si="6"/>
        <v>-0.12258032088337566</v>
      </c>
      <c r="V33" s="14">
        <f t="shared" si="7"/>
        <v>0.12258032088337566</v>
      </c>
      <c r="W33" s="14">
        <f t="shared" si="4"/>
        <v>1.5547883624561429E-2</v>
      </c>
      <c r="X33" s="77">
        <v>127.8</v>
      </c>
      <c r="Y33" s="18">
        <v>7026</v>
      </c>
      <c r="Z33" s="78">
        <v>7746</v>
      </c>
      <c r="AA33" s="71">
        <v>1837459.503722325</v>
      </c>
      <c r="AB33" s="86">
        <f t="shared" si="8"/>
        <v>209398.06185676623</v>
      </c>
      <c r="AC33" s="33">
        <f t="shared" si="5"/>
        <v>1.3149419618652597E-4</v>
      </c>
      <c r="AD33" s="29">
        <f t="shared" si="9"/>
        <v>1.0324418500522608E-3</v>
      </c>
      <c r="AE33" s="29">
        <f t="shared" si="10"/>
        <v>2.9880105492203417E-4</v>
      </c>
      <c r="AF33" s="33">
        <f t="shared" si="11"/>
        <v>1.331242904974295E-3</v>
      </c>
      <c r="AG33" s="29">
        <f t="shared" si="12"/>
        <v>2.990357232246629E-3</v>
      </c>
      <c r="AH33" s="29">
        <f t="shared" si="13"/>
        <v>2.3321825436842143E-3</v>
      </c>
      <c r="AI33" s="33">
        <f t="shared" si="14"/>
        <v>5.3225397759308433E-3</v>
      </c>
      <c r="AJ33" s="125">
        <f>IF('Datos Mun'!B33="AMM",Y33,0)</f>
        <v>0</v>
      </c>
      <c r="AK33" s="33">
        <f t="shared" si="15"/>
        <v>0</v>
      </c>
      <c r="AL33" s="125">
        <f>IF('Datos Mun'!B33="AMM",0,Y33)</f>
        <v>7026</v>
      </c>
      <c r="AM33" s="33">
        <f t="shared" si="16"/>
        <v>7.9360866034204457E-3</v>
      </c>
      <c r="AN33" s="125">
        <f t="shared" si="17"/>
        <v>0</v>
      </c>
      <c r="AO33" s="33">
        <f t="shared" si="18"/>
        <v>0</v>
      </c>
      <c r="AP33" s="97">
        <f>IF('Datos Mun'!B33="AMM",'Art 14 F I'!F35,'Art 14 F I'!M35)</f>
        <v>8.1488098643569123E-3</v>
      </c>
      <c r="AQ33" s="35">
        <f>IF('Datos Mun'!D33="Zona de Crec",'Art 14 F I'!T35,0)</f>
        <v>0</v>
      </c>
    </row>
    <row r="34" spans="1:43">
      <c r="A34" s="17" t="s">
        <v>30</v>
      </c>
      <c r="B34" s="92" t="s">
        <v>102</v>
      </c>
      <c r="C34" s="92" t="s">
        <v>102</v>
      </c>
      <c r="D34" s="92" t="s">
        <v>103</v>
      </c>
      <c r="E34" s="18">
        <v>107675</v>
      </c>
      <c r="F34" s="18">
        <v>574456</v>
      </c>
      <c r="G34" s="290">
        <v>112915</v>
      </c>
      <c r="H34" s="290">
        <v>579083</v>
      </c>
      <c r="I34" s="14">
        <f t="shared" si="0"/>
        <v>0.19498931932037375</v>
      </c>
      <c r="J34" s="14">
        <f t="shared" si="1"/>
        <v>4.8664964012073368E-2</v>
      </c>
      <c r="K34" s="8">
        <v>779</v>
      </c>
      <c r="L34" s="9">
        <v>188</v>
      </c>
      <c r="M34" s="9">
        <v>1437</v>
      </c>
      <c r="N34" s="9">
        <v>355</v>
      </c>
      <c r="O34" s="14">
        <f t="shared" si="2"/>
        <v>1.0481063203940282E-2</v>
      </c>
      <c r="P34" s="9">
        <v>671.99999999645991</v>
      </c>
      <c r="Q34" s="9">
        <v>134</v>
      </c>
      <c r="R34" s="9">
        <v>300</v>
      </c>
      <c r="S34" s="9">
        <v>75</v>
      </c>
      <c r="T34" s="14">
        <f t="shared" si="3"/>
        <v>5.5306963347555565E-3</v>
      </c>
      <c r="U34" s="14">
        <f t="shared" si="6"/>
        <v>-0.47231533412790316</v>
      </c>
      <c r="V34" s="14">
        <f t="shared" si="7"/>
        <v>0.47231533412790316</v>
      </c>
      <c r="W34" s="14">
        <f t="shared" si="4"/>
        <v>5.9907689881993215E-2</v>
      </c>
      <c r="X34" s="77">
        <v>560.5</v>
      </c>
      <c r="Y34" s="18">
        <v>3298</v>
      </c>
      <c r="Z34" s="78">
        <v>3979</v>
      </c>
      <c r="AA34" s="71">
        <v>2140203.3870121036</v>
      </c>
      <c r="AB34" s="86">
        <f t="shared" si="8"/>
        <v>22194.558373487263</v>
      </c>
      <c r="AC34" s="33">
        <f t="shared" si="5"/>
        <v>1.3937357333483521E-5</v>
      </c>
      <c r="AD34" s="29">
        <f t="shared" si="9"/>
        <v>4.8462755785259838E-4</v>
      </c>
      <c r="AE34" s="29">
        <f t="shared" si="10"/>
        <v>1.3104694153661986E-3</v>
      </c>
      <c r="AF34" s="33">
        <f t="shared" si="11"/>
        <v>1.7950969732187969E-3</v>
      </c>
      <c r="AG34" s="29">
        <f t="shared" si="12"/>
        <v>4.7010918845422226E-3</v>
      </c>
      <c r="AH34" s="29">
        <f t="shared" si="13"/>
        <v>8.9861534822989822E-3</v>
      </c>
      <c r="AI34" s="33">
        <f t="shared" si="14"/>
        <v>1.3687245366841204E-2</v>
      </c>
      <c r="AJ34" s="125">
        <f>IF('Datos Mun'!B34="AMM",Y34,0)</f>
        <v>0</v>
      </c>
      <c r="AK34" s="33">
        <f t="shared" si="15"/>
        <v>0</v>
      </c>
      <c r="AL34" s="125">
        <f>IF('Datos Mun'!B34="AMM",0,Y34)</f>
        <v>3298</v>
      </c>
      <c r="AM34" s="33">
        <f t="shared" si="16"/>
        <v>3.7251940817080321E-3</v>
      </c>
      <c r="AN34" s="125">
        <f t="shared" si="17"/>
        <v>0</v>
      </c>
      <c r="AO34" s="33">
        <f t="shared" si="18"/>
        <v>0</v>
      </c>
      <c r="AP34" s="97">
        <f>IF('Datos Mun'!B34="AMM",'Art 14 F I'!F36,'Art 14 F I'!M36)</f>
        <v>1.8272949674764026E-2</v>
      </c>
      <c r="AQ34" s="35">
        <f>IF('Datos Mun'!D34="Zona de Crec",'Art 14 F I'!T36,0)</f>
        <v>0</v>
      </c>
    </row>
    <row r="35" spans="1:43">
      <c r="A35" s="17" t="s">
        <v>31</v>
      </c>
      <c r="B35" s="92" t="s">
        <v>104</v>
      </c>
      <c r="C35" s="92" t="s">
        <v>104</v>
      </c>
      <c r="D35" s="92" t="s">
        <v>105</v>
      </c>
      <c r="E35" s="18">
        <v>81896056.420000002</v>
      </c>
      <c r="F35" s="18">
        <v>369239404</v>
      </c>
      <c r="G35" s="290">
        <v>99086847.890000001</v>
      </c>
      <c r="H35" s="290">
        <v>512545762.94000041</v>
      </c>
      <c r="I35" s="14">
        <f t="shared" si="0"/>
        <v>0.19332292851594463</v>
      </c>
      <c r="J35" s="14">
        <f t="shared" si="1"/>
        <v>0.20990988115273645</v>
      </c>
      <c r="K35" s="8">
        <v>7826</v>
      </c>
      <c r="L35" s="9">
        <v>2619</v>
      </c>
      <c r="M35" s="9">
        <v>3702</v>
      </c>
      <c r="N35" s="9">
        <v>260</v>
      </c>
      <c r="O35" s="14">
        <f t="shared" si="2"/>
        <v>2.5768872466013677E-2</v>
      </c>
      <c r="P35" s="9">
        <v>16068.000000124277</v>
      </c>
      <c r="Q35" s="9">
        <v>3566</v>
      </c>
      <c r="R35" s="9">
        <v>735</v>
      </c>
      <c r="S35" s="9">
        <v>271</v>
      </c>
      <c r="T35" s="14">
        <f t="shared" si="3"/>
        <v>4.101076717571589E-2</v>
      </c>
      <c r="U35" s="14">
        <f t="shared" si="6"/>
        <v>0.59148473530631207</v>
      </c>
      <c r="V35" s="14">
        <f t="shared" si="7"/>
        <v>0</v>
      </c>
      <c r="W35" s="14">
        <f t="shared" si="4"/>
        <v>0</v>
      </c>
      <c r="X35" s="77">
        <v>247.3</v>
      </c>
      <c r="Y35" s="18">
        <v>471523</v>
      </c>
      <c r="Z35" s="78">
        <v>396864</v>
      </c>
      <c r="AA35" s="71">
        <v>7906757.7221003743</v>
      </c>
      <c r="AB35" s="86">
        <f t="shared" si="8"/>
        <v>26590345.771373838</v>
      </c>
      <c r="AC35" s="33">
        <f t="shared" si="5"/>
        <v>1.669774835795889E-2</v>
      </c>
      <c r="AD35" s="29">
        <f t="shared" si="9"/>
        <v>6.9288368696583003E-2</v>
      </c>
      <c r="AE35" s="29">
        <f t="shared" si="10"/>
        <v>5.7819640752910064E-4</v>
      </c>
      <c r="AF35" s="33">
        <f t="shared" si="11"/>
        <v>6.9866565104112099E-2</v>
      </c>
      <c r="AG35" s="29">
        <f t="shared" si="12"/>
        <v>3.4859152099358505E-2</v>
      </c>
      <c r="AH35" s="29">
        <f t="shared" si="13"/>
        <v>0</v>
      </c>
      <c r="AI35" s="33">
        <f t="shared" si="14"/>
        <v>3.4859152099358505E-2</v>
      </c>
      <c r="AJ35" s="125">
        <f>IF('Datos Mun'!B35="AMM",Y35,0)</f>
        <v>471523</v>
      </c>
      <c r="AK35" s="33">
        <f t="shared" si="15"/>
        <v>9.6246488399240757E-2</v>
      </c>
      <c r="AL35" s="125">
        <f>IF('Datos Mun'!B35="AMM",0,Y35)</f>
        <v>0</v>
      </c>
      <c r="AM35" s="33">
        <f t="shared" si="16"/>
        <v>0</v>
      </c>
      <c r="AN35" s="125">
        <f t="shared" si="17"/>
        <v>471523</v>
      </c>
      <c r="AO35" s="33">
        <f t="shared" si="18"/>
        <v>0.15761502494307417</v>
      </c>
      <c r="AP35" s="97">
        <f>IF('Datos Mun'!B35="AMM",'Art 14 F I'!F37,'Art 14 F I'!M37)</f>
        <v>4.3831411345312751E-2</v>
      </c>
      <c r="AQ35" s="35">
        <f>IF('Datos Mun'!D35="Zona de Crec",'Art 14 F I'!T37,0)</f>
        <v>0.12013618286128579</v>
      </c>
    </row>
    <row r="36" spans="1:43">
      <c r="A36" s="17" t="s">
        <v>32</v>
      </c>
      <c r="B36" s="92" t="s">
        <v>102</v>
      </c>
      <c r="C36" s="92" t="s">
        <v>102</v>
      </c>
      <c r="D36" s="92" t="s">
        <v>103</v>
      </c>
      <c r="E36" s="18">
        <v>1383880</v>
      </c>
      <c r="F36" s="18">
        <v>3808697</v>
      </c>
      <c r="G36" s="290">
        <v>1194083</v>
      </c>
      <c r="H36" s="290">
        <v>3788861</v>
      </c>
      <c r="I36" s="14">
        <f t="shared" si="0"/>
        <v>0.3151561907391166</v>
      </c>
      <c r="J36" s="14">
        <f t="shared" si="1"/>
        <v>-0.1371484521779345</v>
      </c>
      <c r="K36" s="8">
        <v>900</v>
      </c>
      <c r="L36" s="9">
        <v>170</v>
      </c>
      <c r="M36" s="9">
        <v>749</v>
      </c>
      <c r="N36" s="9">
        <v>32</v>
      </c>
      <c r="O36" s="14">
        <f t="shared" si="2"/>
        <v>3.2103292508626068E-3</v>
      </c>
      <c r="P36" s="9">
        <v>711.99999999240003</v>
      </c>
      <c r="Q36" s="9">
        <v>165</v>
      </c>
      <c r="R36" s="9">
        <v>176</v>
      </c>
      <c r="S36" s="9">
        <v>26</v>
      </c>
      <c r="T36" s="14">
        <f t="shared" si="3"/>
        <v>3.1168282000013352E-3</v>
      </c>
      <c r="U36" s="14">
        <f t="shared" si="6"/>
        <v>-2.9125065859256664E-2</v>
      </c>
      <c r="V36" s="14">
        <f t="shared" si="7"/>
        <v>2.9125065859256664E-2</v>
      </c>
      <c r="W36" s="14">
        <f t="shared" si="4"/>
        <v>3.6941748175732102E-3</v>
      </c>
      <c r="X36" s="77">
        <v>3428</v>
      </c>
      <c r="Y36" s="18">
        <v>5351</v>
      </c>
      <c r="Z36" s="78">
        <v>5783</v>
      </c>
      <c r="AA36" s="71">
        <v>4879372.4971958175</v>
      </c>
      <c r="AB36" s="86">
        <f t="shared" si="8"/>
        <v>374362.73110961571</v>
      </c>
      <c r="AC36" s="33">
        <f t="shared" si="5"/>
        <v>2.3508587411436363E-4</v>
      </c>
      <c r="AD36" s="29">
        <f t="shared" si="9"/>
        <v>7.8630747788637162E-4</v>
      </c>
      <c r="AE36" s="29">
        <f t="shared" si="10"/>
        <v>8.0147888597240455E-3</v>
      </c>
      <c r="AF36" s="33">
        <f t="shared" si="11"/>
        <v>8.8010963376104166E-3</v>
      </c>
      <c r="AG36" s="29">
        <f t="shared" si="12"/>
        <v>2.649303970001135E-3</v>
      </c>
      <c r="AH36" s="29">
        <f t="shared" si="13"/>
        <v>5.5412622263598154E-4</v>
      </c>
      <c r="AI36" s="33">
        <f t="shared" si="14"/>
        <v>3.2034301926371165E-3</v>
      </c>
      <c r="AJ36" s="125">
        <f>IF('Datos Mun'!B36="AMM",Y36,0)</f>
        <v>0</v>
      </c>
      <c r="AK36" s="33">
        <f t="shared" si="15"/>
        <v>0</v>
      </c>
      <c r="AL36" s="125">
        <f>IF('Datos Mun'!B36="AMM",0,Y36)</f>
        <v>5351</v>
      </c>
      <c r="AM36" s="33">
        <f t="shared" si="16"/>
        <v>6.0441217499150029E-3</v>
      </c>
      <c r="AN36" s="125">
        <f t="shared" si="17"/>
        <v>0</v>
      </c>
      <c r="AO36" s="33">
        <f t="shared" si="18"/>
        <v>0</v>
      </c>
      <c r="AP36" s="97">
        <f>IF('Datos Mun'!B36="AMM",'Art 14 F I'!F38,'Art 14 F I'!M38)</f>
        <v>1.4696733968722323E-2</v>
      </c>
      <c r="AQ36" s="35">
        <f>IF('Datos Mun'!D36="Zona de Crec",'Art 14 F I'!T38,0)</f>
        <v>0</v>
      </c>
    </row>
    <row r="37" spans="1:43">
      <c r="A37" s="17" t="s">
        <v>33</v>
      </c>
      <c r="B37" s="92" t="s">
        <v>102</v>
      </c>
      <c r="C37" s="92" t="s">
        <v>102</v>
      </c>
      <c r="D37" s="92" t="s">
        <v>103</v>
      </c>
      <c r="E37" s="18">
        <v>10865396</v>
      </c>
      <c r="F37" s="18">
        <v>39439786</v>
      </c>
      <c r="G37" s="290">
        <v>10280239</v>
      </c>
      <c r="H37" s="290">
        <v>39384069</v>
      </c>
      <c r="I37" s="14">
        <f t="shared" si="0"/>
        <v>0.26102531457579969</v>
      </c>
      <c r="J37" s="14">
        <f t="shared" ref="J37:J55" si="19">(G37-E37)/E37</f>
        <v>-5.3855101093416201E-2</v>
      </c>
      <c r="K37" s="8">
        <v>12929</v>
      </c>
      <c r="L37" s="9">
        <v>1702</v>
      </c>
      <c r="M37" s="9">
        <v>11424</v>
      </c>
      <c r="N37" s="9">
        <v>888</v>
      </c>
      <c r="O37" s="14">
        <f t="shared" ref="O37:O55" si="20">0.25*(K37/$K$56)+0.25*(L37/$L$56)+0.25*(M37/$M$56)+0.25*(N37/$N$56)</f>
        <v>5.2741452105129996E-2</v>
      </c>
      <c r="P37" s="9">
        <v>10671.999999957041</v>
      </c>
      <c r="Q37" s="9">
        <v>1334</v>
      </c>
      <c r="R37" s="9">
        <v>4922</v>
      </c>
      <c r="S37" s="9">
        <v>346</v>
      </c>
      <c r="T37" s="14">
        <f t="shared" ref="T37:T55" si="21">0.25*(P37/$P$56)+0.25*(Q37/$Q$56)+0.25*(R37/$R$56)+0.25*(S37/$S$56)</f>
        <v>5.1935046247198774E-2</v>
      </c>
      <c r="U37" s="14">
        <f t="shared" si="6"/>
        <v>-1.528979248284265E-2</v>
      </c>
      <c r="V37" s="14">
        <f t="shared" si="7"/>
        <v>1.528979248284265E-2</v>
      </c>
      <c r="W37" s="14">
        <f t="shared" ref="W37:W55" si="22">IFERROR(V37/$V$56,0)</f>
        <v>1.9393317985609204E-3</v>
      </c>
      <c r="X37" s="77">
        <v>2509.1999999999998</v>
      </c>
      <c r="Y37" s="18">
        <v>84666</v>
      </c>
      <c r="Z37" s="78">
        <v>88689</v>
      </c>
      <c r="AA37" s="71">
        <v>14166911.141700404</v>
      </c>
      <c r="AB37" s="86">
        <f t="shared" si="8"/>
        <v>2679611.7478203606</v>
      </c>
      <c r="AC37" s="33">
        <f t="shared" ref="AC37:AC55" si="23">AB37/$AB$56</f>
        <v>1.6826965338037809E-3</v>
      </c>
      <c r="AD37" s="29">
        <f t="shared" si="9"/>
        <v>1.2441321047043085E-2</v>
      </c>
      <c r="AE37" s="29">
        <f t="shared" si="10"/>
        <v>5.8666009938213469E-3</v>
      </c>
      <c r="AF37" s="33">
        <f t="shared" si="11"/>
        <v>1.8307922040864431E-2</v>
      </c>
      <c r="AG37" s="29">
        <f t="shared" si="12"/>
        <v>4.4144789310118955E-2</v>
      </c>
      <c r="AH37" s="29">
        <f t="shared" si="13"/>
        <v>2.9089976978413802E-4</v>
      </c>
      <c r="AI37" s="33">
        <f t="shared" si="14"/>
        <v>4.4435689079903092E-2</v>
      </c>
      <c r="AJ37" s="125">
        <f>IF('Datos Mun'!B37="AMM",Y37,0)</f>
        <v>0</v>
      </c>
      <c r="AK37" s="33">
        <f t="shared" si="15"/>
        <v>0</v>
      </c>
      <c r="AL37" s="125">
        <f>IF('Datos Mun'!B37="AMM",0,Y37)</f>
        <v>84666</v>
      </c>
      <c r="AM37" s="33">
        <f t="shared" si="16"/>
        <v>9.5632893305607106E-2</v>
      </c>
      <c r="AN37" s="125">
        <f t="shared" si="17"/>
        <v>0</v>
      </c>
      <c r="AO37" s="33">
        <f t="shared" si="18"/>
        <v>0</v>
      </c>
      <c r="AP37" s="97">
        <f>IF('Datos Mun'!B37="AMM",'Art 14 F I'!F39,'Art 14 F I'!M39)</f>
        <v>7.7884564885233792E-2</v>
      </c>
      <c r="AQ37" s="35">
        <f>IF('Datos Mun'!D37="Zona de Crec",'Art 14 F I'!T39,0)</f>
        <v>0</v>
      </c>
    </row>
    <row r="38" spans="1:43">
      <c r="A38" s="17" t="s">
        <v>34</v>
      </c>
      <c r="B38" s="92" t="s">
        <v>102</v>
      </c>
      <c r="C38" s="92" t="s">
        <v>102</v>
      </c>
      <c r="D38" s="92" t="s">
        <v>103</v>
      </c>
      <c r="E38" s="18">
        <v>1126052</v>
      </c>
      <c r="F38" s="18">
        <v>2142351</v>
      </c>
      <c r="G38" s="290">
        <v>940947</v>
      </c>
      <c r="H38" s="290">
        <v>2191945</v>
      </c>
      <c r="I38" s="14">
        <f t="shared" si="0"/>
        <v>0.42927491337601992</v>
      </c>
      <c r="J38" s="14">
        <f t="shared" si="19"/>
        <v>-0.16438406041639284</v>
      </c>
      <c r="K38" s="8">
        <v>549</v>
      </c>
      <c r="L38" s="9">
        <v>118</v>
      </c>
      <c r="M38" s="9">
        <v>143</v>
      </c>
      <c r="N38" s="9">
        <v>8</v>
      </c>
      <c r="O38" s="14">
        <f t="shared" si="20"/>
        <v>1.1599041643378795E-3</v>
      </c>
      <c r="P38" s="9">
        <v>273.99999999933596</v>
      </c>
      <c r="Q38" s="9">
        <v>106</v>
      </c>
      <c r="R38" s="9">
        <v>22</v>
      </c>
      <c r="S38" s="9">
        <v>0</v>
      </c>
      <c r="T38" s="14">
        <f t="shared" si="21"/>
        <v>7.395471817715941E-4</v>
      </c>
      <c r="U38" s="14">
        <f t="shared" si="6"/>
        <v>-0.36240665004099049</v>
      </c>
      <c r="V38" s="14">
        <f t="shared" si="7"/>
        <v>0.36240665004099049</v>
      </c>
      <c r="W38" s="14">
        <f t="shared" si="22"/>
        <v>4.5967055551807197E-2</v>
      </c>
      <c r="X38" s="77">
        <v>264.89999999999998</v>
      </c>
      <c r="Y38" s="18">
        <v>5119</v>
      </c>
      <c r="Z38" s="78">
        <v>6199</v>
      </c>
      <c r="AA38" s="71">
        <v>3175363.8332095044</v>
      </c>
      <c r="AB38" s="86">
        <f t="shared" si="8"/>
        <v>413275.53552569117</v>
      </c>
      <c r="AC38" s="33">
        <f t="shared" si="23"/>
        <v>2.5952166827923688E-4</v>
      </c>
      <c r="AD38" s="29">
        <f t="shared" si="9"/>
        <v>7.5221603051772322E-4</v>
      </c>
      <c r="AE38" s="29">
        <f t="shared" si="10"/>
        <v>6.1934584858252617E-4</v>
      </c>
      <c r="AF38" s="33">
        <f t="shared" si="11"/>
        <v>1.3715618791002495E-3</v>
      </c>
      <c r="AG38" s="29">
        <f t="shared" si="12"/>
        <v>6.2861510450585494E-4</v>
      </c>
      <c r="AH38" s="29">
        <f t="shared" si="13"/>
        <v>6.8950583327710797E-3</v>
      </c>
      <c r="AI38" s="33">
        <f t="shared" si="14"/>
        <v>7.523673437276935E-3</v>
      </c>
      <c r="AJ38" s="125">
        <f>IF('Datos Mun'!B38="AMM",Y38,0)</f>
        <v>0</v>
      </c>
      <c r="AK38" s="33">
        <f t="shared" si="15"/>
        <v>0</v>
      </c>
      <c r="AL38" s="125">
        <f>IF('Datos Mun'!B38="AMM",0,Y38)</f>
        <v>5119</v>
      </c>
      <c r="AM38" s="33">
        <f t="shared" si="16"/>
        <v>5.7820704985638008E-3</v>
      </c>
      <c r="AN38" s="125">
        <f t="shared" si="17"/>
        <v>0</v>
      </c>
      <c r="AO38" s="33">
        <f t="shared" si="18"/>
        <v>0</v>
      </c>
      <c r="AP38" s="97">
        <f>IF('Datos Mun'!B38="AMM",'Art 14 F I'!F40,'Art 14 F I'!M40)</f>
        <v>1.1091181989414577E-2</v>
      </c>
      <c r="AQ38" s="35">
        <f>IF('Datos Mun'!D38="Zona de Crec",'Art 14 F I'!T40,0)</f>
        <v>0</v>
      </c>
    </row>
    <row r="39" spans="1:43">
      <c r="A39" s="17" t="s">
        <v>35</v>
      </c>
      <c r="B39" s="92" t="s">
        <v>102</v>
      </c>
      <c r="C39" s="92" t="s">
        <v>102</v>
      </c>
      <c r="D39" s="92" t="s">
        <v>103</v>
      </c>
      <c r="E39" s="18">
        <v>319251</v>
      </c>
      <c r="F39" s="18">
        <v>758867</v>
      </c>
      <c r="G39" s="290">
        <v>301669</v>
      </c>
      <c r="H39" s="290">
        <v>739738</v>
      </c>
      <c r="I39" s="14">
        <f t="shared" si="0"/>
        <v>0.40780519589368125</v>
      </c>
      <c r="J39" s="14">
        <f t="shared" si="19"/>
        <v>-5.5072654431779382E-2</v>
      </c>
      <c r="K39" s="8">
        <v>166</v>
      </c>
      <c r="L39" s="9">
        <v>28</v>
      </c>
      <c r="M39" s="9">
        <v>16</v>
      </c>
      <c r="N39" s="9">
        <v>3</v>
      </c>
      <c r="O39" s="14">
        <f t="shared" si="20"/>
        <v>2.7977761574675224E-4</v>
      </c>
      <c r="P39" s="9">
        <v>122.00000000265999</v>
      </c>
      <c r="Q39" s="9">
        <v>17</v>
      </c>
      <c r="R39" s="9">
        <v>14</v>
      </c>
      <c r="S39" s="9">
        <v>3</v>
      </c>
      <c r="T39" s="14">
        <f t="shared" si="21"/>
        <v>3.515070065353251E-4</v>
      </c>
      <c r="U39" s="14">
        <f t="shared" si="6"/>
        <v>0.25638002024257911</v>
      </c>
      <c r="V39" s="14">
        <f t="shared" si="7"/>
        <v>0</v>
      </c>
      <c r="W39" s="14">
        <f t="shared" si="22"/>
        <v>0</v>
      </c>
      <c r="X39" s="77">
        <v>207.9</v>
      </c>
      <c r="Y39" s="18">
        <v>1483</v>
      </c>
      <c r="Z39" s="78">
        <v>1071</v>
      </c>
      <c r="AA39" s="71">
        <v>3099472.9188778722</v>
      </c>
      <c r="AB39" s="86">
        <f t="shared" si="8"/>
        <v>119921.1265755396</v>
      </c>
      <c r="AC39" s="33">
        <f t="shared" si="23"/>
        <v>7.5306008112050149E-5</v>
      </c>
      <c r="AD39" s="29">
        <f t="shared" si="9"/>
        <v>2.1792076055045584E-4</v>
      </c>
      <c r="AE39" s="29">
        <f t="shared" si="10"/>
        <v>4.8607777244359082E-4</v>
      </c>
      <c r="AF39" s="33">
        <f t="shared" si="11"/>
        <v>7.0399853299404663E-4</v>
      </c>
      <c r="AG39" s="29">
        <f t="shared" si="12"/>
        <v>2.9878095555502634E-4</v>
      </c>
      <c r="AH39" s="29">
        <f t="shared" si="13"/>
        <v>0</v>
      </c>
      <c r="AI39" s="33">
        <f t="shared" si="14"/>
        <v>2.9878095555502634E-4</v>
      </c>
      <c r="AJ39" s="125">
        <f>IF('Datos Mun'!B39="AMM",Y39,0)</f>
        <v>0</v>
      </c>
      <c r="AK39" s="33">
        <f t="shared" si="15"/>
        <v>0</v>
      </c>
      <c r="AL39" s="125">
        <f>IF('Datos Mun'!B39="AMM",0,Y39)</f>
        <v>1483</v>
      </c>
      <c r="AM39" s="33">
        <f t="shared" si="16"/>
        <v>1.6750948523872079E-3</v>
      </c>
      <c r="AN39" s="125">
        <f t="shared" si="17"/>
        <v>0</v>
      </c>
      <c r="AO39" s="33">
        <f t="shared" si="18"/>
        <v>0</v>
      </c>
      <c r="AP39" s="97">
        <f>IF('Datos Mun'!B39="AMM",'Art 14 F I'!F41,'Art 14 F I'!M41)</f>
        <v>1.3588375228828513E-3</v>
      </c>
      <c r="AQ39" s="35">
        <f>IF('Datos Mun'!D39="Zona de Crec",'Art 14 F I'!T41,0)</f>
        <v>0</v>
      </c>
    </row>
    <row r="40" spans="1:43">
      <c r="A40" s="17" t="s">
        <v>36</v>
      </c>
      <c r="B40" s="92" t="s">
        <v>102</v>
      </c>
      <c r="C40" s="92" t="s">
        <v>102</v>
      </c>
      <c r="D40" s="92" t="s">
        <v>103</v>
      </c>
      <c r="E40" s="18">
        <v>69817</v>
      </c>
      <c r="F40" s="18">
        <v>746282</v>
      </c>
      <c r="G40" s="290">
        <v>64774</v>
      </c>
      <c r="H40" s="290">
        <v>841795</v>
      </c>
      <c r="I40" s="14">
        <f t="shared" si="0"/>
        <v>7.6947475335443896E-2</v>
      </c>
      <c r="J40" s="14">
        <f t="shared" si="19"/>
        <v>-7.2231691421860006E-2</v>
      </c>
      <c r="K40" s="8">
        <v>1457</v>
      </c>
      <c r="L40" s="9">
        <v>656</v>
      </c>
      <c r="M40" s="9">
        <v>3161</v>
      </c>
      <c r="N40" s="9">
        <v>242</v>
      </c>
      <c r="O40" s="14">
        <f t="shared" si="20"/>
        <v>1.3917613986608209E-2</v>
      </c>
      <c r="P40" s="9">
        <v>1103.9999999949041</v>
      </c>
      <c r="Q40" s="9">
        <v>595</v>
      </c>
      <c r="R40" s="9">
        <v>4358</v>
      </c>
      <c r="S40" s="9">
        <v>125</v>
      </c>
      <c r="T40" s="14">
        <f t="shared" si="21"/>
        <v>2.9923630557353052E-2</v>
      </c>
      <c r="U40" s="14">
        <f t="shared" si="6"/>
        <v>1.1500546419915179</v>
      </c>
      <c r="V40" s="14">
        <f t="shared" si="7"/>
        <v>0</v>
      </c>
      <c r="W40" s="14">
        <f t="shared" si="22"/>
        <v>0</v>
      </c>
      <c r="X40" s="77">
        <v>997.9</v>
      </c>
      <c r="Y40" s="18">
        <v>7652</v>
      </c>
      <c r="Z40" s="78">
        <v>7601</v>
      </c>
      <c r="AA40" s="71">
        <v>3016799.7840141212</v>
      </c>
      <c r="AB40" s="86">
        <f t="shared" si="8"/>
        <v>5622.0987187149094</v>
      </c>
      <c r="AC40" s="33">
        <f t="shared" si="23"/>
        <v>3.5304689324412032E-6</v>
      </c>
      <c r="AD40" s="29">
        <f t="shared" si="9"/>
        <v>1.1244299795900798E-3</v>
      </c>
      <c r="AE40" s="29">
        <f t="shared" si="10"/>
        <v>2.3331265470007663E-3</v>
      </c>
      <c r="AF40" s="33">
        <f t="shared" si="11"/>
        <v>3.4575565265908461E-3</v>
      </c>
      <c r="AG40" s="29">
        <f t="shared" si="12"/>
        <v>2.5435085973750094E-2</v>
      </c>
      <c r="AH40" s="29">
        <f t="shared" si="13"/>
        <v>0</v>
      </c>
      <c r="AI40" s="33">
        <f t="shared" si="14"/>
        <v>2.5435085973750094E-2</v>
      </c>
      <c r="AJ40" s="125">
        <f>IF('Datos Mun'!B40="AMM",Y40,0)</f>
        <v>0</v>
      </c>
      <c r="AK40" s="33">
        <f t="shared" si="15"/>
        <v>0</v>
      </c>
      <c r="AL40" s="125">
        <f>IF('Datos Mun'!B40="AMM",0,Y40)</f>
        <v>7652</v>
      </c>
      <c r="AM40" s="33">
        <f t="shared" si="16"/>
        <v>8.6431731695663615E-3</v>
      </c>
      <c r="AN40" s="125">
        <f t="shared" si="17"/>
        <v>0</v>
      </c>
      <c r="AO40" s="33">
        <f t="shared" si="18"/>
        <v>0</v>
      </c>
      <c r="AP40" s="97">
        <f>IF('Datos Mun'!B40="AMM",'Art 14 F I'!F42,'Art 14 F I'!M42)</f>
        <v>3.4047416917418243E-2</v>
      </c>
      <c r="AQ40" s="35">
        <f>IF('Datos Mun'!D40="Zona de Crec",'Art 14 F I'!T42,0)</f>
        <v>0</v>
      </c>
    </row>
    <row r="41" spans="1:43">
      <c r="A41" s="17" t="s">
        <v>37</v>
      </c>
      <c r="B41" s="92" t="s">
        <v>102</v>
      </c>
      <c r="C41" s="92" t="s">
        <v>102</v>
      </c>
      <c r="D41" s="92" t="s">
        <v>103</v>
      </c>
      <c r="E41" s="18">
        <v>875732</v>
      </c>
      <c r="F41" s="18">
        <v>4564482</v>
      </c>
      <c r="G41" s="290">
        <v>1105076</v>
      </c>
      <c r="H41" s="290">
        <v>4742394</v>
      </c>
      <c r="I41" s="14">
        <f t="shared" si="0"/>
        <v>0.23302070641958469</v>
      </c>
      <c r="J41" s="14">
        <f t="shared" si="19"/>
        <v>0.26188834026848395</v>
      </c>
      <c r="K41" s="8">
        <v>871</v>
      </c>
      <c r="L41" s="9">
        <v>247</v>
      </c>
      <c r="M41" s="9">
        <v>493</v>
      </c>
      <c r="N41" s="9">
        <v>128</v>
      </c>
      <c r="O41" s="14">
        <f t="shared" si="20"/>
        <v>4.6848694940444004E-3</v>
      </c>
      <c r="P41" s="9">
        <v>541.99999999184001</v>
      </c>
      <c r="Q41" s="9">
        <v>203</v>
      </c>
      <c r="R41" s="9">
        <v>151</v>
      </c>
      <c r="S41" s="9">
        <v>39</v>
      </c>
      <c r="T41" s="14">
        <f t="shared" si="21"/>
        <v>3.5233788487839665E-3</v>
      </c>
      <c r="U41" s="14">
        <f t="shared" si="6"/>
        <v>-0.24792379952888097</v>
      </c>
      <c r="V41" s="14">
        <f t="shared" si="7"/>
        <v>0.24792379952888097</v>
      </c>
      <c r="W41" s="14">
        <f t="shared" si="22"/>
        <v>3.1446241574955056E-2</v>
      </c>
      <c r="X41" s="77">
        <v>3860</v>
      </c>
      <c r="Y41" s="18">
        <v>6048</v>
      </c>
      <c r="Z41" s="78">
        <v>5882</v>
      </c>
      <c r="AA41" s="71">
        <v>3822980.5102342181</v>
      </c>
      <c r="AB41" s="86">
        <f t="shared" si="8"/>
        <v>267542.50882706954</v>
      </c>
      <c r="AC41" s="33">
        <f t="shared" si="23"/>
        <v>1.680067467291377E-4</v>
      </c>
      <c r="AD41" s="29">
        <f t="shared" si="9"/>
        <v>8.8872876588614778E-4</v>
      </c>
      <c r="AE41" s="29">
        <f t="shared" si="10"/>
        <v>9.0248205946717678E-3</v>
      </c>
      <c r="AF41" s="33">
        <f t="shared" si="11"/>
        <v>9.9135493605579158E-3</v>
      </c>
      <c r="AG41" s="29">
        <f t="shared" si="12"/>
        <v>2.9948720214663716E-3</v>
      </c>
      <c r="AH41" s="29">
        <f t="shared" si="13"/>
        <v>4.7169362362432582E-3</v>
      </c>
      <c r="AI41" s="33">
        <f t="shared" si="14"/>
        <v>7.7118082577096302E-3</v>
      </c>
      <c r="AJ41" s="125">
        <f>IF('Datos Mun'!B41="AMM",Y41,0)</f>
        <v>0</v>
      </c>
      <c r="AK41" s="33">
        <f t="shared" si="15"/>
        <v>0</v>
      </c>
      <c r="AL41" s="125">
        <f>IF('Datos Mun'!B41="AMM",0,Y41)</f>
        <v>6048</v>
      </c>
      <c r="AM41" s="33">
        <f t="shared" si="16"/>
        <v>6.8314050352244323E-3</v>
      </c>
      <c r="AN41" s="125">
        <f t="shared" si="17"/>
        <v>0</v>
      </c>
      <c r="AO41" s="33">
        <f t="shared" si="18"/>
        <v>0</v>
      </c>
      <c r="AP41" s="97">
        <f>IF('Datos Mun'!B41="AMM",'Art 14 F I'!F43,'Art 14 F I'!M43)</f>
        <v>2.1160711630034884E-2</v>
      </c>
      <c r="AQ41" s="35">
        <f>IF('Datos Mun'!D41="Zona de Crec",'Art 14 F I'!T43,0)</f>
        <v>0</v>
      </c>
    </row>
    <row r="42" spans="1:43">
      <c r="A42" s="17" t="s">
        <v>38</v>
      </c>
      <c r="B42" s="92" t="s">
        <v>102</v>
      </c>
      <c r="C42" s="92" t="s">
        <v>102</v>
      </c>
      <c r="D42" s="92" t="s">
        <v>103</v>
      </c>
      <c r="E42" s="18">
        <v>15135193.17</v>
      </c>
      <c r="F42" s="18">
        <v>56486259</v>
      </c>
      <c r="G42" s="290">
        <v>16891683.199999999</v>
      </c>
      <c r="H42" s="290">
        <v>59084249</v>
      </c>
      <c r="I42" s="14">
        <f t="shared" si="0"/>
        <v>0.2858914767622755</v>
      </c>
      <c r="J42" s="14">
        <f t="shared" si="19"/>
        <v>0.11605336055317748</v>
      </c>
      <c r="K42" s="8">
        <v>9097</v>
      </c>
      <c r="L42" s="9">
        <v>1434</v>
      </c>
      <c r="M42" s="9">
        <v>7372</v>
      </c>
      <c r="N42" s="9">
        <v>494</v>
      </c>
      <c r="O42" s="14">
        <f t="shared" si="20"/>
        <v>3.4181623783210227E-2</v>
      </c>
      <c r="P42" s="9">
        <v>5867.9999999965466</v>
      </c>
      <c r="Q42" s="9">
        <v>977</v>
      </c>
      <c r="R42" s="9">
        <v>2574</v>
      </c>
      <c r="S42" s="9">
        <v>206</v>
      </c>
      <c r="T42" s="14">
        <f t="shared" si="21"/>
        <v>2.9472936173455838E-2</v>
      </c>
      <c r="U42" s="14">
        <f t="shared" si="6"/>
        <v>-0.13775494223499304</v>
      </c>
      <c r="V42" s="14">
        <f t="shared" si="7"/>
        <v>0.13775494223499304</v>
      </c>
      <c r="W42" s="14">
        <f t="shared" si="22"/>
        <v>1.747260730876684E-2</v>
      </c>
      <c r="X42" s="77">
        <v>1869</v>
      </c>
      <c r="Y42" s="18">
        <v>67428</v>
      </c>
      <c r="Z42" s="78">
        <v>67657</v>
      </c>
      <c r="AA42" s="71">
        <v>17905596.972663175</v>
      </c>
      <c r="AB42" s="86">
        <f t="shared" si="8"/>
        <v>5051298.6057221852</v>
      </c>
      <c r="AC42" s="33">
        <f t="shared" si="23"/>
        <v>3.1720276872089655E-3</v>
      </c>
      <c r="AD42" s="29">
        <f t="shared" si="9"/>
        <v>9.9082677291949667E-3</v>
      </c>
      <c r="AE42" s="29">
        <f t="shared" si="10"/>
        <v>4.3697900755029877E-3</v>
      </c>
      <c r="AF42" s="33">
        <f t="shared" si="11"/>
        <v>1.4278057804697954E-2</v>
      </c>
      <c r="AG42" s="29">
        <f t="shared" si="12"/>
        <v>2.5051995747437463E-2</v>
      </c>
      <c r="AH42" s="29">
        <f t="shared" si="13"/>
        <v>2.620891096315026E-3</v>
      </c>
      <c r="AI42" s="33">
        <f t="shared" si="14"/>
        <v>2.7672886843752489E-2</v>
      </c>
      <c r="AJ42" s="125">
        <f>IF('Datos Mun'!B42="AMM",Y42,0)</f>
        <v>0</v>
      </c>
      <c r="AK42" s="33">
        <f t="shared" si="15"/>
        <v>0</v>
      </c>
      <c r="AL42" s="125">
        <f>IF('Datos Mun'!B42="AMM",0,Y42)</f>
        <v>67428</v>
      </c>
      <c r="AM42" s="33">
        <f t="shared" si="16"/>
        <v>7.616203351771049E-2</v>
      </c>
      <c r="AN42" s="125">
        <f t="shared" si="17"/>
        <v>0</v>
      </c>
      <c r="AO42" s="33">
        <f t="shared" si="18"/>
        <v>0</v>
      </c>
      <c r="AP42" s="97">
        <f>IF('Datos Mun'!B42="AMM",'Art 14 F I'!F44,'Art 14 F I'!M44)</f>
        <v>5.6897469703149559E-2</v>
      </c>
      <c r="AQ42" s="35">
        <f>IF('Datos Mun'!D42="Zona de Crec",'Art 14 F I'!T44,0)</f>
        <v>0</v>
      </c>
    </row>
    <row r="43" spans="1:43">
      <c r="A43" s="17" t="s">
        <v>39</v>
      </c>
      <c r="B43" s="92" t="s">
        <v>104</v>
      </c>
      <c r="C43" s="92" t="s">
        <v>104</v>
      </c>
      <c r="D43" s="92" t="s">
        <v>103</v>
      </c>
      <c r="E43" s="18">
        <v>1234436745.7600002</v>
      </c>
      <c r="F43" s="18">
        <v>2430413136</v>
      </c>
      <c r="G43" s="290">
        <v>1205887491.6800001</v>
      </c>
      <c r="H43" s="290">
        <v>2540450510.1400013</v>
      </c>
      <c r="I43" s="14">
        <f t="shared" si="0"/>
        <v>0.47467466375227479</v>
      </c>
      <c r="J43" s="14">
        <f t="shared" si="19"/>
        <v>-2.3127352760730861E-2</v>
      </c>
      <c r="K43" s="8">
        <v>123398</v>
      </c>
      <c r="L43" s="9">
        <v>19246</v>
      </c>
      <c r="M43" s="9">
        <v>4982</v>
      </c>
      <c r="N43" s="9">
        <v>694</v>
      </c>
      <c r="O43" s="14">
        <f t="shared" si="20"/>
        <v>0.16061061815025374</v>
      </c>
      <c r="P43" s="9">
        <v>88873.999998769097</v>
      </c>
      <c r="Q43" s="9">
        <v>14067</v>
      </c>
      <c r="R43" s="9">
        <v>2251</v>
      </c>
      <c r="S43" s="9">
        <v>390</v>
      </c>
      <c r="T43" s="14">
        <f t="shared" si="21"/>
        <v>0.15160210020375978</v>
      </c>
      <c r="U43" s="14">
        <f t="shared" si="6"/>
        <v>-5.608918046792119E-2</v>
      </c>
      <c r="V43" s="14">
        <f t="shared" si="7"/>
        <v>5.608918046792119E-2</v>
      </c>
      <c r="W43" s="14">
        <f t="shared" si="22"/>
        <v>7.1142581796792507E-3</v>
      </c>
      <c r="X43" s="77">
        <v>324.39999999999998</v>
      </c>
      <c r="Y43" s="18">
        <v>1142994</v>
      </c>
      <c r="Z43" s="78">
        <v>1124835</v>
      </c>
      <c r="AA43" s="71">
        <v>78893922.891016111</v>
      </c>
      <c r="AB43" s="86">
        <f t="shared" si="8"/>
        <v>598319940.36353922</v>
      </c>
      <c r="AC43" s="33">
        <f t="shared" si="23"/>
        <v>0.37572267347101768</v>
      </c>
      <c r="AD43" s="29">
        <f t="shared" si="9"/>
        <v>0.16795827497276314</v>
      </c>
      <c r="AE43" s="29">
        <f t="shared" si="10"/>
        <v>7.584590157801869E-4</v>
      </c>
      <c r="AF43" s="33">
        <f t="shared" si="11"/>
        <v>0.16871673398854334</v>
      </c>
      <c r="AG43" s="29">
        <f t="shared" si="12"/>
        <v>0.1288617851731958</v>
      </c>
      <c r="AH43" s="29">
        <f t="shared" si="13"/>
        <v>1.0671387269518876E-3</v>
      </c>
      <c r="AI43" s="33">
        <f t="shared" si="14"/>
        <v>0.12992892390014768</v>
      </c>
      <c r="AJ43" s="125">
        <f>IF('Datos Mun'!B43="AMM",Y43,0)</f>
        <v>1142994</v>
      </c>
      <c r="AK43" s="33">
        <f t="shared" si="15"/>
        <v>0.23330602910441653</v>
      </c>
      <c r="AL43" s="125">
        <f>IF('Datos Mun'!B43="AMM",0,Y43)</f>
        <v>0</v>
      </c>
      <c r="AM43" s="33">
        <f t="shared" si="16"/>
        <v>0</v>
      </c>
      <c r="AN43" s="125">
        <f t="shared" si="17"/>
        <v>0</v>
      </c>
      <c r="AO43" s="33">
        <f t="shared" si="18"/>
        <v>0</v>
      </c>
      <c r="AP43" s="97">
        <f>IF('Datos Mun'!B43="AMM",'Art 14 F I'!F45,'Art 14 F I'!M45)</f>
        <v>0.33323607197378868</v>
      </c>
      <c r="AQ43" s="35">
        <f>IF('Datos Mun'!D43="Zona de Crec",'Art 14 F I'!T45,0)</f>
        <v>0</v>
      </c>
    </row>
    <row r="44" spans="1:43">
      <c r="A44" s="17" t="s">
        <v>40</v>
      </c>
      <c r="B44" s="92" t="s">
        <v>102</v>
      </c>
      <c r="C44" s="92" t="s">
        <v>102</v>
      </c>
      <c r="D44" s="92" t="s">
        <v>103</v>
      </c>
      <c r="E44" s="18">
        <v>468889</v>
      </c>
      <c r="F44" s="18">
        <v>1354101</v>
      </c>
      <c r="G44" s="290">
        <v>451420</v>
      </c>
      <c r="H44" s="290">
        <v>1346236</v>
      </c>
      <c r="I44" s="14">
        <f t="shared" si="0"/>
        <v>0.33532010732145034</v>
      </c>
      <c r="J44" s="14">
        <f t="shared" si="19"/>
        <v>-3.725615230896865E-2</v>
      </c>
      <c r="K44" s="8">
        <v>244</v>
      </c>
      <c r="L44" s="9">
        <v>43</v>
      </c>
      <c r="M44" s="9">
        <v>84</v>
      </c>
      <c r="N44" s="9">
        <v>27</v>
      </c>
      <c r="O44" s="14">
        <f t="shared" si="20"/>
        <v>9.5179838848569989E-4</v>
      </c>
      <c r="P44" s="9">
        <v>95.999999999399989</v>
      </c>
      <c r="Q44" s="9">
        <v>31</v>
      </c>
      <c r="R44" s="9">
        <v>6</v>
      </c>
      <c r="S44" s="9">
        <v>9</v>
      </c>
      <c r="T44" s="14">
        <f t="shared" si="21"/>
        <v>5.8424890460455434E-4</v>
      </c>
      <c r="U44" s="14">
        <f t="shared" si="6"/>
        <v>-0.38616317103237846</v>
      </c>
      <c r="V44" s="14">
        <f t="shared" si="7"/>
        <v>0.38616317103237846</v>
      </c>
      <c r="W44" s="14">
        <f t="shared" si="22"/>
        <v>4.8980293084852709E-2</v>
      </c>
      <c r="X44" s="77">
        <v>1171.2</v>
      </c>
      <c r="Y44" s="18">
        <v>906</v>
      </c>
      <c r="Z44" s="78">
        <v>1083</v>
      </c>
      <c r="AA44" s="71">
        <v>3555590.9659964349</v>
      </c>
      <c r="AB44" s="86">
        <f t="shared" si="8"/>
        <v>150491.00207443905</v>
      </c>
      <c r="AC44" s="33">
        <f t="shared" si="23"/>
        <v>9.4502753156422046E-5</v>
      </c>
      <c r="AD44" s="29">
        <f t="shared" si="9"/>
        <v>1.331329798103257E-4</v>
      </c>
      <c r="AE44" s="29">
        <f t="shared" si="10"/>
        <v>2.7383082591916001E-3</v>
      </c>
      <c r="AF44" s="33">
        <f t="shared" si="11"/>
        <v>2.8714412390019256E-3</v>
      </c>
      <c r="AG44" s="29">
        <f t="shared" si="12"/>
        <v>4.9661156891387119E-4</v>
      </c>
      <c r="AH44" s="29">
        <f t="shared" si="13"/>
        <v>7.3470439627279062E-3</v>
      </c>
      <c r="AI44" s="33">
        <f t="shared" si="14"/>
        <v>7.8436555316417772E-3</v>
      </c>
      <c r="AJ44" s="125">
        <f>IF('Datos Mun'!B44="AMM",Y44,0)</f>
        <v>0</v>
      </c>
      <c r="AK44" s="33">
        <f t="shared" si="15"/>
        <v>0</v>
      </c>
      <c r="AL44" s="125">
        <f>IF('Datos Mun'!B44="AMM",0,Y44)</f>
        <v>906</v>
      </c>
      <c r="AM44" s="33">
        <f t="shared" si="16"/>
        <v>1.0233553177766759E-3</v>
      </c>
      <c r="AN44" s="125">
        <f t="shared" si="17"/>
        <v>0</v>
      </c>
      <c r="AO44" s="33">
        <f t="shared" si="18"/>
        <v>0</v>
      </c>
      <c r="AP44" s="97">
        <f>IF('Datos Mun'!B44="AMM",'Art 14 F I'!F46,'Art 14 F I'!M46)</f>
        <v>1.2846378065004731E-2</v>
      </c>
      <c r="AQ44" s="35">
        <f>IF('Datos Mun'!D44="Zona de Crec",'Art 14 F I'!T46,0)</f>
        <v>0</v>
      </c>
    </row>
    <row r="45" spans="1:43">
      <c r="A45" s="17" t="s">
        <v>41</v>
      </c>
      <c r="B45" s="92" t="s">
        <v>102</v>
      </c>
      <c r="C45" s="92" t="s">
        <v>102</v>
      </c>
      <c r="D45" s="92" t="s">
        <v>105</v>
      </c>
      <c r="E45" s="18">
        <v>15857010</v>
      </c>
      <c r="F45" s="18">
        <v>81632998</v>
      </c>
      <c r="G45" s="290">
        <v>17252658</v>
      </c>
      <c r="H45" s="290">
        <v>105243330.84</v>
      </c>
      <c r="I45" s="14">
        <f t="shared" si="0"/>
        <v>0.16393112857886435</v>
      </c>
      <c r="J45" s="14">
        <f t="shared" si="19"/>
        <v>8.8014575257252162E-2</v>
      </c>
      <c r="K45" s="8">
        <v>1423</v>
      </c>
      <c r="L45" s="9">
        <v>435</v>
      </c>
      <c r="M45" s="9">
        <v>1115</v>
      </c>
      <c r="N45" s="9">
        <v>155</v>
      </c>
      <c r="O45" s="14">
        <f t="shared" si="20"/>
        <v>7.4041804496497816E-3</v>
      </c>
      <c r="P45" s="9">
        <v>502.9999955589883</v>
      </c>
      <c r="Q45" s="9">
        <v>1210</v>
      </c>
      <c r="R45" s="9">
        <v>251</v>
      </c>
      <c r="S45" s="9">
        <v>178</v>
      </c>
      <c r="T45" s="14">
        <f t="shared" si="21"/>
        <v>1.3450674958247873E-2</v>
      </c>
      <c r="U45" s="14">
        <f t="shared" si="6"/>
        <v>0.81663251587609409</v>
      </c>
      <c r="V45" s="14">
        <f t="shared" si="7"/>
        <v>0</v>
      </c>
      <c r="W45" s="14">
        <f t="shared" si="22"/>
        <v>0</v>
      </c>
      <c r="X45" s="77">
        <v>322.8</v>
      </c>
      <c r="Y45" s="18">
        <v>147624</v>
      </c>
      <c r="Z45" s="78">
        <v>112583</v>
      </c>
      <c r="AA45" s="71">
        <v>5273138.6605691193</v>
      </c>
      <c r="AB45" s="86">
        <f t="shared" si="8"/>
        <v>3646248.6415721742</v>
      </c>
      <c r="AC45" s="33">
        <f t="shared" si="23"/>
        <v>2.289708557797965E-3</v>
      </c>
      <c r="AD45" s="29">
        <f t="shared" si="9"/>
        <v>2.1692740630816248E-2</v>
      </c>
      <c r="AE45" s="29">
        <f t="shared" si="10"/>
        <v>7.547181575026029E-4</v>
      </c>
      <c r="AF45" s="33">
        <f t="shared" si="11"/>
        <v>2.2447458788318851E-2</v>
      </c>
      <c r="AG45" s="29">
        <f t="shared" si="12"/>
        <v>1.1433073714510692E-2</v>
      </c>
      <c r="AH45" s="29">
        <f t="shared" si="13"/>
        <v>0</v>
      </c>
      <c r="AI45" s="33">
        <f t="shared" si="14"/>
        <v>1.1433073714510692E-2</v>
      </c>
      <c r="AJ45" s="125">
        <f>IF('Datos Mun'!B45="AMM",Y45,0)</f>
        <v>0</v>
      </c>
      <c r="AK45" s="33">
        <f t="shared" si="15"/>
        <v>0</v>
      </c>
      <c r="AL45" s="125">
        <f>IF('Datos Mun'!B45="AMM",0,Y45)</f>
        <v>147624</v>
      </c>
      <c r="AM45" s="33">
        <f t="shared" si="16"/>
        <v>0.16674592210978367</v>
      </c>
      <c r="AN45" s="125">
        <f t="shared" si="17"/>
        <v>147624</v>
      </c>
      <c r="AO45" s="33">
        <f t="shared" si="18"/>
        <v>4.9345971335855048E-2</v>
      </c>
      <c r="AP45" s="97">
        <f>IF('Datos Mun'!B45="AMM",'Art 14 F I'!F47,'Art 14 F I'!M47)</f>
        <v>4.531056666658749E-2</v>
      </c>
      <c r="AQ45" s="35">
        <f>IF('Datos Mun'!D45="Zona de Crec",'Art 14 F I'!T47,0)</f>
        <v>3.3452005011276702E-2</v>
      </c>
    </row>
    <row r="46" spans="1:43">
      <c r="A46" s="17" t="s">
        <v>42</v>
      </c>
      <c r="B46" s="92" t="s">
        <v>102</v>
      </c>
      <c r="C46" s="92" t="s">
        <v>102</v>
      </c>
      <c r="D46" s="92" t="s">
        <v>103</v>
      </c>
      <c r="E46" s="18">
        <v>1139783</v>
      </c>
      <c r="F46" s="18">
        <v>7103115</v>
      </c>
      <c r="G46" s="290">
        <v>1075933</v>
      </c>
      <c r="H46" s="290">
        <v>7778604</v>
      </c>
      <c r="I46" s="14">
        <f t="shared" si="0"/>
        <v>0.13831954936901275</v>
      </c>
      <c r="J46" s="14">
        <f t="shared" si="19"/>
        <v>-5.601943527846967E-2</v>
      </c>
      <c r="K46" s="8">
        <v>1104</v>
      </c>
      <c r="L46" s="9">
        <v>264</v>
      </c>
      <c r="M46" s="9">
        <v>999</v>
      </c>
      <c r="N46" s="9">
        <v>49</v>
      </c>
      <c r="O46" s="14">
        <f t="shared" si="20"/>
        <v>4.4677612588684239E-3</v>
      </c>
      <c r="P46" s="9">
        <v>511.00000000414997</v>
      </c>
      <c r="Q46" s="9">
        <v>185</v>
      </c>
      <c r="R46" s="9">
        <v>408</v>
      </c>
      <c r="S46" s="9">
        <v>13</v>
      </c>
      <c r="T46" s="14">
        <f t="shared" si="21"/>
        <v>3.678850456694578E-3</v>
      </c>
      <c r="U46" s="14">
        <f t="shared" si="6"/>
        <v>-0.17657854940388151</v>
      </c>
      <c r="V46" s="14">
        <f t="shared" si="7"/>
        <v>0.17657854940388151</v>
      </c>
      <c r="W46" s="14">
        <f t="shared" si="22"/>
        <v>2.2396928943736797E-2</v>
      </c>
      <c r="X46" s="77">
        <v>1341</v>
      </c>
      <c r="Y46" s="18">
        <v>5389</v>
      </c>
      <c r="Z46" s="78">
        <v>5201</v>
      </c>
      <c r="AA46" s="71">
        <v>2047968.1782241778</v>
      </c>
      <c r="AB46" s="86">
        <f t="shared" si="8"/>
        <v>162975.232766047</v>
      </c>
      <c r="AC46" s="33">
        <f t="shared" si="23"/>
        <v>1.0234238579315125E-4</v>
      </c>
      <c r="AD46" s="29">
        <f t="shared" si="9"/>
        <v>7.9189142185192619E-4</v>
      </c>
      <c r="AE46" s="29">
        <f t="shared" si="10"/>
        <v>3.135306843900218E-3</v>
      </c>
      <c r="AF46" s="33">
        <f t="shared" si="11"/>
        <v>3.927198265752144E-3</v>
      </c>
      <c r="AG46" s="29">
        <f t="shared" si="12"/>
        <v>3.1270228881903912E-3</v>
      </c>
      <c r="AH46" s="29">
        <f t="shared" si="13"/>
        <v>3.3595393415605194E-3</v>
      </c>
      <c r="AI46" s="33">
        <f t="shared" si="14"/>
        <v>6.4865622297509105E-3</v>
      </c>
      <c r="AJ46" s="125">
        <f>IF('Datos Mun'!B46="AMM",Y46,0)</f>
        <v>0</v>
      </c>
      <c r="AK46" s="33">
        <f t="shared" si="15"/>
        <v>0</v>
      </c>
      <c r="AL46" s="125">
        <f>IF('Datos Mun'!B46="AMM",0,Y46)</f>
        <v>5389</v>
      </c>
      <c r="AM46" s="33">
        <f t="shared" si="16"/>
        <v>6.0870439376363205E-3</v>
      </c>
      <c r="AN46" s="125">
        <f t="shared" si="17"/>
        <v>0</v>
      </c>
      <c r="AO46" s="33">
        <f t="shared" si="18"/>
        <v>0</v>
      </c>
      <c r="AP46" s="97">
        <f>IF('Datos Mun'!B46="AMM",'Art 14 F I'!F48,'Art 14 F I'!M48)</f>
        <v>1.2509838856873153E-2</v>
      </c>
      <c r="AQ46" s="35">
        <f>IF('Datos Mun'!D46="Zona de Crec",'Art 14 F I'!T48,0)</f>
        <v>0</v>
      </c>
    </row>
    <row r="47" spans="1:43">
      <c r="A47" s="17" t="s">
        <v>43</v>
      </c>
      <c r="B47" s="92" t="s">
        <v>102</v>
      </c>
      <c r="C47" s="92" t="s">
        <v>102</v>
      </c>
      <c r="D47" s="92" t="s">
        <v>103</v>
      </c>
      <c r="E47" s="18">
        <v>622808</v>
      </c>
      <c r="F47" s="18">
        <v>939947</v>
      </c>
      <c r="G47" s="290">
        <v>222448</v>
      </c>
      <c r="H47" s="290">
        <v>938475</v>
      </c>
      <c r="I47" s="14">
        <f t="shared" si="0"/>
        <v>0.23703135405844589</v>
      </c>
      <c r="J47" s="14">
        <f t="shared" si="19"/>
        <v>-0.64283053525324019</v>
      </c>
      <c r="K47" s="8">
        <v>671</v>
      </c>
      <c r="L47" s="9">
        <v>212</v>
      </c>
      <c r="M47" s="9">
        <v>872</v>
      </c>
      <c r="N47" s="9">
        <v>90</v>
      </c>
      <c r="O47" s="14">
        <f t="shared" si="20"/>
        <v>4.525928718865738E-3</v>
      </c>
      <c r="P47" s="9">
        <v>600.99999999995009</v>
      </c>
      <c r="Q47" s="9">
        <v>181</v>
      </c>
      <c r="R47" s="9">
        <v>344</v>
      </c>
      <c r="S47" s="9">
        <v>35</v>
      </c>
      <c r="T47" s="14">
        <f t="shared" si="21"/>
        <v>4.2886635759841803E-3</v>
      </c>
      <c r="U47" s="14">
        <f t="shared" si="6"/>
        <v>-5.242352622403202E-2</v>
      </c>
      <c r="V47" s="14">
        <f t="shared" si="7"/>
        <v>5.242352622403202E-2</v>
      </c>
      <c r="W47" s="14">
        <f t="shared" si="22"/>
        <v>6.6493127040829483E-3</v>
      </c>
      <c r="X47" s="77">
        <v>683.1</v>
      </c>
      <c r="Y47" s="18">
        <v>2377</v>
      </c>
      <c r="Z47" s="78">
        <v>2987</v>
      </c>
      <c r="AA47" s="71">
        <v>2582856.5578415147</v>
      </c>
      <c r="AB47" s="86">
        <f t="shared" si="8"/>
        <v>52644.577517668549</v>
      </c>
      <c r="AC47" s="33">
        <f t="shared" si="23"/>
        <v>3.3058837044061201E-5</v>
      </c>
      <c r="AD47" s="29">
        <f t="shared" si="9"/>
        <v>3.4929038963481696E-4</v>
      </c>
      <c r="AE47" s="29">
        <f t="shared" si="10"/>
        <v>1.5971126808860842E-3</v>
      </c>
      <c r="AF47" s="33">
        <f t="shared" si="11"/>
        <v>1.9464030705209012E-3</v>
      </c>
      <c r="AG47" s="29">
        <f t="shared" si="12"/>
        <v>3.6453640395865531E-3</v>
      </c>
      <c r="AH47" s="29">
        <f t="shared" si="13"/>
        <v>9.9739690561244224E-4</v>
      </c>
      <c r="AI47" s="33">
        <f t="shared" si="14"/>
        <v>4.6427609451989956E-3</v>
      </c>
      <c r="AJ47" s="125">
        <f>IF('Datos Mun'!B47="AMM",Y47,0)</f>
        <v>0</v>
      </c>
      <c r="AK47" s="33">
        <f t="shared" si="15"/>
        <v>0</v>
      </c>
      <c r="AL47" s="125">
        <f>IF('Datos Mun'!B47="AMM",0,Y47)</f>
        <v>2377</v>
      </c>
      <c r="AM47" s="33">
        <f t="shared" si="16"/>
        <v>2.6848957950939938E-3</v>
      </c>
      <c r="AN47" s="125">
        <f t="shared" si="17"/>
        <v>0</v>
      </c>
      <c r="AO47" s="33">
        <f t="shared" si="18"/>
        <v>0</v>
      </c>
      <c r="AP47" s="97">
        <f>IF('Datos Mun'!B47="AMM",'Art 14 F I'!F49,'Art 14 F I'!M49)</f>
        <v>7.8407431024427529E-3</v>
      </c>
      <c r="AQ47" s="35">
        <f>IF('Datos Mun'!D47="Zona de Crec",'Art 14 F I'!T49,0)</f>
        <v>0</v>
      </c>
    </row>
    <row r="48" spans="1:43">
      <c r="A48" s="17" t="s">
        <v>44</v>
      </c>
      <c r="B48" s="92" t="s">
        <v>102</v>
      </c>
      <c r="C48" s="92" t="s">
        <v>102</v>
      </c>
      <c r="D48" s="92" t="s">
        <v>103</v>
      </c>
      <c r="E48" s="18">
        <v>9313018</v>
      </c>
      <c r="F48" s="18">
        <v>19089007</v>
      </c>
      <c r="G48" s="290">
        <v>7881801</v>
      </c>
      <c r="H48" s="290">
        <v>19310735</v>
      </c>
      <c r="I48" s="14">
        <f t="shared" si="0"/>
        <v>0.4081564476960613</v>
      </c>
      <c r="J48" s="14">
        <f t="shared" si="19"/>
        <v>-0.15367918326798036</v>
      </c>
      <c r="K48" s="8">
        <v>4789</v>
      </c>
      <c r="L48" s="9">
        <v>841</v>
      </c>
      <c r="M48" s="9">
        <v>1534</v>
      </c>
      <c r="N48" s="9">
        <v>182</v>
      </c>
      <c r="O48" s="14">
        <f t="shared" si="20"/>
        <v>1.2100958797318876E-2</v>
      </c>
      <c r="P48" s="9">
        <v>3480.0000000606401</v>
      </c>
      <c r="Q48" s="9">
        <v>651</v>
      </c>
      <c r="R48" s="9">
        <v>448</v>
      </c>
      <c r="S48" s="9">
        <v>54</v>
      </c>
      <c r="T48" s="14">
        <f t="shared" si="21"/>
        <v>9.6638113248825736E-3</v>
      </c>
      <c r="U48" s="14">
        <f t="shared" si="6"/>
        <v>-0.201401187563442</v>
      </c>
      <c r="V48" s="14">
        <f t="shared" si="7"/>
        <v>0.201401187563442</v>
      </c>
      <c r="W48" s="14">
        <f t="shared" si="22"/>
        <v>2.554539100174227E-2</v>
      </c>
      <c r="X48" s="77">
        <v>1541.5</v>
      </c>
      <c r="Y48" s="18">
        <v>34709</v>
      </c>
      <c r="Z48" s="78">
        <v>39096</v>
      </c>
      <c r="AA48" s="71">
        <v>4652120.7671424625</v>
      </c>
      <c r="AB48" s="86">
        <f t="shared" si="8"/>
        <v>3254374.9920360446</v>
      </c>
      <c r="AC48" s="33">
        <f t="shared" si="23"/>
        <v>2.0436264780713579E-3</v>
      </c>
      <c r="AD48" s="29">
        <f t="shared" si="9"/>
        <v>5.1003450289587131E-3</v>
      </c>
      <c r="AE48" s="29">
        <f t="shared" si="10"/>
        <v>3.6040831468099823E-3</v>
      </c>
      <c r="AF48" s="33">
        <f t="shared" si="11"/>
        <v>8.7044281757686949E-3</v>
      </c>
      <c r="AG48" s="29">
        <f t="shared" si="12"/>
        <v>8.2142396261501872E-3</v>
      </c>
      <c r="AH48" s="29">
        <f t="shared" si="13"/>
        <v>3.8318086502613403E-3</v>
      </c>
      <c r="AI48" s="33">
        <f t="shared" si="14"/>
        <v>1.2046048276411528E-2</v>
      </c>
      <c r="AJ48" s="125">
        <f>IF('Datos Mun'!B48="AMM",Y48,0)</f>
        <v>0</v>
      </c>
      <c r="AK48" s="33">
        <f t="shared" si="15"/>
        <v>0</v>
      </c>
      <c r="AL48" s="125">
        <f>IF('Datos Mun'!B48="AMM",0,Y48)</f>
        <v>34709</v>
      </c>
      <c r="AM48" s="33">
        <f t="shared" si="16"/>
        <v>3.9204900358400269E-2</v>
      </c>
      <c r="AN48" s="125">
        <f t="shared" si="17"/>
        <v>0</v>
      </c>
      <c r="AO48" s="33">
        <f t="shared" si="18"/>
        <v>0</v>
      </c>
      <c r="AP48" s="97">
        <f>IF('Datos Mun'!B48="AMM",'Art 14 F I'!F50,'Art 14 F I'!M50)</f>
        <v>2.9261910256463585E-2</v>
      </c>
      <c r="AQ48" s="35">
        <f>IF('Datos Mun'!D48="Zona de Crec",'Art 14 F I'!T50,0)</f>
        <v>0</v>
      </c>
    </row>
    <row r="49" spans="1:43">
      <c r="A49" s="17" t="s">
        <v>45</v>
      </c>
      <c r="B49" s="92" t="s">
        <v>104</v>
      </c>
      <c r="C49" s="92" t="s">
        <v>102</v>
      </c>
      <c r="D49" s="92" t="s">
        <v>105</v>
      </c>
      <c r="E49" s="18">
        <v>20380807.240000002</v>
      </c>
      <c r="F49" s="18">
        <v>119215481</v>
      </c>
      <c r="G49" s="290">
        <v>19038713.890000001</v>
      </c>
      <c r="H49" s="290">
        <v>125378961.84</v>
      </c>
      <c r="I49" s="14">
        <f t="shared" si="0"/>
        <v>0.15184935024662188</v>
      </c>
      <c r="J49" s="14">
        <f t="shared" si="19"/>
        <v>-6.5850843599853479E-2</v>
      </c>
      <c r="K49" s="8">
        <v>2382</v>
      </c>
      <c r="L49" s="9">
        <v>775</v>
      </c>
      <c r="M49" s="9">
        <v>2276</v>
      </c>
      <c r="N49" s="9">
        <v>675</v>
      </c>
      <c r="O49" s="14">
        <f t="shared" si="20"/>
        <v>2.0954130559288194E-2</v>
      </c>
      <c r="P49" s="9">
        <v>1795.99999997852</v>
      </c>
      <c r="Q49" s="9">
        <v>951</v>
      </c>
      <c r="R49" s="9">
        <v>379</v>
      </c>
      <c r="S49" s="9">
        <v>86</v>
      </c>
      <c r="T49" s="14">
        <f t="shared" si="21"/>
        <v>1.0438730367332736E-2</v>
      </c>
      <c r="U49" s="14">
        <f t="shared" si="6"/>
        <v>-0.50182946804702278</v>
      </c>
      <c r="V49" s="14">
        <f t="shared" si="7"/>
        <v>0.50182946804702278</v>
      </c>
      <c r="W49" s="14">
        <f t="shared" si="22"/>
        <v>6.3651213443909643E-2</v>
      </c>
      <c r="X49" s="77">
        <v>1667.4</v>
      </c>
      <c r="Y49" s="18">
        <v>86766</v>
      </c>
      <c r="Z49" s="78">
        <v>61868</v>
      </c>
      <c r="AA49" s="71">
        <v>2336031.8166838326</v>
      </c>
      <c r="AB49" s="86">
        <f t="shared" si="8"/>
        <v>3040482.8596487311</v>
      </c>
      <c r="AC49" s="33">
        <f t="shared" si="23"/>
        <v>1.9093101727077942E-3</v>
      </c>
      <c r="AD49" s="29">
        <f t="shared" si="9"/>
        <v>1.2749907424086885E-2</v>
      </c>
      <c r="AE49" s="29">
        <f t="shared" si="10"/>
        <v>3.8984419325273855E-3</v>
      </c>
      <c r="AF49" s="33">
        <f t="shared" si="11"/>
        <v>1.6648349356614269E-2</v>
      </c>
      <c r="AG49" s="29">
        <f t="shared" si="12"/>
        <v>8.8729208122328256E-3</v>
      </c>
      <c r="AH49" s="29">
        <f t="shared" si="13"/>
        <v>9.5476820165864458E-3</v>
      </c>
      <c r="AI49" s="33">
        <f t="shared" si="14"/>
        <v>1.8420602828819271E-2</v>
      </c>
      <c r="AJ49" s="125">
        <f>IF('Datos Mun'!B49="AMM",Y49,0)</f>
        <v>86766</v>
      </c>
      <c r="AK49" s="33">
        <f t="shared" si="15"/>
        <v>1.7710531220000984E-2</v>
      </c>
      <c r="AL49" s="125">
        <f>IF('Datos Mun'!B49="AMM",0,Y49)</f>
        <v>0</v>
      </c>
      <c r="AM49" s="33">
        <f t="shared" si="16"/>
        <v>0</v>
      </c>
      <c r="AN49" s="125">
        <f t="shared" si="17"/>
        <v>86766</v>
      </c>
      <c r="AO49" s="33">
        <f t="shared" si="18"/>
        <v>2.9003092647041127E-2</v>
      </c>
      <c r="AP49" s="97">
        <f>IF('Datos Mun'!B49="AMM",'Art 14 F I'!F51,'Art 14 F I'!M51)</f>
        <v>1.2340589395739945E-2</v>
      </c>
      <c r="AQ49" s="35">
        <f>IF('Datos Mun'!D49="Zona de Crec",'Art 14 F I'!T51,0)</f>
        <v>3.3823946315185212E-2</v>
      </c>
    </row>
    <row r="50" spans="1:43">
      <c r="A50" s="17" t="s">
        <v>46</v>
      </c>
      <c r="B50" s="92" t="s">
        <v>104</v>
      </c>
      <c r="C50" s="92" t="s">
        <v>104</v>
      </c>
      <c r="D50" s="92" t="s">
        <v>103</v>
      </c>
      <c r="E50" s="18">
        <v>291911120</v>
      </c>
      <c r="F50" s="18">
        <v>642295900</v>
      </c>
      <c r="G50" s="290">
        <v>306694612.58999997</v>
      </c>
      <c r="H50" s="290">
        <v>658439418</v>
      </c>
      <c r="I50" s="14">
        <f t="shared" si="0"/>
        <v>0.46579017629530794</v>
      </c>
      <c r="J50" s="14">
        <f t="shared" si="19"/>
        <v>5.0643814425431873E-2</v>
      </c>
      <c r="K50" s="8">
        <v>40580</v>
      </c>
      <c r="L50" s="9">
        <v>4217</v>
      </c>
      <c r="M50" s="9">
        <v>161</v>
      </c>
      <c r="N50" s="9">
        <v>91</v>
      </c>
      <c r="O50" s="14">
        <f t="shared" si="20"/>
        <v>4.0108812949691139E-2</v>
      </c>
      <c r="P50" s="9">
        <v>18155.999999995089</v>
      </c>
      <c r="Q50" s="9">
        <v>3293</v>
      </c>
      <c r="R50" s="9">
        <v>78</v>
      </c>
      <c r="S50" s="9">
        <v>74</v>
      </c>
      <c r="T50" s="14">
        <f t="shared" si="21"/>
        <v>3.0476591267156274E-2</v>
      </c>
      <c r="U50" s="14">
        <f t="shared" si="6"/>
        <v>-0.24015225019540348</v>
      </c>
      <c r="V50" s="14">
        <f t="shared" si="7"/>
        <v>0.24015225019540348</v>
      </c>
      <c r="W50" s="14">
        <f t="shared" si="22"/>
        <v>3.0460511208541624E-2</v>
      </c>
      <c r="X50" s="77">
        <v>60.1</v>
      </c>
      <c r="Y50" s="18">
        <v>412199</v>
      </c>
      <c r="Z50" s="78">
        <v>474163</v>
      </c>
      <c r="AA50" s="71">
        <v>19632444.547531538</v>
      </c>
      <c r="AB50" s="86">
        <f t="shared" si="8"/>
        <v>146445875.47846743</v>
      </c>
      <c r="AC50" s="33">
        <f t="shared" si="23"/>
        <v>9.1962564075904835E-2</v>
      </c>
      <c r="AD50" s="29">
        <f t="shared" si="9"/>
        <v>6.0570950490989442E-2</v>
      </c>
      <c r="AE50" s="29">
        <f t="shared" si="10"/>
        <v>1.4051598905175474E-4</v>
      </c>
      <c r="AF50" s="33">
        <f t="shared" si="11"/>
        <v>6.07114664800412E-2</v>
      </c>
      <c r="AG50" s="29">
        <f t="shared" si="12"/>
        <v>2.5905102577082832E-2</v>
      </c>
      <c r="AH50" s="29">
        <f t="shared" si="13"/>
        <v>4.5690766812812433E-3</v>
      </c>
      <c r="AI50" s="33">
        <f t="shared" si="14"/>
        <v>3.0474179258364077E-2</v>
      </c>
      <c r="AJ50" s="125">
        <f>IF('Datos Mun'!B50="AMM",Y50,0)</f>
        <v>412199</v>
      </c>
      <c r="AK50" s="33">
        <f t="shared" si="15"/>
        <v>8.4137372454108586E-2</v>
      </c>
      <c r="AL50" s="125">
        <f>IF('Datos Mun'!B50="AMM",0,Y50)</f>
        <v>0</v>
      </c>
      <c r="AM50" s="33">
        <f t="shared" si="16"/>
        <v>0</v>
      </c>
      <c r="AN50" s="125">
        <f t="shared" si="17"/>
        <v>0</v>
      </c>
      <c r="AO50" s="33">
        <f t="shared" si="18"/>
        <v>0</v>
      </c>
      <c r="AP50" s="97">
        <f>IF('Datos Mun'!B50="AMM",'Art 14 F I'!F52,'Art 14 F I'!M52)</f>
        <v>8.7303703419136111E-2</v>
      </c>
      <c r="AQ50" s="35">
        <f>IF('Datos Mun'!D50="Zona de Crec",'Art 14 F I'!T52,0)</f>
        <v>0</v>
      </c>
    </row>
    <row r="51" spans="1:43">
      <c r="A51" s="17" t="s">
        <v>47</v>
      </c>
      <c r="B51" s="92" t="s">
        <v>104</v>
      </c>
      <c r="C51" s="92" t="s">
        <v>104</v>
      </c>
      <c r="D51" s="92" t="s">
        <v>103</v>
      </c>
      <c r="E51" s="18">
        <v>707374780.13</v>
      </c>
      <c r="F51" s="18">
        <v>1119704293</v>
      </c>
      <c r="G51" s="290">
        <v>671271036.40999997</v>
      </c>
      <c r="H51" s="290">
        <v>1139151243</v>
      </c>
      <c r="I51" s="14">
        <f t="shared" si="0"/>
        <v>0.58927297014765223</v>
      </c>
      <c r="J51" s="14">
        <f t="shared" si="19"/>
        <v>-5.1039059822524283E-2</v>
      </c>
      <c r="K51" s="8">
        <v>9903</v>
      </c>
      <c r="L51" s="9">
        <v>1283</v>
      </c>
      <c r="M51" s="9">
        <v>140</v>
      </c>
      <c r="N51" s="9">
        <v>21</v>
      </c>
      <c r="O51" s="14">
        <f t="shared" si="20"/>
        <v>1.0837167470654441E-2</v>
      </c>
      <c r="P51" s="9">
        <v>4908.0000000006539</v>
      </c>
      <c r="Q51" s="9">
        <v>1055</v>
      </c>
      <c r="R51" s="9">
        <v>49</v>
      </c>
      <c r="S51" s="9">
        <v>43</v>
      </c>
      <c r="T51" s="14">
        <f t="shared" si="21"/>
        <v>9.9358403416608034E-3</v>
      </c>
      <c r="U51" s="14">
        <f t="shared" si="6"/>
        <v>-8.3169991737629526E-2</v>
      </c>
      <c r="V51" s="14">
        <f t="shared" si="7"/>
        <v>8.3169991737629526E-2</v>
      </c>
      <c r="W51" s="14">
        <f t="shared" si="22"/>
        <v>1.0549143151800739E-2</v>
      </c>
      <c r="X51" s="77">
        <v>70.8</v>
      </c>
      <c r="Y51" s="18">
        <v>132169</v>
      </c>
      <c r="Z51" s="78">
        <v>137614</v>
      </c>
      <c r="AA51" s="71">
        <v>42764449.302244864</v>
      </c>
      <c r="AB51" s="86">
        <f t="shared" si="8"/>
        <v>402431969.88703114</v>
      </c>
      <c r="AC51" s="33">
        <f t="shared" si="23"/>
        <v>0.25271231228612001</v>
      </c>
      <c r="AD51" s="29">
        <f t="shared" si="9"/>
        <v>1.9421691841667699E-2</v>
      </c>
      <c r="AE51" s="29">
        <f t="shared" si="10"/>
        <v>1.6553297878309876E-4</v>
      </c>
      <c r="AF51" s="33">
        <f t="shared" si="11"/>
        <v>1.9587224820450798E-2</v>
      </c>
      <c r="AG51" s="29">
        <f t="shared" si="12"/>
        <v>8.4454642904116823E-3</v>
      </c>
      <c r="AH51" s="29">
        <f t="shared" si="13"/>
        <v>1.5823714727701108E-3</v>
      </c>
      <c r="AI51" s="33">
        <f t="shared" si="14"/>
        <v>1.0027835763181793E-2</v>
      </c>
      <c r="AJ51" s="125">
        <f>IF('Datos Mun'!B51="AMM",Y51,0)</f>
        <v>132169</v>
      </c>
      <c r="AK51" s="33">
        <f t="shared" si="15"/>
        <v>2.6978115861239542E-2</v>
      </c>
      <c r="AL51" s="125">
        <f>IF('Datos Mun'!B51="AMM",0,Y51)</f>
        <v>0</v>
      </c>
      <c r="AM51" s="33">
        <f t="shared" si="16"/>
        <v>0</v>
      </c>
      <c r="AN51" s="125">
        <f t="shared" si="17"/>
        <v>0</v>
      </c>
      <c r="AO51" s="33">
        <f t="shared" si="18"/>
        <v>0</v>
      </c>
      <c r="AP51" s="97">
        <f>IF('Datos Mun'!B51="AMM",'Art 14 F I'!F53,'Art 14 F I'!M53)</f>
        <v>0.16978959176988329</v>
      </c>
      <c r="AQ51" s="35">
        <f>IF('Datos Mun'!D51="Zona de Crec",'Art 14 F I'!T53,0)</f>
        <v>0</v>
      </c>
    </row>
    <row r="52" spans="1:43">
      <c r="A52" s="17" t="s">
        <v>48</v>
      </c>
      <c r="B52" s="92" t="s">
        <v>104</v>
      </c>
      <c r="C52" s="92" t="s">
        <v>104</v>
      </c>
      <c r="D52" s="92" t="s">
        <v>105</v>
      </c>
      <c r="E52" s="18">
        <v>114179634.2</v>
      </c>
      <c r="F52" s="18">
        <v>274755070</v>
      </c>
      <c r="G52" s="290">
        <v>112141719.38</v>
      </c>
      <c r="H52" s="290">
        <v>289861941.84000015</v>
      </c>
      <c r="I52" s="14">
        <f t="shared" si="0"/>
        <v>0.38687976306286082</v>
      </c>
      <c r="J52" s="14">
        <f t="shared" si="19"/>
        <v>-1.7848321500402983E-2</v>
      </c>
      <c r="K52" s="8">
        <v>25924</v>
      </c>
      <c r="L52" s="9">
        <v>4306</v>
      </c>
      <c r="M52" s="9">
        <v>2328</v>
      </c>
      <c r="N52" s="9">
        <v>359</v>
      </c>
      <c r="O52" s="14">
        <f t="shared" si="20"/>
        <v>4.1123629604477997E-2</v>
      </c>
      <c r="P52" s="9">
        <v>21053.000000219407</v>
      </c>
      <c r="Q52" s="9">
        <v>3591</v>
      </c>
      <c r="R52" s="9">
        <v>756</v>
      </c>
      <c r="S52" s="9">
        <v>199</v>
      </c>
      <c r="T52" s="14">
        <f t="shared" si="21"/>
        <v>4.2272622844828737E-2</v>
      </c>
      <c r="U52" s="14">
        <f t="shared" si="6"/>
        <v>2.7939976393173842E-2</v>
      </c>
      <c r="V52" s="14">
        <f t="shared" si="7"/>
        <v>0</v>
      </c>
      <c r="W52" s="14">
        <f t="shared" si="22"/>
        <v>0</v>
      </c>
      <c r="X52" s="77">
        <v>915.8</v>
      </c>
      <c r="Y52" s="18">
        <v>306322</v>
      </c>
      <c r="Z52" s="78">
        <v>322051</v>
      </c>
      <c r="AA52" s="71">
        <v>10475655.416298293</v>
      </c>
      <c r="AB52" s="86">
        <f t="shared" si="8"/>
        <v>45770821.355553754</v>
      </c>
      <c r="AC52" s="33">
        <f t="shared" si="23"/>
        <v>2.8742373781198108E-2</v>
      </c>
      <c r="AD52" s="29">
        <f t="shared" si="9"/>
        <v>4.5012760089910141E-2</v>
      </c>
      <c r="AE52" s="29">
        <f t="shared" si="10"/>
        <v>2.1411737566322292E-3</v>
      </c>
      <c r="AF52" s="33">
        <f t="shared" si="11"/>
        <v>4.7153933846542373E-2</v>
      </c>
      <c r="AG52" s="29">
        <f t="shared" si="12"/>
        <v>3.5931729418104429E-2</v>
      </c>
      <c r="AH52" s="29">
        <f t="shared" si="13"/>
        <v>0</v>
      </c>
      <c r="AI52" s="33">
        <f t="shared" si="14"/>
        <v>3.5931729418104429E-2</v>
      </c>
      <c r="AJ52" s="125">
        <f>IF('Datos Mun'!B52="AMM",Y52,0)</f>
        <v>306322</v>
      </c>
      <c r="AK52" s="33">
        <f t="shared" si="15"/>
        <v>6.252593578559737E-2</v>
      </c>
      <c r="AL52" s="125">
        <f>IF('Datos Mun'!B52="AMM",0,Y52)</f>
        <v>0</v>
      </c>
      <c r="AM52" s="33">
        <f t="shared" si="16"/>
        <v>0</v>
      </c>
      <c r="AN52" s="125">
        <f t="shared" si="17"/>
        <v>306322</v>
      </c>
      <c r="AO52" s="33">
        <f t="shared" si="18"/>
        <v>0.10239362591138156</v>
      </c>
      <c r="AP52" s="97">
        <f>IF('Datos Mun'!B52="AMM",'Art 14 F I'!F54,'Art 14 F I'!M54)</f>
        <v>4.4608639940970266E-2</v>
      </c>
      <c r="AQ52" s="35">
        <f>IF('Datos Mun'!D52="Zona de Crec",'Art 14 F I'!T54,0)</f>
        <v>0.12226646509101639</v>
      </c>
    </row>
    <row r="53" spans="1:43">
      <c r="A53" s="17" t="s">
        <v>49</v>
      </c>
      <c r="B53" s="92" t="s">
        <v>104</v>
      </c>
      <c r="C53" s="92" t="s">
        <v>102</v>
      </c>
      <c r="D53" s="92" t="s">
        <v>105</v>
      </c>
      <c r="E53" s="18">
        <v>77757928.799999997</v>
      </c>
      <c r="F53" s="18">
        <v>175563518</v>
      </c>
      <c r="G53" s="290">
        <v>85362095.170000002</v>
      </c>
      <c r="H53" s="290">
        <v>198838484.40000001</v>
      </c>
      <c r="I53" s="14">
        <f t="shared" si="0"/>
        <v>0.4293036905183733</v>
      </c>
      <c r="J53" s="14">
        <f t="shared" si="19"/>
        <v>9.7792810165488936E-2</v>
      </c>
      <c r="K53" s="8">
        <v>4577</v>
      </c>
      <c r="L53" s="9">
        <v>666</v>
      </c>
      <c r="M53" s="9">
        <v>1225</v>
      </c>
      <c r="N53" s="9">
        <v>325</v>
      </c>
      <c r="O53" s="14">
        <f t="shared" si="20"/>
        <v>1.3356739601046762E-2</v>
      </c>
      <c r="P53" s="9">
        <v>2792.0000000464884</v>
      </c>
      <c r="Q53" s="9">
        <v>715</v>
      </c>
      <c r="R53" s="9">
        <v>322</v>
      </c>
      <c r="S53" s="9">
        <v>122</v>
      </c>
      <c r="T53" s="14">
        <f t="shared" si="21"/>
        <v>1.1445854704936189E-2</v>
      </c>
      <c r="U53" s="14">
        <f t="shared" si="6"/>
        <v>-0.14306522049443993</v>
      </c>
      <c r="V53" s="14">
        <f t="shared" si="7"/>
        <v>0.14306522049443993</v>
      </c>
      <c r="W53" s="14">
        <f t="shared" si="22"/>
        <v>1.8146154153781797E-2</v>
      </c>
      <c r="X53" s="77">
        <v>739.2</v>
      </c>
      <c r="Y53" s="18">
        <v>46784</v>
      </c>
      <c r="Z53" s="78">
        <v>46955</v>
      </c>
      <c r="AA53" s="71">
        <v>4180345.0020391755</v>
      </c>
      <c r="AB53" s="86">
        <f t="shared" si="8"/>
        <v>41504564.130528174</v>
      </c>
      <c r="AC53" s="33">
        <f t="shared" si="23"/>
        <v>2.606332288858083E-2</v>
      </c>
      <c r="AD53" s="29">
        <f t="shared" si="9"/>
        <v>6.8747166969605712E-3</v>
      </c>
      <c r="AE53" s="29">
        <f t="shared" si="10"/>
        <v>1.7282765242438787E-3</v>
      </c>
      <c r="AF53" s="33">
        <f t="shared" si="11"/>
        <v>8.6029932212044503E-3</v>
      </c>
      <c r="AG53" s="29">
        <f t="shared" si="12"/>
        <v>9.7289764991957614E-3</v>
      </c>
      <c r="AH53" s="29">
        <f t="shared" si="13"/>
        <v>2.7219231230672697E-3</v>
      </c>
      <c r="AI53" s="33">
        <f t="shared" si="14"/>
        <v>1.2450899622263031E-2</v>
      </c>
      <c r="AJ53" s="125">
        <f>IF('Datos Mun'!B53="AMM",Y53,0)</f>
        <v>46784</v>
      </c>
      <c r="AK53" s="33">
        <f t="shared" si="15"/>
        <v>9.5494720581394323E-3</v>
      </c>
      <c r="AL53" s="125">
        <f>IF('Datos Mun'!B53="AMM",0,Y53)</f>
        <v>0</v>
      </c>
      <c r="AM53" s="33">
        <f t="shared" si="16"/>
        <v>0</v>
      </c>
      <c r="AN53" s="125">
        <f t="shared" si="17"/>
        <v>46784</v>
      </c>
      <c r="AO53" s="33">
        <f t="shared" si="18"/>
        <v>1.5638391609607127E-2</v>
      </c>
      <c r="AP53" s="97">
        <f>IF('Datos Mun'!B53="AMM",'Art 14 F I'!F55,'Art 14 F I'!M55)</f>
        <v>2.3223125541195981E-2</v>
      </c>
      <c r="AQ53" s="35">
        <f>IF('Datos Mun'!D53="Zona de Crec",'Art 14 F I'!T55,0)</f>
        <v>6.3651558802157254E-2</v>
      </c>
    </row>
    <row r="54" spans="1:43">
      <c r="A54" s="17" t="s">
        <v>50</v>
      </c>
      <c r="B54" s="92" t="s">
        <v>102</v>
      </c>
      <c r="C54" s="92" t="s">
        <v>102</v>
      </c>
      <c r="D54" s="92" t="s">
        <v>103</v>
      </c>
      <c r="E54" s="18">
        <v>1324391</v>
      </c>
      <c r="F54" s="18">
        <v>4524382</v>
      </c>
      <c r="G54" s="290">
        <v>1456869</v>
      </c>
      <c r="H54" s="290">
        <v>4541705</v>
      </c>
      <c r="I54" s="14">
        <f t="shared" si="0"/>
        <v>0.32077578794747785</v>
      </c>
      <c r="J54" s="14">
        <f t="shared" si="19"/>
        <v>0.10002937199059794</v>
      </c>
      <c r="K54" s="8">
        <v>477</v>
      </c>
      <c r="L54" s="9">
        <v>85</v>
      </c>
      <c r="M54" s="9">
        <v>641</v>
      </c>
      <c r="N54" s="9">
        <v>46</v>
      </c>
      <c r="O54" s="14">
        <f t="shared" si="20"/>
        <v>2.7085182769833877E-3</v>
      </c>
      <c r="P54" s="9">
        <v>265.99999999676999</v>
      </c>
      <c r="Q54" s="9">
        <v>57</v>
      </c>
      <c r="R54" s="9">
        <v>132</v>
      </c>
      <c r="S54" s="9">
        <v>7</v>
      </c>
      <c r="T54" s="14">
        <f t="shared" si="21"/>
        <v>1.3692833921487941E-3</v>
      </c>
      <c r="U54" s="14">
        <f t="shared" si="6"/>
        <v>-0.49445296205501943</v>
      </c>
      <c r="V54" s="14">
        <f t="shared" si="7"/>
        <v>0.49445296205501943</v>
      </c>
      <c r="W54" s="14">
        <f t="shared" si="22"/>
        <v>6.2715589716601364E-2</v>
      </c>
      <c r="X54" s="77">
        <v>1764.9</v>
      </c>
      <c r="Y54" s="18">
        <v>1552</v>
      </c>
      <c r="Z54" s="78">
        <v>1942</v>
      </c>
      <c r="AA54" s="71">
        <v>1539148.4831484745</v>
      </c>
      <c r="AB54" s="86">
        <f t="shared" si="8"/>
        <v>469117.61278358015</v>
      </c>
      <c r="AC54" s="33">
        <f t="shared" si="23"/>
        <v>2.9458841625818778E-4</v>
      </c>
      <c r="AD54" s="29">
        <f t="shared" si="9"/>
        <v>2.2806002722475219E-4</v>
      </c>
      <c r="AE54" s="29">
        <f t="shared" si="10"/>
        <v>4.1264004838176696E-3</v>
      </c>
      <c r="AF54" s="33">
        <f t="shared" si="11"/>
        <v>4.354460511042422E-3</v>
      </c>
      <c r="AG54" s="29">
        <f t="shared" si="12"/>
        <v>1.163890883326475E-3</v>
      </c>
      <c r="AH54" s="29">
        <f t="shared" si="13"/>
        <v>9.4073384574902049E-3</v>
      </c>
      <c r="AI54" s="33">
        <f t="shared" si="14"/>
        <v>1.057122934081668E-2</v>
      </c>
      <c r="AJ54" s="125">
        <f>IF('Datos Mun'!B54="AMM",Y54,0)</f>
        <v>0</v>
      </c>
      <c r="AK54" s="33">
        <f t="shared" si="15"/>
        <v>0</v>
      </c>
      <c r="AL54" s="125">
        <f>IF('Datos Mun'!B54="AMM",0,Y54)</f>
        <v>1552</v>
      </c>
      <c r="AM54" s="33">
        <f t="shared" si="16"/>
        <v>1.7530325090390738E-3</v>
      </c>
      <c r="AN54" s="125">
        <f t="shared" si="17"/>
        <v>0</v>
      </c>
      <c r="AO54" s="33">
        <f t="shared" si="18"/>
        <v>0</v>
      </c>
      <c r="AP54" s="97">
        <f>IF('Datos Mun'!B54="AMM",'Art 14 F I'!F56,'Art 14 F I'!M56)</f>
        <v>1.8278427512261317E-2</v>
      </c>
      <c r="AQ54" s="35">
        <f>IF('Datos Mun'!D54="Zona de Crec",'Art 14 F I'!T56,0)</f>
        <v>0</v>
      </c>
    </row>
    <row r="55" spans="1:43">
      <c r="A55" s="17" t="s">
        <v>51</v>
      </c>
      <c r="B55" s="92" t="s">
        <v>102</v>
      </c>
      <c r="C55" s="92" t="s">
        <v>102</v>
      </c>
      <c r="D55" s="92" t="s">
        <v>103</v>
      </c>
      <c r="E55" s="73">
        <v>442199</v>
      </c>
      <c r="F55" s="18">
        <v>2896776</v>
      </c>
      <c r="G55" s="290">
        <v>668168</v>
      </c>
      <c r="H55" s="290">
        <v>3020813</v>
      </c>
      <c r="I55" s="14">
        <f t="shared" si="0"/>
        <v>0.22118813710084007</v>
      </c>
      <c r="J55" s="14">
        <f t="shared" si="19"/>
        <v>0.51101201042969346</v>
      </c>
      <c r="K55" s="8">
        <v>765</v>
      </c>
      <c r="L55" s="9">
        <v>123</v>
      </c>
      <c r="M55" s="9">
        <v>468</v>
      </c>
      <c r="N55" s="9">
        <v>34</v>
      </c>
      <c r="O55" s="14">
        <f t="shared" si="20"/>
        <v>2.4367839703679983E-3</v>
      </c>
      <c r="P55" s="9">
        <v>609.99999999842794</v>
      </c>
      <c r="Q55" s="9">
        <v>85</v>
      </c>
      <c r="R55" s="9">
        <v>106</v>
      </c>
      <c r="S55" s="9">
        <v>11</v>
      </c>
      <c r="T55" s="14">
        <f t="shared" si="21"/>
        <v>1.7783548685878572E-3</v>
      </c>
      <c r="U55" s="14">
        <f t="shared" si="6"/>
        <v>-0.27020413372167185</v>
      </c>
      <c r="V55" s="14">
        <f t="shared" si="7"/>
        <v>0.27020413372167185</v>
      </c>
      <c r="W55" s="14">
        <f t="shared" si="22"/>
        <v>3.4272242034485825E-2</v>
      </c>
      <c r="X55" s="77">
        <v>879.3</v>
      </c>
      <c r="Y55" s="18">
        <v>3573</v>
      </c>
      <c r="Z55" s="78">
        <v>4567</v>
      </c>
      <c r="AA55" s="71">
        <v>3547664.3080507987</v>
      </c>
      <c r="AB55" s="86">
        <f t="shared" si="8"/>
        <v>154119.08833268433</v>
      </c>
      <c r="AC55" s="33">
        <f t="shared" si="23"/>
        <v>9.6781056412875653E-5</v>
      </c>
      <c r="AD55" s="29">
        <f t="shared" si="9"/>
        <v>5.2503767865595327E-4</v>
      </c>
      <c r="AE55" s="29">
        <f t="shared" si="10"/>
        <v>2.0558354271748409E-3</v>
      </c>
      <c r="AF55" s="33">
        <f t="shared" si="11"/>
        <v>2.5808731058307942E-3</v>
      </c>
      <c r="AG55" s="29">
        <f t="shared" si="12"/>
        <v>1.5116016382996785E-3</v>
      </c>
      <c r="AH55" s="29">
        <f t="shared" si="13"/>
        <v>5.1408363051728733E-3</v>
      </c>
      <c r="AI55" s="33">
        <f t="shared" si="14"/>
        <v>6.6524379434725516E-3</v>
      </c>
      <c r="AJ55" s="125">
        <f>IF('Datos Mun'!B55="AMM",Y55,0)</f>
        <v>0</v>
      </c>
      <c r="AK55" s="33">
        <f t="shared" si="15"/>
        <v>0</v>
      </c>
      <c r="AL55" s="125">
        <f>IF('Datos Mun'!B55="AMM",0,Y55)</f>
        <v>3573</v>
      </c>
      <c r="AM55" s="33">
        <f t="shared" si="16"/>
        <v>4.0358151770596724E-3</v>
      </c>
      <c r="AN55" s="125">
        <f t="shared" si="17"/>
        <v>0</v>
      </c>
      <c r="AO55" s="33">
        <f t="shared" si="18"/>
        <v>0</v>
      </c>
      <c r="AP55" s="97">
        <f>IF('Datos Mun'!B55="AMM",'Art 14 F I'!F57,'Art 14 F I'!M57)</f>
        <v>1.1106019875425973E-2</v>
      </c>
      <c r="AQ55" s="35">
        <f>IF('Datos Mun'!D55="Zona de Crec",'Art 14 F I'!T57,0)</f>
        <v>0</v>
      </c>
    </row>
    <row r="56" spans="1:43" ht="13.8" thickBot="1">
      <c r="A56" s="10" t="s">
        <v>52</v>
      </c>
      <c r="B56" s="93"/>
      <c r="C56" s="93"/>
      <c r="D56" s="93"/>
      <c r="E56" s="74">
        <f t="shared" ref="E56:K56" si="24">SUM(E5:E55)</f>
        <v>3470350433.75</v>
      </c>
      <c r="F56" s="19">
        <f t="shared" si="24"/>
        <v>7728371151</v>
      </c>
      <c r="G56" s="19">
        <f t="shared" si="24"/>
        <v>3390132264.2400002</v>
      </c>
      <c r="H56" s="19">
        <f t="shared" si="24"/>
        <v>8177497337.8300028</v>
      </c>
      <c r="I56" s="21">
        <f t="shared" si="24"/>
        <v>14.669270374142426</v>
      </c>
      <c r="J56" s="21">
        <f t="shared" si="24"/>
        <v>-0.44265484889555506</v>
      </c>
      <c r="K56" s="11">
        <f t="shared" si="24"/>
        <v>427511</v>
      </c>
      <c r="L56" s="12">
        <f t="shared" ref="L56:T56" si="25">SUM(L5:L55)</f>
        <v>73242</v>
      </c>
      <c r="M56" s="12">
        <f t="shared" si="25"/>
        <v>123116</v>
      </c>
      <c r="N56" s="12">
        <f t="shared" si="25"/>
        <v>13726</v>
      </c>
      <c r="O56" s="21">
        <f t="shared" si="25"/>
        <v>1</v>
      </c>
      <c r="P56" s="12">
        <f t="shared" si="25"/>
        <v>317877.99999509094</v>
      </c>
      <c r="Q56" s="12">
        <f t="shared" si="25"/>
        <v>63980</v>
      </c>
      <c r="R56" s="12">
        <f t="shared" si="25"/>
        <v>50062</v>
      </c>
      <c r="S56" s="12">
        <f t="shared" si="25"/>
        <v>6291</v>
      </c>
      <c r="T56" s="21">
        <f t="shared" si="25"/>
        <v>1.0000000000000002</v>
      </c>
      <c r="U56" s="21">
        <f t="shared" ref="U56:Z56" si="26">SUM(U5:U55)</f>
        <v>4.062968648850922</v>
      </c>
      <c r="V56" s="21">
        <f t="shared" si="26"/>
        <v>7.8840518647651878</v>
      </c>
      <c r="W56" s="21">
        <f t="shared" si="26"/>
        <v>1</v>
      </c>
      <c r="X56" s="79">
        <f t="shared" si="26"/>
        <v>64156.400000000016</v>
      </c>
      <c r="Y56" s="19">
        <f>SUM(Y5:Y55)</f>
        <v>5784442</v>
      </c>
      <c r="Z56" s="80">
        <f t="shared" si="26"/>
        <v>5610153</v>
      </c>
      <c r="AA56" s="231">
        <f t="shared" ref="AA56:AH56" si="27">SUM(AA5:AA55)</f>
        <v>423610039.11140221</v>
      </c>
      <c r="AB56" s="87">
        <f t="shared" si="27"/>
        <v>1592450982.0930254</v>
      </c>
      <c r="AC56" s="34">
        <f t="shared" si="27"/>
        <v>0.99999999999999989</v>
      </c>
      <c r="AD56" s="30">
        <f t="shared" si="27"/>
        <v>0.8500000000000002</v>
      </c>
      <c r="AE56" s="30">
        <f t="shared" si="27"/>
        <v>0.14999999999999997</v>
      </c>
      <c r="AF56" s="34">
        <f t="shared" si="27"/>
        <v>1.0000000000000002</v>
      </c>
      <c r="AG56" s="30">
        <f t="shared" si="27"/>
        <v>0.8500000000000002</v>
      </c>
      <c r="AH56" s="30">
        <f t="shared" si="27"/>
        <v>0.14999999999999994</v>
      </c>
      <c r="AI56" s="34">
        <f t="shared" ref="AI56:AO56" si="28">SUM(AI5:AI55)</f>
        <v>1</v>
      </c>
      <c r="AJ56" s="126">
        <f t="shared" si="28"/>
        <v>4899119</v>
      </c>
      <c r="AK56" s="34">
        <f t="shared" si="28"/>
        <v>1</v>
      </c>
      <c r="AL56" s="126">
        <f t="shared" si="28"/>
        <v>885323</v>
      </c>
      <c r="AM56" s="34">
        <f t="shared" si="28"/>
        <v>0.99999999999999989</v>
      </c>
      <c r="AN56" s="126">
        <f t="shared" si="28"/>
        <v>2991612</v>
      </c>
      <c r="AO56" s="34">
        <f t="shared" si="28"/>
        <v>1</v>
      </c>
      <c r="AP56" s="98">
        <f>SUM(AP5:AP55)</f>
        <v>2</v>
      </c>
      <c r="AQ56" s="36">
        <f>SUM(AQ5:AQ55)</f>
        <v>0.99999999999999989</v>
      </c>
    </row>
    <row r="57" spans="1:43" ht="13.8" thickTop="1">
      <c r="Y57" s="298">
        <f>Y56-Y43-Y11-Y35</f>
        <v>4154933</v>
      </c>
    </row>
    <row r="61" spans="1:43">
      <c r="AE61" s="94"/>
    </row>
  </sheetData>
  <mergeCells count="6">
    <mergeCell ref="AP3:AQ3"/>
    <mergeCell ref="AB3:AO3"/>
    <mergeCell ref="A2:Z2"/>
    <mergeCell ref="E3:J3"/>
    <mergeCell ref="X3:Z3"/>
    <mergeCell ref="K3:V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Distribución Mes</vt:lpstr>
      <vt:lpstr>Participación 2021 Mes</vt:lpstr>
      <vt:lpstr>Descentralizados</vt:lpstr>
      <vt:lpstr>Ultracrecimiento</vt:lpstr>
      <vt:lpstr>Desarrollo</vt:lpstr>
      <vt:lpstr>Seguridad</vt:lpstr>
      <vt:lpstr>Participación 2021</vt:lpstr>
      <vt:lpstr>Distribución 2021</vt:lpstr>
      <vt:lpstr>Datos Mun</vt:lpstr>
      <vt:lpstr>Art 14 F I</vt:lpstr>
      <vt:lpstr>Desarrollo!Área_de_impresión</vt:lpstr>
      <vt:lpstr>'Distribución 2021'!Área_de_impresión</vt:lpstr>
      <vt:lpstr>'Distribución Mes'!Área_de_impresión</vt:lpstr>
      <vt:lpstr>'Participación 2021'!Área_de_impresión</vt:lpstr>
      <vt:lpstr>'Participación 2021 Mes'!Área_de_impresión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2022-01-24T22:03:46Z</dcterms:modified>
</cp:coreProperties>
</file>