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CALCULOS_PARTICIPACIONES_FEDERALES\APORTACIONES ESTATALES\2022\"/>
    </mc:Choice>
  </mc:AlternateContent>
  <bookViews>
    <workbookView xWindow="0" yWindow="0" windowWidth="20490" windowHeight="7620" tabRatio="908" firstSheet="1" activeTab="4"/>
  </bookViews>
  <sheets>
    <sheet name="Distribución Mes" sheetId="114" state="hidden" r:id="rId1"/>
    <sheet name="Participación 2021 Mes" sheetId="111" r:id="rId2"/>
    <sheet name="Descentralizados" sheetId="110" state="hidden" r:id="rId3"/>
    <sheet name="Ultracrecimiento" sheetId="107" state="hidden" r:id="rId4"/>
    <sheet name="Desarrollo" sheetId="105" r:id="rId5"/>
    <sheet name="Seguridad" sheetId="104" state="hidden" r:id="rId6"/>
    <sheet name="Participación 2021" sheetId="103" state="hidden" r:id="rId7"/>
    <sheet name="Distribución 2021" sheetId="100" state="hidden" r:id="rId8"/>
    <sheet name="Hoja1" sheetId="115" state="hidden" r:id="rId9"/>
    <sheet name="Datos Mun" sheetId="91" r:id="rId10"/>
    <sheet name="Art 14 F I" sheetId="98" state="hidden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A_impresión_IM" localSheetId="9">#REF!</definedName>
    <definedName name="A_impresión_IM" localSheetId="4">#REF!</definedName>
    <definedName name="A_impresión_IM" localSheetId="2">#REF!</definedName>
    <definedName name="A_impresión_IM" localSheetId="0">#REF!</definedName>
    <definedName name="A_impresión_IM" localSheetId="6">#REF!</definedName>
    <definedName name="A_impresión_IM" localSheetId="1">#REF!</definedName>
    <definedName name="A_impresión_IM" localSheetId="5">#REF!</definedName>
    <definedName name="A_impresión_IM">#REF!</definedName>
    <definedName name="AJUSTES" localSheetId="9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2021'!$I$5:$N$59</definedName>
    <definedName name="_xlnm.Print_Area" localSheetId="0">'Distribución Mes'!$I$5:$N$59</definedName>
    <definedName name="_xlnm.Print_Area" localSheetId="6">'Participación 2021'!$A$1:$D$14</definedName>
    <definedName name="_xlnm.Print_Area" localSheetId="1">'Participación 2021 Mes'!$A$1:$D$14</definedName>
    <definedName name="_xlnm.Print_Area" localSheetId="5">Seguridad!$A$1:$F$70</definedName>
    <definedName name="_xlnm.Database" localSheetId="9">#REF!</definedName>
    <definedName name="_xlnm.Database" localSheetId="4">#REF!</definedName>
    <definedName name="_xlnm.Database" localSheetId="2">#REF!</definedName>
    <definedName name="_xlnm.Database" localSheetId="0">#REF!</definedName>
    <definedName name="_xlnm.Database" localSheetId="6">#REF!</definedName>
    <definedName name="_xlnm.Database" localSheetId="1">#REF!</definedName>
    <definedName name="_xlnm.Database" localSheetId="5">#REF!</definedName>
    <definedName name="_xlnm.Database">#REF!</definedName>
    <definedName name="cierre_2001" localSheetId="9">'[1]deuda c sadm'!#REF!</definedName>
    <definedName name="cierre_2001" localSheetId="4">'[2]deuda c sadm'!#REF!</definedName>
    <definedName name="cierre_2001" localSheetId="2">'[1]deuda c sadm'!#REF!</definedName>
    <definedName name="cierre_2001" localSheetId="0">'[1]deuda c sadm'!#REF!</definedName>
    <definedName name="cierre_2001" localSheetId="6">'[1]deuda c sadm'!#REF!</definedName>
    <definedName name="cierre_2001" localSheetId="1">'[1]deuda c sadm'!#REF!</definedName>
    <definedName name="cierre_2001" localSheetId="5">'[2]deuda c sadm'!#REF!</definedName>
    <definedName name="cierre_2001">'[1]deuda c sadm'!#REF!</definedName>
    <definedName name="deuda" localSheetId="9">'[1]deuda c sadm'!#REF!</definedName>
    <definedName name="deuda" localSheetId="4">'[2]deuda c sadm'!#REF!</definedName>
    <definedName name="deuda" localSheetId="2">'[1]deuda c sadm'!#REF!</definedName>
    <definedName name="deuda" localSheetId="0">'[1]deuda c sadm'!#REF!</definedName>
    <definedName name="deuda" localSheetId="6">'[1]deuda c sadm'!#REF!</definedName>
    <definedName name="deuda" localSheetId="1">'[1]deuda c sadm'!#REF!</definedName>
    <definedName name="deuda" localSheetId="5">'[2]deuda c sadm'!#REF!</definedName>
    <definedName name="deuda">'[1]deuda c sadm'!#REF!</definedName>
    <definedName name="Deuda_ingTot" localSheetId="9">'[1]deuda c sadm'!#REF!</definedName>
    <definedName name="Deuda_ingTot" localSheetId="4">'[2]deuda c sadm'!#REF!</definedName>
    <definedName name="Deuda_ingTot" localSheetId="2">'[1]deuda c sadm'!#REF!</definedName>
    <definedName name="Deuda_ingTot" localSheetId="0">'[1]deuda c sadm'!#REF!</definedName>
    <definedName name="Deuda_ingTot" localSheetId="6">'[1]deuda c sadm'!#REF!</definedName>
    <definedName name="Deuda_ingTot" localSheetId="1">'[1]deuda c sadm'!#REF!</definedName>
    <definedName name="Deuda_ingTot" localSheetId="5">'[2]deuda c sadm'!#REF!</definedName>
    <definedName name="Deuda_ingTot">'[1]deuda c sadm'!#REF!</definedName>
    <definedName name="ENERO" localSheetId="9">#REF!</definedName>
    <definedName name="ENERO" localSheetId="4">#REF!</definedName>
    <definedName name="ENERO" localSheetId="2">#REF!</definedName>
    <definedName name="ENERO" localSheetId="0">#REF!</definedName>
    <definedName name="ENERO" localSheetId="6">#REF!</definedName>
    <definedName name="ENERO" localSheetId="1">#REF!</definedName>
    <definedName name="ENERO" localSheetId="5">#REF!</definedName>
    <definedName name="ENERO">#REF!</definedName>
    <definedName name="ENEROAJUSTE" localSheetId="9">#REF!</definedName>
    <definedName name="ENEROAJUSTE" localSheetId="2">#REF!</definedName>
    <definedName name="ENEROAJUSTE" localSheetId="0">#REF!</definedName>
    <definedName name="ENEROAJUSTE" localSheetId="6">#REF!</definedName>
    <definedName name="ENEROAJUSTE" localSheetId="1">#REF!</definedName>
    <definedName name="ENEROAJUSTE" localSheetId="5">#REF!</definedName>
    <definedName name="ENEROAJUSTE">#REF!</definedName>
    <definedName name="Estado">'[3]Compendio de nombres'!$C$2:$C$33</definedName>
    <definedName name="Estado1" localSheetId="9">#REF!</definedName>
    <definedName name="Estado1" localSheetId="2">#REF!</definedName>
    <definedName name="Estado1" localSheetId="0">#REF!</definedName>
    <definedName name="Estado1" localSheetId="6">#REF!</definedName>
    <definedName name="Estado1" localSheetId="1">#REF!</definedName>
    <definedName name="Estado1" localSheetId="5">#REF!</definedName>
    <definedName name="Estado1">#REF!</definedName>
    <definedName name="Fto_1" localSheetId="9">#REF!</definedName>
    <definedName name="Fto_1" localSheetId="4">#REF!</definedName>
    <definedName name="Fto_1" localSheetId="2">#REF!</definedName>
    <definedName name="Fto_1" localSheetId="0">#REF!</definedName>
    <definedName name="Fto_1" localSheetId="6">#REF!</definedName>
    <definedName name="Fto_1" localSheetId="1">#REF!</definedName>
    <definedName name="Fto_1" localSheetId="5">#REF!</definedName>
    <definedName name="Fto_1">#REF!</definedName>
    <definedName name="HTML_CodePage" hidden="1">1252</definedName>
    <definedName name="HTML_Control" localSheetId="9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9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9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6" hidden="1">{"'beneficiarios'!$A$1:$C$7"}</definedName>
    <definedName name="MUNICIPIOS" localSheetId="1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9">#REF!</definedName>
    <definedName name="Notas_Fto_1" localSheetId="4">#REF!</definedName>
    <definedName name="Notas_Fto_1" localSheetId="2">#REF!</definedName>
    <definedName name="Notas_Fto_1" localSheetId="0">#REF!</definedName>
    <definedName name="Notas_Fto_1" localSheetId="6">#REF!</definedName>
    <definedName name="Notas_Fto_1" localSheetId="1">#REF!</definedName>
    <definedName name="Notas_Fto_1" localSheetId="5">#REF!</definedName>
    <definedName name="Notas_Fto_1">#REF!</definedName>
    <definedName name="Partidas">[5]TECHO!$B$1:$Q$2798</definedName>
    <definedName name="SINAJUSTE" localSheetId="9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9">#REF!</definedName>
    <definedName name="t" localSheetId="4">#REF!</definedName>
    <definedName name="t" localSheetId="2">#REF!</definedName>
    <definedName name="t" localSheetId="0">#REF!</definedName>
    <definedName name="t" localSheetId="6">#REF!</definedName>
    <definedName name="t" localSheetId="1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9">#REF!</definedName>
    <definedName name="TOT" localSheetId="4">#REF!</definedName>
    <definedName name="TOT" localSheetId="2">#REF!</definedName>
    <definedName name="TOT" localSheetId="0">#REF!</definedName>
    <definedName name="TOT" localSheetId="6">#REF!</definedName>
    <definedName name="TOT" localSheetId="1">#REF!</definedName>
    <definedName name="TOT" localSheetId="5">#REF!</definedName>
    <definedName name="TOT">#REF!</definedName>
    <definedName name="TOTAL" localSheetId="9">#REF!</definedName>
    <definedName name="TOTAL" localSheetId="4">#REF!</definedName>
    <definedName name="TOTAL" localSheetId="2">#REF!</definedName>
    <definedName name="TOTAL" localSheetId="0">#REF!</definedName>
    <definedName name="TOTAL" localSheetId="6">#REF!</definedName>
    <definedName name="TOTAL" localSheetId="1">#REF!</definedName>
    <definedName name="TOTAL" localSheetId="5">#REF!</definedName>
    <definedName name="TOTAL">#REF!</definedName>
    <definedName name="UNO" localSheetId="9">#REF!</definedName>
    <definedName name="UNO" localSheetId="2">#REF!</definedName>
    <definedName name="UNO" localSheetId="0">#REF!</definedName>
    <definedName name="UNO" localSheetId="6">#REF!</definedName>
    <definedName name="UNO" localSheetId="1">#REF!</definedName>
    <definedName name="UNO" localSheetId="5">#REF!</definedName>
    <definedName name="UNO">#REF!</definedName>
  </definedNames>
  <calcPr calcId="162913"/>
  <pivotCaches>
    <pivotCache cacheId="0" r:id="rId17"/>
  </pivotCaches>
</workbook>
</file>

<file path=xl/calcChain.xml><?xml version="1.0" encoding="utf-8"?>
<calcChain xmlns="http://schemas.openxmlformats.org/spreadsheetml/2006/main">
  <c r="B10" i="105" l="1"/>
  <c r="Q62" i="100" l="1"/>
  <c r="N62" i="100"/>
  <c r="K62" i="100"/>
  <c r="L62" i="100"/>
  <c r="M62" i="100"/>
  <c r="J62" i="100"/>
  <c r="B45" i="103" l="1"/>
  <c r="E41" i="103"/>
  <c r="D41" i="103"/>
  <c r="B45" i="111" l="1"/>
  <c r="D5" i="104"/>
  <c r="B5" i="104"/>
  <c r="B4" i="104"/>
  <c r="B27" i="105"/>
  <c r="B9" i="105"/>
  <c r="B21" i="107"/>
  <c r="T58" i="114"/>
  <c r="T59" i="114" s="1"/>
  <c r="S58" i="114"/>
  <c r="S59" i="114" s="1"/>
  <c r="R58" i="114"/>
  <c r="Q58" i="114"/>
  <c r="U57" i="114"/>
  <c r="U56" i="114"/>
  <c r="D56" i="114"/>
  <c r="K57" i="114" s="1"/>
  <c r="Y57" i="114" s="1"/>
  <c r="U55" i="114"/>
  <c r="D55" i="114"/>
  <c r="U54" i="114"/>
  <c r="U53" i="114"/>
  <c r="U52" i="114"/>
  <c r="D52" i="114"/>
  <c r="K15" i="114" s="1"/>
  <c r="Y15" i="114" s="1"/>
  <c r="U51" i="114"/>
  <c r="D51" i="114"/>
  <c r="U50" i="114"/>
  <c r="U49" i="114"/>
  <c r="D49" i="114"/>
  <c r="K55" i="114" s="1"/>
  <c r="Y55" i="114" s="1"/>
  <c r="U48" i="114"/>
  <c r="D48" i="114"/>
  <c r="K54" i="114" s="1"/>
  <c r="Y54" i="114" s="1"/>
  <c r="U47" i="114"/>
  <c r="D47" i="114"/>
  <c r="K53" i="114" s="1"/>
  <c r="Y53" i="114" s="1"/>
  <c r="U46" i="114"/>
  <c r="U45" i="114"/>
  <c r="D45" i="114"/>
  <c r="K51" i="114" s="1"/>
  <c r="Y51" i="114" s="1"/>
  <c r="U44" i="114"/>
  <c r="D44" i="114"/>
  <c r="U43" i="114"/>
  <c r="D43" i="114"/>
  <c r="K50" i="114" s="1"/>
  <c r="Y50" i="114" s="1"/>
  <c r="U42" i="114"/>
  <c r="D42" i="114"/>
  <c r="K49" i="114" s="1"/>
  <c r="Y49" i="114" s="1"/>
  <c r="U41" i="114"/>
  <c r="D41" i="114"/>
  <c r="K48" i="114" s="1"/>
  <c r="Y48" i="114" s="1"/>
  <c r="U40" i="114"/>
  <c r="D40" i="114"/>
  <c r="K47" i="114" s="1"/>
  <c r="Y47" i="114" s="1"/>
  <c r="U39" i="114"/>
  <c r="D39" i="114"/>
  <c r="K46" i="114" s="1"/>
  <c r="Y46" i="114" s="1"/>
  <c r="U38" i="114"/>
  <c r="D38" i="114"/>
  <c r="K45" i="114" s="1"/>
  <c r="Y45" i="114" s="1"/>
  <c r="U37" i="114"/>
  <c r="D37" i="114"/>
  <c r="K44" i="114" s="1"/>
  <c r="Y44" i="114" s="1"/>
  <c r="U36" i="114"/>
  <c r="U35" i="114"/>
  <c r="D35" i="114"/>
  <c r="K43" i="114" s="1"/>
  <c r="Y43" i="114" s="1"/>
  <c r="U34" i="114"/>
  <c r="D34" i="114"/>
  <c r="K42" i="114" s="1"/>
  <c r="Y42" i="114" s="1"/>
  <c r="U33" i="114"/>
  <c r="D33" i="114"/>
  <c r="K41" i="114" s="1"/>
  <c r="Y41" i="114" s="1"/>
  <c r="U32" i="114"/>
  <c r="D32" i="114"/>
  <c r="K40" i="114" s="1"/>
  <c r="Y40" i="114" s="1"/>
  <c r="U31" i="114"/>
  <c r="D31" i="114"/>
  <c r="K39" i="114" s="1"/>
  <c r="Y39" i="114" s="1"/>
  <c r="U30" i="114"/>
  <c r="D30" i="114"/>
  <c r="U29" i="114"/>
  <c r="U28" i="114"/>
  <c r="D28" i="114"/>
  <c r="K37" i="114" s="1"/>
  <c r="Y37" i="114" s="1"/>
  <c r="U27" i="114"/>
  <c r="D27" i="114"/>
  <c r="K36" i="114" s="1"/>
  <c r="Y36" i="114" s="1"/>
  <c r="U26" i="114"/>
  <c r="D26" i="114"/>
  <c r="K35" i="114" s="1"/>
  <c r="Y35" i="114" s="1"/>
  <c r="U25" i="114"/>
  <c r="U24" i="114"/>
  <c r="D24" i="114"/>
  <c r="K34" i="114" s="1"/>
  <c r="Y34" i="114" s="1"/>
  <c r="U23" i="114"/>
  <c r="U22" i="114"/>
  <c r="D22" i="114"/>
  <c r="K33" i="114" s="1"/>
  <c r="Y33" i="114" s="1"/>
  <c r="U21" i="114"/>
  <c r="D21" i="114"/>
  <c r="K32" i="114" s="1"/>
  <c r="Y32" i="114" s="1"/>
  <c r="U20" i="114"/>
  <c r="D20" i="114"/>
  <c r="K31" i="114" s="1"/>
  <c r="Y31" i="114" s="1"/>
  <c r="U19" i="114"/>
  <c r="U58" i="114" s="1"/>
  <c r="D19" i="114"/>
  <c r="K30" i="114" s="1"/>
  <c r="Y30" i="114" s="1"/>
  <c r="T18" i="114"/>
  <c r="S18" i="114"/>
  <c r="R18" i="114"/>
  <c r="R59" i="114" s="1"/>
  <c r="Q18" i="114"/>
  <c r="Q59" i="114" s="1"/>
  <c r="U17" i="114"/>
  <c r="D17" i="114"/>
  <c r="K28" i="114" s="1"/>
  <c r="Y28" i="114" s="1"/>
  <c r="U16" i="114"/>
  <c r="D16" i="114"/>
  <c r="K27" i="114" s="1"/>
  <c r="Y27" i="114" s="1"/>
  <c r="U15" i="114"/>
  <c r="U14" i="114"/>
  <c r="K14" i="114"/>
  <c r="Y14" i="114" s="1"/>
  <c r="U13" i="114"/>
  <c r="D13" i="114"/>
  <c r="K25" i="114" s="1"/>
  <c r="Y25" i="114" s="1"/>
  <c r="U12" i="114"/>
  <c r="K12" i="114"/>
  <c r="Y12" i="114" s="1"/>
  <c r="D12" i="114"/>
  <c r="K24" i="114" s="1"/>
  <c r="Y24" i="114" s="1"/>
  <c r="U11" i="114"/>
  <c r="U10" i="114"/>
  <c r="K10" i="114"/>
  <c r="Y10" i="114" s="1"/>
  <c r="D10" i="114"/>
  <c r="K23" i="114" s="1"/>
  <c r="Y23" i="114" s="1"/>
  <c r="U9" i="114"/>
  <c r="D9" i="114"/>
  <c r="K22" i="114" s="1"/>
  <c r="Y22" i="114" s="1"/>
  <c r="U8" i="114"/>
  <c r="D8" i="114"/>
  <c r="K21" i="114" s="1"/>
  <c r="Y21" i="114" s="1"/>
  <c r="U7" i="114"/>
  <c r="D7" i="114"/>
  <c r="K20" i="114" s="1"/>
  <c r="Y20" i="114" s="1"/>
  <c r="U6" i="114"/>
  <c r="U18" i="114" s="1"/>
  <c r="D6" i="114"/>
  <c r="U59" i="114" l="1"/>
  <c r="K19" i="114"/>
  <c r="K56" i="114"/>
  <c r="Y56" i="114" s="1"/>
  <c r="Y19" i="114" l="1"/>
  <c r="F11" i="111" l="1"/>
  <c r="F10" i="111"/>
  <c r="F9" i="111"/>
  <c r="F8" i="111"/>
  <c r="F7" i="111"/>
  <c r="F6" i="111"/>
  <c r="F5" i="111"/>
  <c r="F4" i="111"/>
  <c r="F3" i="111"/>
  <c r="E4" i="111"/>
  <c r="E5" i="111"/>
  <c r="E6" i="111"/>
  <c r="E7" i="111"/>
  <c r="E8" i="111"/>
  <c r="E9" i="111"/>
  <c r="E10" i="111"/>
  <c r="E11" i="111"/>
  <c r="E3" i="111"/>
  <c r="C12" i="111"/>
  <c r="B12" i="111"/>
  <c r="E12" i="111" l="1"/>
  <c r="C38" i="111" l="1"/>
  <c r="C40" i="111" s="1"/>
  <c r="C19" i="111"/>
  <c r="D4" i="104" s="1"/>
  <c r="F12" i="111"/>
  <c r="C17" i="103" l="1"/>
  <c r="B17" i="111" l="1"/>
  <c r="B19" i="111" s="1"/>
  <c r="B22" i="111" s="1"/>
  <c r="B24" i="111" s="1"/>
  <c r="B33" i="111"/>
  <c r="B35" i="111" s="1"/>
  <c r="B28" i="111"/>
  <c r="B30" i="111" s="1"/>
  <c r="B38" i="111"/>
  <c r="B40" i="111" s="1"/>
  <c r="B43" i="111" s="1"/>
  <c r="Q58" i="100"/>
  <c r="R58" i="100"/>
  <c r="U21" i="100"/>
  <c r="U22" i="100"/>
  <c r="U23" i="100"/>
  <c r="U24" i="100"/>
  <c r="U25" i="100"/>
  <c r="U26" i="100"/>
  <c r="U28" i="100"/>
  <c r="U29" i="100"/>
  <c r="U32" i="100"/>
  <c r="U36" i="100"/>
  <c r="U37" i="100"/>
  <c r="U39" i="100"/>
  <c r="U40" i="100"/>
  <c r="U41" i="100"/>
  <c r="U43" i="100"/>
  <c r="U44" i="100"/>
  <c r="U45" i="100"/>
  <c r="U46" i="100"/>
  <c r="U47" i="100"/>
  <c r="U49" i="100"/>
  <c r="U50" i="100"/>
  <c r="U51" i="100"/>
  <c r="U52" i="100"/>
  <c r="U53" i="100"/>
  <c r="U56" i="100"/>
  <c r="U57" i="100"/>
  <c r="U31" i="100"/>
  <c r="U35" i="100"/>
  <c r="U55" i="100"/>
  <c r="U27" i="100"/>
  <c r="U30" i="100"/>
  <c r="U33" i="100"/>
  <c r="U34" i="100"/>
  <c r="U38" i="100"/>
  <c r="U42" i="100"/>
  <c r="U54" i="100"/>
  <c r="U7" i="100"/>
  <c r="U9" i="100"/>
  <c r="U10" i="100"/>
  <c r="U12" i="100"/>
  <c r="U13" i="100"/>
  <c r="U14" i="100"/>
  <c r="U15" i="100"/>
  <c r="U16" i="100"/>
  <c r="U17" i="100"/>
  <c r="U8" i="100"/>
  <c r="U11" i="100"/>
  <c r="U48" i="100"/>
  <c r="Q59" i="100" l="1"/>
  <c r="R59" i="100"/>
  <c r="U20" i="100"/>
  <c r="T58" i="100"/>
  <c r="T59" i="100" s="1"/>
  <c r="S58" i="100"/>
  <c r="U19" i="100"/>
  <c r="Q18" i="100"/>
  <c r="R18" i="100"/>
  <c r="T18" i="100"/>
  <c r="S18" i="100"/>
  <c r="U6" i="100"/>
  <c r="U18" i="100" s="1"/>
  <c r="E10" i="103"/>
  <c r="D11" i="103"/>
  <c r="E11" i="103" s="1"/>
  <c r="D10" i="103"/>
  <c r="D9" i="103"/>
  <c r="E9" i="103" s="1"/>
  <c r="D8" i="103"/>
  <c r="E8" i="103" s="1"/>
  <c r="D7" i="103"/>
  <c r="U58" i="100" l="1"/>
  <c r="S59" i="100"/>
  <c r="U59" i="100"/>
  <c r="B12" i="103"/>
  <c r="D11" i="110" l="1"/>
  <c r="D23" i="110"/>
  <c r="D25" i="110"/>
  <c r="D30" i="110"/>
  <c r="D36" i="110"/>
  <c r="D44" i="110"/>
  <c r="D51" i="110"/>
  <c r="D52" i="110"/>
  <c r="D53" i="110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B57" i="110" s="1"/>
  <c r="C40" i="103" l="1"/>
  <c r="K20" i="100" l="1"/>
  <c r="Y20" i="100" s="1"/>
  <c r="K21" i="100"/>
  <c r="Y21" i="100" s="1"/>
  <c r="K22" i="100"/>
  <c r="Y22" i="100" s="1"/>
  <c r="K23" i="100"/>
  <c r="Y23" i="100" s="1"/>
  <c r="K24" i="100"/>
  <c r="Y24" i="100" s="1"/>
  <c r="K25" i="100"/>
  <c r="Y25" i="100" s="1"/>
  <c r="K27" i="100"/>
  <c r="Y27" i="100" s="1"/>
  <c r="K28" i="100"/>
  <c r="Y28" i="100" s="1"/>
  <c r="K30" i="100"/>
  <c r="Y30" i="100" s="1"/>
  <c r="K31" i="100"/>
  <c r="Y31" i="100" s="1"/>
  <c r="K32" i="100"/>
  <c r="Y32" i="100" s="1"/>
  <c r="K33" i="100"/>
  <c r="Y33" i="100" s="1"/>
  <c r="K34" i="100"/>
  <c r="Y34" i="100" s="1"/>
  <c r="K35" i="100"/>
  <c r="Y35" i="100" s="1"/>
  <c r="K36" i="100"/>
  <c r="Y36" i="100" s="1"/>
  <c r="K37" i="100"/>
  <c r="Y37" i="100" s="1"/>
  <c r="K10" i="100"/>
  <c r="Y10" i="100" s="1"/>
  <c r="K39" i="100"/>
  <c r="Y39" i="100" s="1"/>
  <c r="K40" i="100"/>
  <c r="Y40" i="100" s="1"/>
  <c r="K41" i="100"/>
  <c r="Y41" i="100" s="1"/>
  <c r="K42" i="100"/>
  <c r="Y42" i="100" s="1"/>
  <c r="K43" i="100"/>
  <c r="Y43" i="100" s="1"/>
  <c r="K44" i="100"/>
  <c r="Y44" i="100" s="1"/>
  <c r="K45" i="100"/>
  <c r="Y45" i="100" s="1"/>
  <c r="K46" i="100"/>
  <c r="Y46" i="100" s="1"/>
  <c r="K47" i="100"/>
  <c r="Y47" i="100" s="1"/>
  <c r="K48" i="100"/>
  <c r="Y48" i="100" s="1"/>
  <c r="K49" i="100"/>
  <c r="Y49" i="100" s="1"/>
  <c r="K50" i="100"/>
  <c r="Y50" i="100" s="1"/>
  <c r="K12" i="100"/>
  <c r="Y12" i="100" s="1"/>
  <c r="K51" i="100"/>
  <c r="Y51" i="100" s="1"/>
  <c r="K53" i="100"/>
  <c r="Y53" i="100" s="1"/>
  <c r="K54" i="100"/>
  <c r="Y54" i="100" s="1"/>
  <c r="K55" i="100"/>
  <c r="Y55" i="100" s="1"/>
  <c r="K14" i="100"/>
  <c r="Y14" i="100" s="1"/>
  <c r="K15" i="100"/>
  <c r="Y15" i="100" s="1"/>
  <c r="K56" i="100"/>
  <c r="Y56" i="100" s="1"/>
  <c r="K57" i="100"/>
  <c r="Y57" i="100" s="1"/>
  <c r="K19" i="100"/>
  <c r="Y19" i="100" s="1"/>
  <c r="AQ6" i="91"/>
  <c r="AQ7" i="91"/>
  <c r="AQ8" i="91"/>
  <c r="AQ9" i="91"/>
  <c r="AQ11" i="91"/>
  <c r="AQ12" i="91"/>
  <c r="AQ15" i="91"/>
  <c r="AQ16" i="91"/>
  <c r="AQ18" i="91"/>
  <c r="AQ19" i="91"/>
  <c r="AQ20" i="91"/>
  <c r="AQ21" i="91"/>
  <c r="AQ23" i="91"/>
  <c r="AQ25" i="91"/>
  <c r="AQ26" i="91"/>
  <c r="AQ27" i="91"/>
  <c r="AQ29" i="91"/>
  <c r="AQ30" i="91"/>
  <c r="AQ31" i="91"/>
  <c r="AQ32" i="91"/>
  <c r="AQ33" i="91"/>
  <c r="AQ34" i="91"/>
  <c r="AQ36" i="91"/>
  <c r="AQ37" i="91"/>
  <c r="AQ38" i="91"/>
  <c r="AQ39" i="91"/>
  <c r="AQ40" i="91"/>
  <c r="AQ41" i="91"/>
  <c r="AQ42" i="91"/>
  <c r="AQ43" i="91"/>
  <c r="AQ44" i="91"/>
  <c r="AQ46" i="91"/>
  <c r="AQ47" i="91"/>
  <c r="AQ48" i="91"/>
  <c r="AQ50" i="91"/>
  <c r="AQ51" i="91"/>
  <c r="AQ54" i="91"/>
  <c r="AQ55" i="91"/>
  <c r="AQ5" i="91"/>
  <c r="B62" i="104" l="1"/>
  <c r="B46" i="104"/>
  <c r="B38" i="104"/>
  <c r="B30" i="104"/>
  <c r="B19" i="104"/>
  <c r="B17" i="104"/>
  <c r="B15" i="104"/>
  <c r="D19" i="104"/>
  <c r="B66" i="104"/>
  <c r="AL6" i="91"/>
  <c r="AL7" i="91"/>
  <c r="AL8" i="91"/>
  <c r="AL9" i="91"/>
  <c r="AL10" i="91"/>
  <c r="AL11" i="91"/>
  <c r="AL12" i="91"/>
  <c r="AL13" i="91"/>
  <c r="AL14" i="91"/>
  <c r="AL15" i="91"/>
  <c r="AL16" i="91"/>
  <c r="AL17" i="91"/>
  <c r="AL18" i="91"/>
  <c r="AL19" i="91"/>
  <c r="AL20" i="91"/>
  <c r="AL21" i="91"/>
  <c r="AL22" i="91"/>
  <c r="AL23" i="91"/>
  <c r="AL24" i="91"/>
  <c r="AL25" i="91"/>
  <c r="AL26" i="91"/>
  <c r="AL27" i="91"/>
  <c r="AL28" i="91"/>
  <c r="AL29" i="91"/>
  <c r="AL30" i="91"/>
  <c r="AL31" i="91"/>
  <c r="AL32" i="91"/>
  <c r="AL33" i="91"/>
  <c r="AL34" i="91"/>
  <c r="AL35" i="91"/>
  <c r="AL36" i="91"/>
  <c r="AL37" i="91"/>
  <c r="AL38" i="91"/>
  <c r="AL39" i="91"/>
  <c r="AL40" i="91"/>
  <c r="AL41" i="91"/>
  <c r="AL42" i="91"/>
  <c r="AL43" i="91"/>
  <c r="AL44" i="91"/>
  <c r="AL45" i="91"/>
  <c r="AL46" i="91"/>
  <c r="AL47" i="91"/>
  <c r="AL48" i="91"/>
  <c r="AL49" i="91"/>
  <c r="AL50" i="91"/>
  <c r="AL51" i="91"/>
  <c r="AL52" i="91"/>
  <c r="AL53" i="91"/>
  <c r="AL54" i="91"/>
  <c r="AL55" i="91"/>
  <c r="AL5" i="91"/>
  <c r="AJ6" i="91"/>
  <c r="AJ7" i="91"/>
  <c r="AJ8" i="91"/>
  <c r="AJ9" i="91"/>
  <c r="AJ10" i="91"/>
  <c r="AJ11" i="91"/>
  <c r="AJ12" i="91"/>
  <c r="AJ13" i="91"/>
  <c r="AJ14" i="91"/>
  <c r="AJ15" i="91"/>
  <c r="AJ16" i="91"/>
  <c r="AJ17" i="91"/>
  <c r="AJ18" i="91"/>
  <c r="AJ19" i="91"/>
  <c r="AJ20" i="91"/>
  <c r="AJ21" i="91"/>
  <c r="AJ22" i="91"/>
  <c r="AJ23" i="91"/>
  <c r="AJ24" i="91"/>
  <c r="AJ25" i="91"/>
  <c r="AJ26" i="91"/>
  <c r="AJ27" i="91"/>
  <c r="AJ28" i="91"/>
  <c r="AJ29" i="91"/>
  <c r="AJ30" i="91"/>
  <c r="AJ31" i="91"/>
  <c r="AJ32" i="91"/>
  <c r="AJ33" i="91"/>
  <c r="AJ34" i="91"/>
  <c r="AJ35" i="91"/>
  <c r="AJ36" i="91"/>
  <c r="AJ37" i="91"/>
  <c r="AJ38" i="91"/>
  <c r="AJ39" i="91"/>
  <c r="AJ40" i="91"/>
  <c r="AJ41" i="91"/>
  <c r="AJ42" i="91"/>
  <c r="AJ43" i="91"/>
  <c r="AJ44" i="91"/>
  <c r="AJ45" i="91"/>
  <c r="AJ46" i="91"/>
  <c r="AJ47" i="91"/>
  <c r="AJ48" i="91"/>
  <c r="AJ49" i="91"/>
  <c r="AJ50" i="91"/>
  <c r="AJ51" i="91"/>
  <c r="AJ52" i="91"/>
  <c r="AJ53" i="91"/>
  <c r="AJ54" i="91"/>
  <c r="AJ55" i="91"/>
  <c r="AJ5" i="91"/>
  <c r="AN6" i="91"/>
  <c r="AN7" i="91"/>
  <c r="AN8" i="91"/>
  <c r="AN9" i="91"/>
  <c r="AN10" i="91"/>
  <c r="AN11" i="91"/>
  <c r="AN12" i="91"/>
  <c r="AN13" i="91"/>
  <c r="AN14" i="91"/>
  <c r="AN15" i="91"/>
  <c r="AN16" i="91"/>
  <c r="AN17" i="91"/>
  <c r="AN18" i="91"/>
  <c r="AN19" i="91"/>
  <c r="AN20" i="91"/>
  <c r="AN21" i="91"/>
  <c r="AN22" i="91"/>
  <c r="AN23" i="91"/>
  <c r="AN24" i="91"/>
  <c r="AN25" i="91"/>
  <c r="AN26" i="91"/>
  <c r="AN27" i="91"/>
  <c r="AN28" i="91"/>
  <c r="AN29" i="91"/>
  <c r="AN30" i="91"/>
  <c r="AN31" i="91"/>
  <c r="AN32" i="91"/>
  <c r="AN33" i="91"/>
  <c r="AN34" i="91"/>
  <c r="AN35" i="91"/>
  <c r="AN36" i="91"/>
  <c r="AN37" i="91"/>
  <c r="AN38" i="91"/>
  <c r="AN39" i="91"/>
  <c r="AN40" i="91"/>
  <c r="AN41" i="91"/>
  <c r="AN42" i="91"/>
  <c r="AN43" i="91"/>
  <c r="AN44" i="91"/>
  <c r="AN45" i="91"/>
  <c r="AN46" i="91"/>
  <c r="AN47" i="91"/>
  <c r="AN48" i="91"/>
  <c r="AN49" i="91"/>
  <c r="AN50" i="91"/>
  <c r="AN51" i="91"/>
  <c r="AN52" i="91"/>
  <c r="AN53" i="91"/>
  <c r="AN54" i="91"/>
  <c r="AN55" i="91"/>
  <c r="AN5" i="91"/>
  <c r="C19" i="103"/>
  <c r="AN56" i="91" l="1"/>
  <c r="AO46" i="91" s="1"/>
  <c r="AO55" i="91"/>
  <c r="AO31" i="91"/>
  <c r="AO11" i="91"/>
  <c r="AO37" i="91"/>
  <c r="AO23" i="91"/>
  <c r="AO27" i="91"/>
  <c r="AO7" i="91"/>
  <c r="AO39" i="91"/>
  <c r="AO15" i="91"/>
  <c r="AJ56" i="91"/>
  <c r="AK54" i="91" s="1"/>
  <c r="AL56" i="91"/>
  <c r="AM43" i="91" s="1"/>
  <c r="D15" i="104"/>
  <c r="B20" i="104"/>
  <c r="B54" i="104"/>
  <c r="D6" i="104"/>
  <c r="D7" i="104"/>
  <c r="D9" i="104" s="1"/>
  <c r="D65" i="104"/>
  <c r="D61" i="104"/>
  <c r="D57" i="104"/>
  <c r="D53" i="104"/>
  <c r="D49" i="104"/>
  <c r="D45" i="104"/>
  <c r="D41" i="104"/>
  <c r="D37" i="104"/>
  <c r="D33" i="104"/>
  <c r="D29" i="104"/>
  <c r="D23" i="104"/>
  <c r="D66" i="104"/>
  <c r="D62" i="104"/>
  <c r="D58" i="104"/>
  <c r="D54" i="104"/>
  <c r="D50" i="104"/>
  <c r="D46" i="104"/>
  <c r="D42" i="104"/>
  <c r="D38" i="104"/>
  <c r="D34" i="104"/>
  <c r="D30" i="104"/>
  <c r="D24" i="104"/>
  <c r="D20" i="104"/>
  <c r="D67" i="104"/>
  <c r="D63" i="104"/>
  <c r="D59" i="104"/>
  <c r="D55" i="104"/>
  <c r="D51" i="104"/>
  <c r="D47" i="104"/>
  <c r="D43" i="104"/>
  <c r="D39" i="104"/>
  <c r="D35" i="104"/>
  <c r="D31" i="104"/>
  <c r="D25" i="104"/>
  <c r="D21" i="104"/>
  <c r="D17" i="104"/>
  <c r="D22" i="104"/>
  <c r="D40" i="104"/>
  <c r="D56" i="104"/>
  <c r="B6" i="104"/>
  <c r="B14" i="104"/>
  <c r="D16" i="104"/>
  <c r="B18" i="104"/>
  <c r="B34" i="104"/>
  <c r="D36" i="104"/>
  <c r="B50" i="104"/>
  <c r="D52" i="104"/>
  <c r="D32" i="104"/>
  <c r="D48" i="104"/>
  <c r="D64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D14" i="104"/>
  <c r="B16" i="104"/>
  <c r="D18" i="104"/>
  <c r="B24" i="104"/>
  <c r="B42" i="104"/>
  <c r="D44" i="104"/>
  <c r="B58" i="104"/>
  <c r="D60" i="104"/>
  <c r="AO50" i="91"/>
  <c r="AO42" i="91"/>
  <c r="AO34" i="91"/>
  <c r="AO26" i="91"/>
  <c r="AO18" i="91"/>
  <c r="AO53" i="91"/>
  <c r="AO49" i="91"/>
  <c r="AO45" i="91"/>
  <c r="AO41" i="91"/>
  <c r="AO33" i="91"/>
  <c r="AO29" i="91"/>
  <c r="AO25" i="91"/>
  <c r="AO21" i="91"/>
  <c r="AO17" i="91"/>
  <c r="AO13" i="91"/>
  <c r="AO9" i="91"/>
  <c r="AO5" i="91"/>
  <c r="AO52" i="91"/>
  <c r="AO48" i="91"/>
  <c r="AO44" i="91"/>
  <c r="AO40" i="91"/>
  <c r="AO36" i="91"/>
  <c r="AO32" i="91"/>
  <c r="AO28" i="91"/>
  <c r="AO24" i="91"/>
  <c r="AO20" i="91"/>
  <c r="AO16" i="91"/>
  <c r="AO12" i="91"/>
  <c r="AO8" i="91"/>
  <c r="AO14" i="91"/>
  <c r="AO10" i="91"/>
  <c r="AO6" i="91"/>
  <c r="AO51" i="91" l="1"/>
  <c r="AO22" i="91"/>
  <c r="AO30" i="91"/>
  <c r="AO35" i="91"/>
  <c r="AO38" i="91"/>
  <c r="AO54" i="91"/>
  <c r="AO47" i="91"/>
  <c r="AO19" i="91"/>
  <c r="AO56" i="91" s="1"/>
  <c r="AO43" i="91"/>
  <c r="AM26" i="91"/>
  <c r="AM42" i="91"/>
  <c r="AM17" i="91"/>
  <c r="E39" i="104" s="1"/>
  <c r="AM37" i="91"/>
  <c r="AM8" i="91"/>
  <c r="AM15" i="91"/>
  <c r="E37" i="104" s="1"/>
  <c r="AM16" i="91"/>
  <c r="E38" i="104" s="1"/>
  <c r="AM31" i="91"/>
  <c r="AM20" i="91"/>
  <c r="AM50" i="91"/>
  <c r="AM28" i="91"/>
  <c r="E48" i="104" s="1"/>
  <c r="AM29" i="91"/>
  <c r="AM36" i="91"/>
  <c r="AM51" i="91"/>
  <c r="AM44" i="91"/>
  <c r="E61" i="104" s="1"/>
  <c r="AM52" i="91"/>
  <c r="E42" i="104"/>
  <c r="E54" i="104"/>
  <c r="E55" i="104"/>
  <c r="E32" i="104"/>
  <c r="E46" i="104"/>
  <c r="E60" i="104"/>
  <c r="E50" i="104"/>
  <c r="AK35" i="91"/>
  <c r="AK19" i="91"/>
  <c r="AK40" i="91"/>
  <c r="AK14" i="91"/>
  <c r="AM12" i="91"/>
  <c r="E35" i="104" s="1"/>
  <c r="AM32" i="91"/>
  <c r="E51" i="104" s="1"/>
  <c r="AM48" i="91"/>
  <c r="E65" i="104" s="1"/>
  <c r="AM6" i="91"/>
  <c r="E30" i="104" s="1"/>
  <c r="AM30" i="91"/>
  <c r="E49" i="104" s="1"/>
  <c r="AM46" i="91"/>
  <c r="E63" i="104" s="1"/>
  <c r="AM21" i="91"/>
  <c r="E43" i="104" s="1"/>
  <c r="AM41" i="91"/>
  <c r="E59" i="104" s="1"/>
  <c r="AK29" i="91"/>
  <c r="AK50" i="91"/>
  <c r="AM19" i="91"/>
  <c r="E41" i="104" s="1"/>
  <c r="AM39" i="91"/>
  <c r="E57" i="104" s="1"/>
  <c r="AK43" i="91"/>
  <c r="AK34" i="91"/>
  <c r="AK7" i="91"/>
  <c r="AK23" i="91"/>
  <c r="AK47" i="91"/>
  <c r="AK21" i="91"/>
  <c r="AM53" i="91"/>
  <c r="AK46" i="91"/>
  <c r="AK8" i="91"/>
  <c r="AK28" i="91"/>
  <c r="AK44" i="91"/>
  <c r="AK17" i="91"/>
  <c r="AM13" i="91"/>
  <c r="AK26" i="91"/>
  <c r="AK13" i="91"/>
  <c r="AK22" i="91"/>
  <c r="AK39" i="91"/>
  <c r="AK20" i="91"/>
  <c r="AK41" i="91"/>
  <c r="AM14" i="91"/>
  <c r="E36" i="104" s="1"/>
  <c r="AM34" i="91"/>
  <c r="E53" i="104" s="1"/>
  <c r="AM54" i="91"/>
  <c r="E66" i="104" s="1"/>
  <c r="AM25" i="91"/>
  <c r="E45" i="104" s="1"/>
  <c r="AM45" i="91"/>
  <c r="E62" i="104" s="1"/>
  <c r="AK49" i="91"/>
  <c r="AM7" i="91"/>
  <c r="E31" i="104" s="1"/>
  <c r="AM23" i="91"/>
  <c r="E44" i="104" s="1"/>
  <c r="AM47" i="91"/>
  <c r="E64" i="104" s="1"/>
  <c r="AK51" i="91"/>
  <c r="AM10" i="91"/>
  <c r="AK11" i="91"/>
  <c r="AK27" i="91"/>
  <c r="AK55" i="91"/>
  <c r="AK33" i="91"/>
  <c r="AK18" i="91"/>
  <c r="AM35" i="91"/>
  <c r="AK12" i="91"/>
  <c r="AK32" i="91"/>
  <c r="AK48" i="91"/>
  <c r="AK25" i="91"/>
  <c r="AM49" i="91"/>
  <c r="AK42" i="91"/>
  <c r="AK52" i="91"/>
  <c r="AK9" i="91"/>
  <c r="AK38" i="91"/>
  <c r="AM40" i="91"/>
  <c r="E58" i="104" s="1"/>
  <c r="AK24" i="91"/>
  <c r="AM18" i="91"/>
  <c r="E40" i="104" s="1"/>
  <c r="AM38" i="91"/>
  <c r="E56" i="104" s="1"/>
  <c r="AM9" i="91"/>
  <c r="E33" i="104" s="1"/>
  <c r="AM33" i="91"/>
  <c r="E52" i="104" s="1"/>
  <c r="AM5" i="91"/>
  <c r="E29" i="104" s="1"/>
  <c r="AK53" i="91"/>
  <c r="AM11" i="91"/>
  <c r="E34" i="104" s="1"/>
  <c r="AM27" i="91"/>
  <c r="E47" i="104" s="1"/>
  <c r="AM55" i="91"/>
  <c r="E67" i="104" s="1"/>
  <c r="AK10" i="91"/>
  <c r="AM22" i="91"/>
  <c r="AK15" i="91"/>
  <c r="AK31" i="91"/>
  <c r="AM24" i="91"/>
  <c r="AK45" i="91"/>
  <c r="AK30" i="91"/>
  <c r="AK16" i="91"/>
  <c r="AK36" i="91"/>
  <c r="AK5" i="91"/>
  <c r="AK37" i="91"/>
  <c r="AK6" i="91"/>
  <c r="D8" i="104"/>
  <c r="D68" i="104"/>
  <c r="B68" i="104"/>
  <c r="B26" i="104"/>
  <c r="D26" i="104"/>
  <c r="B69" i="104" l="1"/>
  <c r="E21" i="104"/>
  <c r="E22" i="104"/>
  <c r="E23" i="104"/>
  <c r="E24" i="104"/>
  <c r="E15" i="104"/>
  <c r="E25" i="104"/>
  <c r="E14" i="104"/>
  <c r="E16" i="104"/>
  <c r="E17" i="104"/>
  <c r="E20" i="104"/>
  <c r="E18" i="104"/>
  <c r="E19" i="104"/>
  <c r="AK56" i="91"/>
  <c r="AM56" i="91"/>
  <c r="D69" i="104"/>
  <c r="E68" i="104"/>
  <c r="E26" i="104" l="1"/>
  <c r="E69" i="104" s="1"/>
  <c r="E7" i="103" l="1"/>
  <c r="D6" i="103"/>
  <c r="E6" i="103" s="1"/>
  <c r="D5" i="103"/>
  <c r="E5" i="103" s="1"/>
  <c r="D4" i="103"/>
  <c r="E4" i="103" s="1"/>
  <c r="D3" i="103"/>
  <c r="E3" i="103" l="1"/>
  <c r="E12" i="103" s="1"/>
  <c r="D12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AB6" i="91"/>
  <c r="AB7" i="91"/>
  <c r="AB8" i="91"/>
  <c r="AB9" i="91"/>
  <c r="AB10" i="91"/>
  <c r="AB11" i="91"/>
  <c r="AB12" i="91"/>
  <c r="AB13" i="91"/>
  <c r="AB14" i="91"/>
  <c r="AB15" i="91"/>
  <c r="AB16" i="91"/>
  <c r="AB17" i="91"/>
  <c r="AB18" i="91"/>
  <c r="AB19" i="91"/>
  <c r="AB20" i="91"/>
  <c r="AB21" i="91"/>
  <c r="AB22" i="91"/>
  <c r="AB23" i="91"/>
  <c r="AB24" i="91"/>
  <c r="AB25" i="91"/>
  <c r="AB26" i="91"/>
  <c r="AB27" i="91"/>
  <c r="AB28" i="91"/>
  <c r="AB29" i="91"/>
  <c r="AB30" i="91"/>
  <c r="AB31" i="91"/>
  <c r="AB32" i="91"/>
  <c r="AB33" i="91"/>
  <c r="AB34" i="91"/>
  <c r="AB35" i="91"/>
  <c r="AB36" i="91"/>
  <c r="AB37" i="91"/>
  <c r="AB38" i="91"/>
  <c r="AB39" i="91"/>
  <c r="AB40" i="91"/>
  <c r="AB41" i="91"/>
  <c r="AB42" i="91"/>
  <c r="AB43" i="91"/>
  <c r="AB44" i="91"/>
  <c r="AB45" i="91"/>
  <c r="AB46" i="91"/>
  <c r="AB47" i="91"/>
  <c r="AB48" i="91"/>
  <c r="AB49" i="91"/>
  <c r="AB50" i="91"/>
  <c r="AB51" i="91"/>
  <c r="AB52" i="91"/>
  <c r="AB53" i="91"/>
  <c r="AB54" i="91"/>
  <c r="AB55" i="91"/>
  <c r="AB5" i="91"/>
  <c r="E56" i="91"/>
  <c r="F56" i="91"/>
  <c r="G56" i="91"/>
  <c r="AA56" i="91"/>
  <c r="Q5" i="98" l="1"/>
  <c r="B38" i="103"/>
  <c r="B40" i="103" s="1"/>
  <c r="B33" i="103"/>
  <c r="B35" i="103" s="1"/>
  <c r="B23" i="107" s="1"/>
  <c r="B28" i="103"/>
  <c r="B30" i="103" s="1"/>
  <c r="B5" i="105" s="1"/>
  <c r="S41" i="98"/>
  <c r="S21" i="98"/>
  <c r="B17" i="103"/>
  <c r="B19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2" i="103" l="1"/>
  <c r="B24" i="103" s="1"/>
  <c r="B43" i="103"/>
  <c r="B60" i="110" s="1"/>
  <c r="B28" i="105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Z56" i="91"/>
  <c r="B9" i="104" l="1"/>
  <c r="B8" i="104"/>
  <c r="B70" i="105"/>
  <c r="B29" i="105" s="1"/>
  <c r="B18" i="107"/>
  <c r="P56" i="91"/>
  <c r="Q56" i="91"/>
  <c r="R56" i="91"/>
  <c r="S56" i="91"/>
  <c r="K56" i="91"/>
  <c r="L56" i="91"/>
  <c r="M56" i="91"/>
  <c r="N56" i="91"/>
  <c r="I5" i="91"/>
  <c r="I6" i="9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Y56" i="91"/>
  <c r="X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16" i="104" l="1"/>
  <c r="F16" i="104" s="1"/>
  <c r="C21" i="104"/>
  <c r="F21" i="104" s="1"/>
  <c r="C22" i="104"/>
  <c r="F22" i="104" s="1"/>
  <c r="C17" i="104"/>
  <c r="F17" i="104" s="1"/>
  <c r="C18" i="104"/>
  <c r="F18" i="104" s="1"/>
  <c r="C15" i="104"/>
  <c r="F15" i="104" s="1"/>
  <c r="C20" i="104"/>
  <c r="F20" i="104" s="1"/>
  <c r="C14" i="104"/>
  <c r="C19" i="104"/>
  <c r="F19" i="104" s="1"/>
  <c r="C23" i="104"/>
  <c r="F23" i="104" s="1"/>
  <c r="C24" i="104"/>
  <c r="F24" i="104" s="1"/>
  <c r="C25" i="104"/>
  <c r="F25" i="104" s="1"/>
  <c r="C38" i="104"/>
  <c r="F38" i="104" s="1"/>
  <c r="C61" i="104"/>
  <c r="F61" i="104" s="1"/>
  <c r="C55" i="104"/>
  <c r="F55" i="104" s="1"/>
  <c r="C36" i="104"/>
  <c r="F36" i="104" s="1"/>
  <c r="C40" i="104"/>
  <c r="F40" i="104" s="1"/>
  <c r="C58" i="104"/>
  <c r="F58" i="104" s="1"/>
  <c r="C50" i="104"/>
  <c r="F50" i="104" s="1"/>
  <c r="C41" i="104"/>
  <c r="F41" i="104" s="1"/>
  <c r="C67" i="104"/>
  <c r="F67" i="104" s="1"/>
  <c r="C48" i="104"/>
  <c r="F48" i="104" s="1"/>
  <c r="C62" i="104"/>
  <c r="F62" i="104" s="1"/>
  <c r="C53" i="104"/>
  <c r="F53" i="104" s="1"/>
  <c r="C49" i="104"/>
  <c r="F49" i="104" s="1"/>
  <c r="C60" i="104"/>
  <c r="F60" i="104" s="1"/>
  <c r="C31" i="104"/>
  <c r="F31" i="104" s="1"/>
  <c r="C44" i="104"/>
  <c r="F44" i="104" s="1"/>
  <c r="C65" i="104"/>
  <c r="F65" i="104" s="1"/>
  <c r="C33" i="104"/>
  <c r="F33" i="104" s="1"/>
  <c r="C47" i="104"/>
  <c r="F47" i="104" s="1"/>
  <c r="C43" i="104"/>
  <c r="F43" i="104" s="1"/>
  <c r="C39" i="104"/>
  <c r="F39" i="104" s="1"/>
  <c r="C37" i="104"/>
  <c r="F37" i="104" s="1"/>
  <c r="C45" i="104"/>
  <c r="F45" i="104" s="1"/>
  <c r="C51" i="104"/>
  <c r="F51" i="104" s="1"/>
  <c r="C30" i="104"/>
  <c r="F30" i="104" s="1"/>
  <c r="C57" i="104"/>
  <c r="F57" i="104" s="1"/>
  <c r="C64" i="104"/>
  <c r="F64" i="104" s="1"/>
  <c r="C63" i="104"/>
  <c r="F63" i="104" s="1"/>
  <c r="C42" i="104"/>
  <c r="F42" i="104" s="1"/>
  <c r="C34" i="104"/>
  <c r="F34" i="104" s="1"/>
  <c r="C56" i="104"/>
  <c r="F56" i="104" s="1"/>
  <c r="C54" i="104"/>
  <c r="F54" i="104" s="1"/>
  <c r="C46" i="104"/>
  <c r="F46" i="104" s="1"/>
  <c r="C66" i="104"/>
  <c r="F66" i="104" s="1"/>
  <c r="C52" i="104"/>
  <c r="F52" i="104" s="1"/>
  <c r="C32" i="104"/>
  <c r="F32" i="104" s="1"/>
  <c r="C35" i="104"/>
  <c r="F35" i="104" s="1"/>
  <c r="C59" i="104"/>
  <c r="F59" i="104" s="1"/>
  <c r="C29" i="104"/>
  <c r="B24" i="107"/>
  <c r="B25" i="107"/>
  <c r="AD9" i="91"/>
  <c r="AD13" i="91"/>
  <c r="AD17" i="91"/>
  <c r="AD21" i="91"/>
  <c r="AD25" i="91"/>
  <c r="AD29" i="91"/>
  <c r="AD33" i="91"/>
  <c r="AD37" i="91"/>
  <c r="AD41" i="91"/>
  <c r="AD45" i="91"/>
  <c r="AD49" i="91"/>
  <c r="AD53" i="91"/>
  <c r="AD6" i="91"/>
  <c r="AD10" i="91"/>
  <c r="AD14" i="91"/>
  <c r="AD18" i="91"/>
  <c r="AD22" i="91"/>
  <c r="AD26" i="91"/>
  <c r="AD30" i="91"/>
  <c r="AD34" i="91"/>
  <c r="AD38" i="91"/>
  <c r="AD42" i="91"/>
  <c r="AD46" i="91"/>
  <c r="AD50" i="91"/>
  <c r="AD54" i="91"/>
  <c r="AD7" i="91"/>
  <c r="AD11" i="91"/>
  <c r="AD15" i="91"/>
  <c r="AD19" i="91"/>
  <c r="AD23" i="91"/>
  <c r="AD27" i="91"/>
  <c r="AD31" i="91"/>
  <c r="AD35" i="91"/>
  <c r="AD39" i="91"/>
  <c r="AD43" i="91"/>
  <c r="AD47" i="91"/>
  <c r="AD51" i="91"/>
  <c r="AD55" i="91"/>
  <c r="AD8" i="91"/>
  <c r="AD12" i="91"/>
  <c r="AD16" i="91"/>
  <c r="AD20" i="91"/>
  <c r="AD24" i="91"/>
  <c r="AD28" i="91"/>
  <c r="AD32" i="91"/>
  <c r="AD36" i="91"/>
  <c r="AD40" i="91"/>
  <c r="AD44" i="91"/>
  <c r="AD48" i="91"/>
  <c r="AD52" i="91"/>
  <c r="AD5" i="91"/>
  <c r="AE8" i="91"/>
  <c r="AE12" i="91"/>
  <c r="AE16" i="91"/>
  <c r="AE20" i="91"/>
  <c r="AE24" i="91"/>
  <c r="AE28" i="91"/>
  <c r="AE32" i="91"/>
  <c r="AE36" i="91"/>
  <c r="AE40" i="91"/>
  <c r="AE44" i="91"/>
  <c r="AE48" i="91"/>
  <c r="AE52" i="91"/>
  <c r="AE5" i="91"/>
  <c r="AE9" i="91"/>
  <c r="AE13" i="91"/>
  <c r="AE17" i="91"/>
  <c r="AE21" i="91"/>
  <c r="AE25" i="91"/>
  <c r="AE29" i="91"/>
  <c r="AE33" i="91"/>
  <c r="AE37" i="91"/>
  <c r="AE41" i="91"/>
  <c r="AE45" i="91"/>
  <c r="AE49" i="91"/>
  <c r="AE53" i="91"/>
  <c r="AE6" i="91"/>
  <c r="AE10" i="91"/>
  <c r="AE14" i="91"/>
  <c r="AE18" i="91"/>
  <c r="AE22" i="91"/>
  <c r="AE26" i="91"/>
  <c r="AE30" i="91"/>
  <c r="AE34" i="91"/>
  <c r="AE38" i="91"/>
  <c r="AE42" i="91"/>
  <c r="AE46" i="91"/>
  <c r="AE50" i="91"/>
  <c r="AE54" i="91"/>
  <c r="AE7" i="91"/>
  <c r="AE11" i="91"/>
  <c r="AE15" i="91"/>
  <c r="AE19" i="91"/>
  <c r="AE23" i="91"/>
  <c r="AE27" i="91"/>
  <c r="AE31" i="91"/>
  <c r="AE35" i="91"/>
  <c r="AE39" i="91"/>
  <c r="AE43" i="91"/>
  <c r="AE47" i="91"/>
  <c r="AE51" i="91"/>
  <c r="AE55" i="91"/>
  <c r="O34" i="91"/>
  <c r="O50" i="91"/>
  <c r="J56" i="91"/>
  <c r="O10" i="91"/>
  <c r="O18" i="91"/>
  <c r="O54" i="91"/>
  <c r="O38" i="91"/>
  <c r="O22" i="91"/>
  <c r="O6" i="91"/>
  <c r="O46" i="91"/>
  <c r="O30" i="91"/>
  <c r="O14" i="91"/>
  <c r="O42" i="91"/>
  <c r="O26" i="91"/>
  <c r="AF41" i="91"/>
  <c r="O7" i="91"/>
  <c r="O9" i="91"/>
  <c r="O11" i="91"/>
  <c r="O13" i="91"/>
  <c r="O15" i="91"/>
  <c r="O17" i="91"/>
  <c r="O19" i="91"/>
  <c r="O21" i="91"/>
  <c r="O23" i="91"/>
  <c r="O25" i="91"/>
  <c r="O27" i="91"/>
  <c r="O29" i="91"/>
  <c r="O31" i="91"/>
  <c r="O33" i="91"/>
  <c r="O35" i="91"/>
  <c r="O37" i="91"/>
  <c r="O39" i="91"/>
  <c r="O41" i="91"/>
  <c r="O43" i="91"/>
  <c r="O45" i="91"/>
  <c r="O47" i="91"/>
  <c r="O49" i="91"/>
  <c r="O51" i="91"/>
  <c r="O53" i="91"/>
  <c r="O55" i="91"/>
  <c r="O8" i="91"/>
  <c r="O12" i="91"/>
  <c r="O16" i="91"/>
  <c r="O20" i="91"/>
  <c r="O24" i="91"/>
  <c r="O28" i="91"/>
  <c r="O32" i="91"/>
  <c r="O36" i="91"/>
  <c r="O40" i="91"/>
  <c r="O44" i="91"/>
  <c r="O48" i="91"/>
  <c r="O52" i="91"/>
  <c r="O5" i="91"/>
  <c r="I56" i="91"/>
  <c r="T6" i="91"/>
  <c r="T7" i="91"/>
  <c r="T8" i="91"/>
  <c r="T9" i="91"/>
  <c r="T10" i="91"/>
  <c r="AG10" i="91" s="1"/>
  <c r="T11" i="91"/>
  <c r="T12" i="91"/>
  <c r="T13" i="91"/>
  <c r="AG13" i="91" s="1"/>
  <c r="T14" i="91"/>
  <c r="T15" i="91"/>
  <c r="T16" i="91"/>
  <c r="T17" i="91"/>
  <c r="T18" i="91"/>
  <c r="T19" i="91"/>
  <c r="T20" i="91"/>
  <c r="T21" i="91"/>
  <c r="T22" i="91"/>
  <c r="AG22" i="91" s="1"/>
  <c r="T23" i="91"/>
  <c r="T24" i="91"/>
  <c r="AG24" i="91" s="1"/>
  <c r="T25" i="91"/>
  <c r="T26" i="91"/>
  <c r="T27" i="91"/>
  <c r="T28" i="91"/>
  <c r="T29" i="91"/>
  <c r="AG29" i="91" s="1"/>
  <c r="T30" i="91"/>
  <c r="T31" i="91"/>
  <c r="T32" i="91"/>
  <c r="T33" i="91"/>
  <c r="T34" i="91"/>
  <c r="T35" i="91"/>
  <c r="AG35" i="91" s="1"/>
  <c r="T36" i="91"/>
  <c r="T37" i="91"/>
  <c r="T38" i="91"/>
  <c r="T39" i="91"/>
  <c r="T40" i="91"/>
  <c r="T41" i="91"/>
  <c r="T42" i="91"/>
  <c r="T43" i="91"/>
  <c r="AG43" i="91" s="1"/>
  <c r="T44" i="91"/>
  <c r="T45" i="91"/>
  <c r="T46" i="91"/>
  <c r="T47" i="91"/>
  <c r="T48" i="91"/>
  <c r="T49" i="91"/>
  <c r="AG49" i="91" s="1"/>
  <c r="T50" i="91"/>
  <c r="AG50" i="91" s="1"/>
  <c r="T51" i="91"/>
  <c r="AG51" i="91" s="1"/>
  <c r="T52" i="91"/>
  <c r="AG52" i="91" s="1"/>
  <c r="T53" i="91"/>
  <c r="AG53" i="91" s="1"/>
  <c r="T54" i="91"/>
  <c r="T55" i="91"/>
  <c r="T5" i="91"/>
  <c r="AB56" i="91"/>
  <c r="AC43" i="91" s="1"/>
  <c r="AF19" i="91" l="1"/>
  <c r="M22" i="100"/>
  <c r="AA22" i="100" s="1"/>
  <c r="B9" i="114"/>
  <c r="M22" i="114" s="1"/>
  <c r="AA22" i="114" s="1"/>
  <c r="M41" i="100"/>
  <c r="AA41" i="100" s="1"/>
  <c r="B33" i="114"/>
  <c r="M41" i="114" s="1"/>
  <c r="AA41" i="114" s="1"/>
  <c r="M43" i="100"/>
  <c r="AA43" i="100" s="1"/>
  <c r="B35" i="114"/>
  <c r="M43" i="114" s="1"/>
  <c r="AA43" i="114" s="1"/>
  <c r="M17" i="100"/>
  <c r="AA17" i="100" s="1"/>
  <c r="B54" i="114"/>
  <c r="M17" i="114" s="1"/>
  <c r="AA17" i="114" s="1"/>
  <c r="M21" i="100"/>
  <c r="AA21" i="100" s="1"/>
  <c r="B8" i="114"/>
  <c r="M21" i="114" s="1"/>
  <c r="AA21" i="114" s="1"/>
  <c r="M27" i="100"/>
  <c r="AA27" i="100" s="1"/>
  <c r="B16" i="114"/>
  <c r="M27" i="114" s="1"/>
  <c r="AA27" i="114" s="1"/>
  <c r="M38" i="100"/>
  <c r="AA38" i="100" s="1"/>
  <c r="B29" i="114"/>
  <c r="M38" i="114" s="1"/>
  <c r="AA38" i="114" s="1"/>
  <c r="M15" i="100"/>
  <c r="AA15" i="100" s="1"/>
  <c r="B52" i="114"/>
  <c r="M15" i="114" s="1"/>
  <c r="AA15" i="114" s="1"/>
  <c r="M42" i="100"/>
  <c r="AA42" i="100" s="1"/>
  <c r="B34" i="114"/>
  <c r="M42" i="114" s="1"/>
  <c r="AA42" i="114" s="1"/>
  <c r="M36" i="100"/>
  <c r="AA36" i="100" s="1"/>
  <c r="B27" i="114"/>
  <c r="M36" i="114" s="1"/>
  <c r="AA36" i="114" s="1"/>
  <c r="M57" i="100"/>
  <c r="AA57" i="100" s="1"/>
  <c r="B56" i="114"/>
  <c r="M57" i="114" s="1"/>
  <c r="AA57" i="114" s="1"/>
  <c r="M11" i="100"/>
  <c r="AA11" i="100" s="1"/>
  <c r="B36" i="114"/>
  <c r="M11" i="114" s="1"/>
  <c r="AA11" i="114" s="1"/>
  <c r="M35" i="100"/>
  <c r="AA35" i="100" s="1"/>
  <c r="B26" i="114"/>
  <c r="M35" i="114" s="1"/>
  <c r="AA35" i="114" s="1"/>
  <c r="M29" i="100"/>
  <c r="AA29" i="100" s="1"/>
  <c r="B18" i="114"/>
  <c r="M29" i="114" s="1"/>
  <c r="AA29" i="114" s="1"/>
  <c r="M44" i="100"/>
  <c r="AA44" i="100" s="1"/>
  <c r="B37" i="114"/>
  <c r="M44" i="114" s="1"/>
  <c r="AA44" i="114" s="1"/>
  <c r="M33" i="100"/>
  <c r="AA33" i="100" s="1"/>
  <c r="B22" i="114"/>
  <c r="M33" i="114" s="1"/>
  <c r="AA33" i="114" s="1"/>
  <c r="M31" i="100"/>
  <c r="AA31" i="100" s="1"/>
  <c r="B20" i="114"/>
  <c r="M31" i="114" s="1"/>
  <c r="AA31" i="114" s="1"/>
  <c r="M54" i="100"/>
  <c r="AA54" i="100" s="1"/>
  <c r="B48" i="114"/>
  <c r="M54" i="114" s="1"/>
  <c r="AA54" i="114" s="1"/>
  <c r="M46" i="100"/>
  <c r="AA46" i="100" s="1"/>
  <c r="B39" i="114"/>
  <c r="M46" i="114" s="1"/>
  <c r="AA46" i="114" s="1"/>
  <c r="M37" i="100"/>
  <c r="AA37" i="100" s="1"/>
  <c r="B28" i="114"/>
  <c r="M37" i="114" s="1"/>
  <c r="AA37" i="114" s="1"/>
  <c r="M40" i="100"/>
  <c r="AA40" i="100" s="1"/>
  <c r="B32" i="114"/>
  <c r="M40" i="114" s="1"/>
  <c r="AA40" i="114" s="1"/>
  <c r="M12" i="100"/>
  <c r="AA12" i="100" s="1"/>
  <c r="B44" i="114"/>
  <c r="M12" i="114" s="1"/>
  <c r="AA12" i="114" s="1"/>
  <c r="M56" i="100"/>
  <c r="AA56" i="100" s="1"/>
  <c r="B55" i="114"/>
  <c r="M56" i="114" s="1"/>
  <c r="AA56" i="114" s="1"/>
  <c r="M24" i="100"/>
  <c r="AA24" i="100" s="1"/>
  <c r="B12" i="114"/>
  <c r="M24" i="114" s="1"/>
  <c r="AA24" i="114" s="1"/>
  <c r="M23" i="100"/>
  <c r="AA23" i="100" s="1"/>
  <c r="B10" i="114"/>
  <c r="M23" i="114" s="1"/>
  <c r="AA23" i="114" s="1"/>
  <c r="M48" i="100"/>
  <c r="AA48" i="100" s="1"/>
  <c r="B41" i="114"/>
  <c r="M48" i="114" s="1"/>
  <c r="AA48" i="114" s="1"/>
  <c r="M7" i="100"/>
  <c r="AA7" i="100" s="1"/>
  <c r="B14" i="114"/>
  <c r="M7" i="114" s="1"/>
  <c r="AA7" i="114" s="1"/>
  <c r="M16" i="100"/>
  <c r="AA16" i="100" s="1"/>
  <c r="B53" i="114"/>
  <c r="M16" i="114" s="1"/>
  <c r="AA16" i="114" s="1"/>
  <c r="M32" i="100"/>
  <c r="AA32" i="100" s="1"/>
  <c r="B21" i="114"/>
  <c r="M32" i="114" s="1"/>
  <c r="AA32" i="114" s="1"/>
  <c r="M55" i="100"/>
  <c r="AA55" i="100" s="1"/>
  <c r="B49" i="114"/>
  <c r="M55" i="114" s="1"/>
  <c r="AA55" i="114" s="1"/>
  <c r="M30" i="100"/>
  <c r="AA30" i="100" s="1"/>
  <c r="B19" i="114"/>
  <c r="M30" i="114" s="1"/>
  <c r="AA30" i="114" s="1"/>
  <c r="M10" i="100"/>
  <c r="AA10" i="100" s="1"/>
  <c r="B30" i="114"/>
  <c r="M10" i="114" s="1"/>
  <c r="AA10" i="114" s="1"/>
  <c r="M52" i="100"/>
  <c r="AA52" i="100" s="1"/>
  <c r="B46" i="114"/>
  <c r="M52" i="114" s="1"/>
  <c r="AA52" i="114" s="1"/>
  <c r="M53" i="100"/>
  <c r="AA53" i="100" s="1"/>
  <c r="B47" i="114"/>
  <c r="M53" i="114" s="1"/>
  <c r="AA53" i="114" s="1"/>
  <c r="M34" i="100"/>
  <c r="AA34" i="100" s="1"/>
  <c r="B24" i="114"/>
  <c r="M34" i="114" s="1"/>
  <c r="AA34" i="114" s="1"/>
  <c r="M26" i="100"/>
  <c r="AA26" i="100" s="1"/>
  <c r="B15" i="114"/>
  <c r="M26" i="114" s="1"/>
  <c r="AA26" i="114" s="1"/>
  <c r="M9" i="100"/>
  <c r="AA9" i="100" s="1"/>
  <c r="B25" i="114"/>
  <c r="M9" i="114" s="1"/>
  <c r="AA9" i="114" s="1"/>
  <c r="M45" i="100"/>
  <c r="AA45" i="100" s="1"/>
  <c r="B38" i="114"/>
  <c r="M45" i="114" s="1"/>
  <c r="AA45" i="114" s="1"/>
  <c r="M14" i="100"/>
  <c r="AA14" i="100" s="1"/>
  <c r="B51" i="114"/>
  <c r="M14" i="114" s="1"/>
  <c r="AA14" i="114" s="1"/>
  <c r="M47" i="100"/>
  <c r="AA47" i="100" s="1"/>
  <c r="B40" i="114"/>
  <c r="M47" i="114" s="1"/>
  <c r="AA47" i="114" s="1"/>
  <c r="M50" i="100"/>
  <c r="AA50" i="100" s="1"/>
  <c r="B43" i="114"/>
  <c r="M50" i="114" s="1"/>
  <c r="AA50" i="114" s="1"/>
  <c r="M51" i="100"/>
  <c r="AA51" i="100" s="1"/>
  <c r="B45" i="114"/>
  <c r="M51" i="114" s="1"/>
  <c r="AA51" i="114" s="1"/>
  <c r="M13" i="100"/>
  <c r="AA13" i="100" s="1"/>
  <c r="B50" i="114"/>
  <c r="M13" i="114" s="1"/>
  <c r="AA13" i="114" s="1"/>
  <c r="M49" i="100"/>
  <c r="AA49" i="100" s="1"/>
  <c r="B42" i="114"/>
  <c r="M49" i="114" s="1"/>
  <c r="AA49" i="114" s="1"/>
  <c r="M25" i="100"/>
  <c r="AA25" i="100" s="1"/>
  <c r="B13" i="114"/>
  <c r="M25" i="114" s="1"/>
  <c r="AA25" i="114" s="1"/>
  <c r="M20" i="100"/>
  <c r="AA20" i="100" s="1"/>
  <c r="B7" i="114"/>
  <c r="M20" i="114" s="1"/>
  <c r="AA20" i="114" s="1"/>
  <c r="M39" i="100"/>
  <c r="AA39" i="100" s="1"/>
  <c r="B31" i="114"/>
  <c r="M39" i="114" s="1"/>
  <c r="AA39" i="114" s="1"/>
  <c r="M28" i="100"/>
  <c r="AA28" i="100" s="1"/>
  <c r="B17" i="114"/>
  <c r="M28" i="114" s="1"/>
  <c r="AA28" i="114" s="1"/>
  <c r="M8" i="100"/>
  <c r="AA8" i="100" s="1"/>
  <c r="B23" i="114"/>
  <c r="M8" i="114" s="1"/>
  <c r="AA8" i="114" s="1"/>
  <c r="F14" i="104"/>
  <c r="B11" i="114" s="1"/>
  <c r="M6" i="114" s="1"/>
  <c r="C26" i="104"/>
  <c r="F29" i="104"/>
  <c r="B6" i="114" s="1"/>
  <c r="C68" i="104"/>
  <c r="AF37" i="91"/>
  <c r="C8" i="107"/>
  <c r="C12" i="107"/>
  <c r="C16" i="107"/>
  <c r="C9" i="107"/>
  <c r="C13" i="107"/>
  <c r="C17" i="107"/>
  <c r="C10" i="107"/>
  <c r="C14" i="107"/>
  <c r="C6" i="107"/>
  <c r="C7" i="107"/>
  <c r="C11" i="107"/>
  <c r="C15" i="107"/>
  <c r="J39" i="98"/>
  <c r="J21" i="98"/>
  <c r="AF10" i="91"/>
  <c r="Q12" i="98" s="1"/>
  <c r="J43" i="98"/>
  <c r="AF49" i="91"/>
  <c r="B45" i="98"/>
  <c r="AG45" i="91"/>
  <c r="AG33" i="91"/>
  <c r="AG25" i="91"/>
  <c r="AG54" i="91"/>
  <c r="AG46" i="91"/>
  <c r="AG42" i="91"/>
  <c r="AG38" i="91"/>
  <c r="AG34" i="91"/>
  <c r="AG30" i="91"/>
  <c r="AG26" i="91"/>
  <c r="AG18" i="91"/>
  <c r="AG14" i="91"/>
  <c r="AG6" i="91"/>
  <c r="AG37" i="91"/>
  <c r="AG21" i="91"/>
  <c r="AG5" i="91"/>
  <c r="AG48" i="91"/>
  <c r="AG44" i="91"/>
  <c r="AG40" i="91"/>
  <c r="AG36" i="91"/>
  <c r="AG32" i="91"/>
  <c r="AG28" i="91"/>
  <c r="AG20" i="91"/>
  <c r="AG16" i="91"/>
  <c r="AG12" i="91"/>
  <c r="AG8" i="91"/>
  <c r="AG41" i="91"/>
  <c r="AG17" i="91"/>
  <c r="AG9" i="91"/>
  <c r="AG55" i="91"/>
  <c r="AG47" i="91"/>
  <c r="AG39" i="91"/>
  <c r="AG31" i="91"/>
  <c r="AG27" i="91"/>
  <c r="AG23" i="91"/>
  <c r="AG19" i="91"/>
  <c r="AG15" i="91"/>
  <c r="AG11" i="91"/>
  <c r="AG7" i="91"/>
  <c r="AF44" i="91"/>
  <c r="AF12" i="91"/>
  <c r="AF16" i="91"/>
  <c r="AF30" i="91"/>
  <c r="AF40" i="91"/>
  <c r="AF47" i="91"/>
  <c r="AF23" i="91"/>
  <c r="AF25" i="91"/>
  <c r="AF9" i="91"/>
  <c r="AF31" i="91"/>
  <c r="AF51" i="91"/>
  <c r="AF17" i="91"/>
  <c r="AF48" i="91"/>
  <c r="AF53" i="91"/>
  <c r="AF45" i="91"/>
  <c r="AF29" i="91"/>
  <c r="AF21" i="91"/>
  <c r="AF13" i="91"/>
  <c r="AF8" i="91"/>
  <c r="AF24" i="91"/>
  <c r="AF18" i="91"/>
  <c r="AF39" i="91"/>
  <c r="AF54" i="91"/>
  <c r="AF38" i="91"/>
  <c r="AF22" i="91"/>
  <c r="AF50" i="91"/>
  <c r="AF34" i="91"/>
  <c r="AF33" i="91"/>
  <c r="AF42" i="91"/>
  <c r="AF26" i="91"/>
  <c r="AC28" i="91"/>
  <c r="AF32" i="91"/>
  <c r="AF6" i="91"/>
  <c r="AF55" i="91"/>
  <c r="AF15" i="91"/>
  <c r="AC16" i="91"/>
  <c r="AD56" i="91"/>
  <c r="AE56" i="91"/>
  <c r="AC40" i="91"/>
  <c r="AC8" i="91"/>
  <c r="AC48" i="91"/>
  <c r="AC30" i="91"/>
  <c r="AC13" i="91"/>
  <c r="AC29" i="91"/>
  <c r="AC45" i="91"/>
  <c r="AC18" i="91"/>
  <c r="AC15" i="91"/>
  <c r="AC47" i="91"/>
  <c r="AF43" i="91"/>
  <c r="AF27" i="91"/>
  <c r="AF11" i="91"/>
  <c r="AC12" i="91"/>
  <c r="AC24" i="91"/>
  <c r="AC32" i="91"/>
  <c r="AC44" i="91"/>
  <c r="AC5" i="91"/>
  <c r="AC50" i="91"/>
  <c r="AC21" i="91"/>
  <c r="AC37" i="91"/>
  <c r="AC53" i="91"/>
  <c r="AC46" i="91"/>
  <c r="AC31" i="91"/>
  <c r="AF52" i="91"/>
  <c r="AF46" i="91"/>
  <c r="AF36" i="91"/>
  <c r="AF28" i="91"/>
  <c r="AF20" i="91"/>
  <c r="AF14" i="91"/>
  <c r="AF5" i="91"/>
  <c r="O56" i="91"/>
  <c r="AF35" i="91"/>
  <c r="AF7" i="91"/>
  <c r="U42" i="91"/>
  <c r="V42" i="91" s="1"/>
  <c r="U30" i="91"/>
  <c r="V30" i="91" s="1"/>
  <c r="U18" i="91"/>
  <c r="V18" i="91" s="1"/>
  <c r="U6" i="91"/>
  <c r="V6" i="91" s="1"/>
  <c r="U53" i="91"/>
  <c r="V53" i="91" s="1"/>
  <c r="U49" i="91"/>
  <c r="V49" i="91" s="1"/>
  <c r="U45" i="91"/>
  <c r="V45" i="91" s="1"/>
  <c r="U41" i="91"/>
  <c r="V41" i="91" s="1"/>
  <c r="U37" i="91"/>
  <c r="V37" i="91" s="1"/>
  <c r="U33" i="91"/>
  <c r="V33" i="91" s="1"/>
  <c r="U29" i="91"/>
  <c r="V29" i="91" s="1"/>
  <c r="U25" i="91"/>
  <c r="V25" i="91" s="1"/>
  <c r="U21" i="91"/>
  <c r="V21" i="91" s="1"/>
  <c r="U17" i="91"/>
  <c r="V17" i="91" s="1"/>
  <c r="U13" i="91"/>
  <c r="V13" i="91" s="1"/>
  <c r="U9" i="91"/>
  <c r="V9" i="91" s="1"/>
  <c r="AC22" i="91"/>
  <c r="AC9" i="91"/>
  <c r="AC25" i="91"/>
  <c r="AC41" i="91"/>
  <c r="AC6" i="91"/>
  <c r="AC26" i="91"/>
  <c r="AC54" i="91"/>
  <c r="AC19" i="91"/>
  <c r="AC35" i="91"/>
  <c r="AC51" i="91"/>
  <c r="U50" i="91"/>
  <c r="V50" i="91" s="1"/>
  <c r="U38" i="91"/>
  <c r="V38" i="91" s="1"/>
  <c r="U26" i="91"/>
  <c r="V26" i="91" s="1"/>
  <c r="U14" i="91"/>
  <c r="V14" i="91" s="1"/>
  <c r="U5" i="91"/>
  <c r="T56" i="91"/>
  <c r="U52" i="91"/>
  <c r="V52" i="91" s="1"/>
  <c r="U48" i="91"/>
  <c r="V48" i="91" s="1"/>
  <c r="U44" i="91"/>
  <c r="V44" i="91" s="1"/>
  <c r="U40" i="91"/>
  <c r="V40" i="91" s="1"/>
  <c r="U36" i="91"/>
  <c r="V36" i="91" s="1"/>
  <c r="U32" i="91"/>
  <c r="V32" i="91" s="1"/>
  <c r="U28" i="91"/>
  <c r="V28" i="91" s="1"/>
  <c r="U24" i="91"/>
  <c r="V24" i="91" s="1"/>
  <c r="U20" i="91"/>
  <c r="V20" i="91" s="1"/>
  <c r="U16" i="91"/>
  <c r="V16" i="91" s="1"/>
  <c r="U12" i="91"/>
  <c r="V12" i="91" s="1"/>
  <c r="U8" i="91"/>
  <c r="V8" i="91" s="1"/>
  <c r="AC10" i="91"/>
  <c r="AC34" i="91"/>
  <c r="AC7" i="91"/>
  <c r="AC23" i="91"/>
  <c r="AC39" i="91"/>
  <c r="AC55" i="91"/>
  <c r="U54" i="91"/>
  <c r="V54" i="91" s="1"/>
  <c r="U46" i="91"/>
  <c r="V46" i="91" s="1"/>
  <c r="U34" i="91"/>
  <c r="V34" i="91" s="1"/>
  <c r="U22" i="91"/>
  <c r="V22" i="91" s="1"/>
  <c r="U10" i="91"/>
  <c r="V10" i="91" s="1"/>
  <c r="AC20" i="91"/>
  <c r="AC36" i="91"/>
  <c r="AC52" i="91"/>
  <c r="U55" i="91"/>
  <c r="V55" i="91" s="1"/>
  <c r="U51" i="91"/>
  <c r="V51" i="91" s="1"/>
  <c r="U47" i="91"/>
  <c r="V47" i="91" s="1"/>
  <c r="U43" i="91"/>
  <c r="V43" i="91" s="1"/>
  <c r="U39" i="91"/>
  <c r="V39" i="91" s="1"/>
  <c r="U35" i="91"/>
  <c r="V35" i="91" s="1"/>
  <c r="U31" i="91"/>
  <c r="V31" i="91" s="1"/>
  <c r="U27" i="91"/>
  <c r="V27" i="91" s="1"/>
  <c r="U23" i="91"/>
  <c r="V23" i="91" s="1"/>
  <c r="U19" i="91"/>
  <c r="V19" i="91" s="1"/>
  <c r="U15" i="91"/>
  <c r="V15" i="91" s="1"/>
  <c r="U11" i="91"/>
  <c r="V11" i="91" s="1"/>
  <c r="U7" i="91"/>
  <c r="V7" i="91" s="1"/>
  <c r="AC42" i="91"/>
  <c r="AC17" i="91"/>
  <c r="AC33" i="91"/>
  <c r="AC49" i="91"/>
  <c r="AC14" i="91"/>
  <c r="AC38" i="91"/>
  <c r="AC11" i="91"/>
  <c r="AC27" i="91"/>
  <c r="C69" i="104" l="1"/>
  <c r="B57" i="114"/>
  <c r="M19" i="114"/>
  <c r="M18" i="114"/>
  <c r="AA6" i="114"/>
  <c r="AA18" i="114" s="1"/>
  <c r="M19" i="100"/>
  <c r="F68" i="104"/>
  <c r="M6" i="100"/>
  <c r="F26" i="104"/>
  <c r="C18" i="107"/>
  <c r="C12" i="98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F56" i="91"/>
  <c r="AG56" i="91"/>
  <c r="V5" i="91"/>
  <c r="U56" i="91"/>
  <c r="AC56" i="91"/>
  <c r="AA19" i="114" l="1"/>
  <c r="AA58" i="114" s="1"/>
  <c r="AA59" i="114" s="1"/>
  <c r="M58" i="114"/>
  <c r="M59" i="114" s="1"/>
  <c r="AA6" i="100"/>
  <c r="AA18" i="100" s="1"/>
  <c r="M18" i="100"/>
  <c r="F69" i="104"/>
  <c r="AA19" i="100"/>
  <c r="AA58" i="100" s="1"/>
  <c r="AA59" i="100" s="1"/>
  <c r="M58" i="100"/>
  <c r="M59" i="100" s="1"/>
  <c r="Q58" i="98"/>
  <c r="P58" i="98"/>
  <c r="I58" i="98"/>
  <c r="C58" i="98"/>
  <c r="B58" i="98"/>
  <c r="V56" i="91"/>
  <c r="W5" i="91" s="1"/>
  <c r="AH5" i="91" l="1"/>
  <c r="W8" i="91"/>
  <c r="W41" i="91"/>
  <c r="W20" i="91"/>
  <c r="W9" i="91"/>
  <c r="W26" i="91"/>
  <c r="W27" i="91"/>
  <c r="W38" i="91"/>
  <c r="W39" i="91"/>
  <c r="W40" i="91"/>
  <c r="W17" i="91"/>
  <c r="W49" i="91"/>
  <c r="AH49" i="91" s="1"/>
  <c r="W51" i="91"/>
  <c r="AH51" i="91" s="1"/>
  <c r="W36" i="91"/>
  <c r="W37" i="91"/>
  <c r="W54" i="91"/>
  <c r="W46" i="91"/>
  <c r="W12" i="91"/>
  <c r="W50" i="91"/>
  <c r="AH50" i="91" s="1"/>
  <c r="W13" i="91"/>
  <c r="AH13" i="91" s="1"/>
  <c r="W30" i="91"/>
  <c r="W43" i="91"/>
  <c r="AH43" i="91" s="1"/>
  <c r="W28" i="91"/>
  <c r="W29" i="91"/>
  <c r="AH29" i="91" s="1"/>
  <c r="W15" i="91"/>
  <c r="W47" i="91"/>
  <c r="W16" i="91"/>
  <c r="W48" i="91"/>
  <c r="W25" i="91"/>
  <c r="W18" i="91"/>
  <c r="W52" i="91"/>
  <c r="AH52" i="91" s="1"/>
  <c r="W53" i="91"/>
  <c r="AH53" i="91" s="1"/>
  <c r="W11" i="91"/>
  <c r="W6" i="91"/>
  <c r="W10" i="91"/>
  <c r="AH10" i="91" s="1"/>
  <c r="W44" i="91"/>
  <c r="W45" i="91"/>
  <c r="W34" i="91"/>
  <c r="W23" i="91"/>
  <c r="W55" i="91"/>
  <c r="W24" i="91"/>
  <c r="AH24" i="91" s="1"/>
  <c r="W33" i="91"/>
  <c r="W42" i="91"/>
  <c r="W19" i="91"/>
  <c r="W14" i="91"/>
  <c r="W31" i="91"/>
  <c r="W32" i="91"/>
  <c r="W35" i="91"/>
  <c r="AH35" i="91" s="1"/>
  <c r="W21" i="91"/>
  <c r="W7" i="91"/>
  <c r="W22" i="91"/>
  <c r="AH22" i="91" s="1"/>
  <c r="AH55" i="91" l="1"/>
  <c r="AH44" i="91"/>
  <c r="AH32" i="91"/>
  <c r="AI32" i="91" s="1"/>
  <c r="K34" i="98" s="1"/>
  <c r="AH42" i="91"/>
  <c r="AI42" i="91" s="1"/>
  <c r="K44" i="98" s="1"/>
  <c r="AH21" i="91"/>
  <c r="AH14" i="91"/>
  <c r="AI14" i="91" s="1"/>
  <c r="K16" i="98" s="1"/>
  <c r="AH45" i="91"/>
  <c r="AI45" i="91" s="1"/>
  <c r="K47" i="98" s="1"/>
  <c r="AH11" i="91"/>
  <c r="AI11" i="91" s="1"/>
  <c r="K13" i="98" s="1"/>
  <c r="AH25" i="91"/>
  <c r="AH15" i="91"/>
  <c r="AI15" i="91" s="1"/>
  <c r="K17" i="98" s="1"/>
  <c r="AH30" i="91"/>
  <c r="AI30" i="91" s="1"/>
  <c r="K32" i="98" s="1"/>
  <c r="AH46" i="91"/>
  <c r="AI46" i="91" s="1"/>
  <c r="K48" i="98" s="1"/>
  <c r="AH39" i="91"/>
  <c r="AH9" i="91"/>
  <c r="AI9" i="91" s="1"/>
  <c r="K11" i="98" s="1"/>
  <c r="AH19" i="91"/>
  <c r="AI19" i="91" s="1"/>
  <c r="K21" i="98" s="1"/>
  <c r="AH48" i="91"/>
  <c r="AI48" i="91" s="1"/>
  <c r="K50" i="98" s="1"/>
  <c r="AH54" i="91"/>
  <c r="AH38" i="91"/>
  <c r="AI38" i="91" s="1"/>
  <c r="K40" i="98" s="1"/>
  <c r="AH20" i="91"/>
  <c r="AI20" i="91" s="1"/>
  <c r="K22" i="98" s="1"/>
  <c r="AH23" i="91"/>
  <c r="AI23" i="91" s="1"/>
  <c r="K25" i="98" s="1"/>
  <c r="AH16" i="91"/>
  <c r="AH28" i="91"/>
  <c r="AI28" i="91" s="1"/>
  <c r="K30" i="98" s="1"/>
  <c r="AH37" i="91"/>
  <c r="AI37" i="91" s="1"/>
  <c r="K39" i="98" s="1"/>
  <c r="AH17" i="91"/>
  <c r="AI17" i="91" s="1"/>
  <c r="K19" i="98" s="1"/>
  <c r="AH27" i="91"/>
  <c r="AH41" i="91"/>
  <c r="AI41" i="91" s="1"/>
  <c r="K43" i="98" s="1"/>
  <c r="AH7" i="91"/>
  <c r="AI7" i="91" s="1"/>
  <c r="K9" i="98" s="1"/>
  <c r="AH31" i="91"/>
  <c r="AI31" i="91" s="1"/>
  <c r="K33" i="98" s="1"/>
  <c r="AH33" i="91"/>
  <c r="AI33" i="91" s="1"/>
  <c r="K35" i="98" s="1"/>
  <c r="AH34" i="91"/>
  <c r="AI34" i="91" s="1"/>
  <c r="K36" i="98" s="1"/>
  <c r="AH6" i="91"/>
  <c r="AH18" i="91"/>
  <c r="AH47" i="91"/>
  <c r="AI47" i="91" s="1"/>
  <c r="K49" i="98" s="1"/>
  <c r="AH12" i="91"/>
  <c r="AI12" i="91" s="1"/>
  <c r="K14" i="98" s="1"/>
  <c r="AH36" i="91"/>
  <c r="AI36" i="91" s="1"/>
  <c r="K38" i="98" s="1"/>
  <c r="AH40" i="91"/>
  <c r="AI40" i="91" s="1"/>
  <c r="K42" i="98" s="1"/>
  <c r="AH26" i="91"/>
  <c r="AI26" i="91" s="1"/>
  <c r="K28" i="98" s="1"/>
  <c r="AH8" i="91"/>
  <c r="AI8" i="91" s="1"/>
  <c r="K10" i="98" s="1"/>
  <c r="AI18" i="91"/>
  <c r="K20" i="98" s="1"/>
  <c r="AI43" i="91"/>
  <c r="AI24" i="91"/>
  <c r="AI25" i="91"/>
  <c r="K27" i="98" s="1"/>
  <c r="AI39" i="91"/>
  <c r="K41" i="98" s="1"/>
  <c r="AI53" i="91"/>
  <c r="AI29" i="91"/>
  <c r="AI13" i="91"/>
  <c r="AI54" i="91"/>
  <c r="K56" i="98" s="1"/>
  <c r="AI49" i="91"/>
  <c r="AI21" i="91"/>
  <c r="K23" i="98" s="1"/>
  <c r="AI51" i="91"/>
  <c r="AI35" i="91"/>
  <c r="AI55" i="91"/>
  <c r="K57" i="98" s="1"/>
  <c r="AI44" i="91"/>
  <c r="K46" i="98" s="1"/>
  <c r="AI22" i="91"/>
  <c r="AI10" i="91"/>
  <c r="AI52" i="91"/>
  <c r="AI16" i="91"/>
  <c r="K18" i="98" s="1"/>
  <c r="AI50" i="91"/>
  <c r="AI27" i="91"/>
  <c r="K29" i="98" s="1"/>
  <c r="W56" i="91"/>
  <c r="AI5" i="91"/>
  <c r="AH56" i="91" l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AI6" i="91"/>
  <c r="K8" i="98" s="1"/>
  <c r="E28" i="98"/>
  <c r="J58" i="98"/>
  <c r="E7" i="98"/>
  <c r="D58" i="98" l="1"/>
  <c r="E8" i="98"/>
  <c r="E58" i="98" s="1"/>
  <c r="AI56" i="91"/>
  <c r="R58" i="98"/>
  <c r="S12" i="98"/>
  <c r="S58" i="98" l="1"/>
  <c r="T12" i="98" s="1"/>
  <c r="AQ10" i="91" s="1"/>
  <c r="D6" i="107" s="1"/>
  <c r="F7" i="98"/>
  <c r="F33" i="98"/>
  <c r="F20" i="98"/>
  <c r="F38" i="98"/>
  <c r="F23" i="98"/>
  <c r="F13" i="98"/>
  <c r="F48" i="98"/>
  <c r="F37" i="98"/>
  <c r="AP35" i="91" s="1"/>
  <c r="C36" i="110" s="1"/>
  <c r="F55" i="98"/>
  <c r="AP53" i="91" s="1"/>
  <c r="C54" i="110" s="1"/>
  <c r="F56" i="98"/>
  <c r="F24" i="98"/>
  <c r="AP22" i="91" s="1"/>
  <c r="C23" i="110" s="1"/>
  <c r="F12" i="98"/>
  <c r="AP10" i="91" s="1"/>
  <c r="F52" i="98"/>
  <c r="AP50" i="91" s="1"/>
  <c r="C51" i="110" s="1"/>
  <c r="F43" i="98"/>
  <c r="F35" i="98"/>
  <c r="F49" i="98"/>
  <c r="F42" i="98"/>
  <c r="F16" i="98"/>
  <c r="F27" i="98"/>
  <c r="F53" i="98"/>
  <c r="AP51" i="91" s="1"/>
  <c r="C52" i="110" s="1"/>
  <c r="F21" i="98"/>
  <c r="F50" i="98"/>
  <c r="F51" i="98"/>
  <c r="AP49" i="91" s="1"/>
  <c r="C50" i="110" s="1"/>
  <c r="F34" i="98"/>
  <c r="F54" i="98"/>
  <c r="AP52" i="91" s="1"/>
  <c r="C53" i="110" s="1"/>
  <c r="F39" i="98"/>
  <c r="F36" i="98"/>
  <c r="F45" i="98"/>
  <c r="AP43" i="91" s="1"/>
  <c r="C44" i="110" s="1"/>
  <c r="F28" i="98"/>
  <c r="F26" i="98"/>
  <c r="AP24" i="91" s="1"/>
  <c r="C25" i="110" s="1"/>
  <c r="F17" i="98"/>
  <c r="F41" i="98"/>
  <c r="F57" i="98"/>
  <c r="F31" i="98"/>
  <c r="AP29" i="91" s="1"/>
  <c r="C30" i="110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P13" i="91" s="1"/>
  <c r="C14" i="110" s="1"/>
  <c r="F22" i="98"/>
  <c r="F25" i="98"/>
  <c r="F30" i="98"/>
  <c r="F29" i="98"/>
  <c r="C11" i="110" l="1"/>
  <c r="C13" i="105"/>
  <c r="D14" i="110"/>
  <c r="E14" i="110" s="1"/>
  <c r="E30" i="110"/>
  <c r="E30" i="114" s="1"/>
  <c r="L10" i="114" s="1"/>
  <c r="Z10" i="114" s="1"/>
  <c r="D54" i="110"/>
  <c r="E54" i="110" s="1"/>
  <c r="E36" i="110"/>
  <c r="E52" i="110"/>
  <c r="E52" i="114" s="1"/>
  <c r="L15" i="114" s="1"/>
  <c r="Z15" i="114" s="1"/>
  <c r="D50" i="110"/>
  <c r="E50" i="110" s="1"/>
  <c r="E44" i="110"/>
  <c r="E23" i="110"/>
  <c r="E23" i="114" s="1"/>
  <c r="L8" i="114" s="1"/>
  <c r="Z8" i="114" s="1"/>
  <c r="E25" i="110"/>
  <c r="E53" i="110"/>
  <c r="E51" i="110"/>
  <c r="E51" i="114" s="1"/>
  <c r="L14" i="114" s="1"/>
  <c r="Z14" i="114" s="1"/>
  <c r="E11" i="110"/>
  <c r="E6" i="107"/>
  <c r="D11" i="114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Q28" i="91" s="1"/>
  <c r="D12" i="107" s="1"/>
  <c r="T19" i="98"/>
  <c r="AQ17" i="91" s="1"/>
  <c r="D9" i="107" s="1"/>
  <c r="T55" i="98"/>
  <c r="AQ53" i="91" s="1"/>
  <c r="T51" i="98"/>
  <c r="AQ49" i="91" s="1"/>
  <c r="T47" i="98"/>
  <c r="AQ45" i="91" s="1"/>
  <c r="D14" i="107" s="1"/>
  <c r="T16" i="98"/>
  <c r="AQ14" i="91" s="1"/>
  <c r="D8" i="107" s="1"/>
  <c r="T54" i="98"/>
  <c r="AQ52" i="91" s="1"/>
  <c r="T26" i="98"/>
  <c r="AQ24" i="91" s="1"/>
  <c r="T15" i="98"/>
  <c r="AQ13" i="91" s="1"/>
  <c r="T37" i="98"/>
  <c r="AQ35" i="91" s="1"/>
  <c r="T24" i="98"/>
  <c r="AQ22" i="91" s="1"/>
  <c r="L7" i="98"/>
  <c r="F58" i="98"/>
  <c r="L16" i="100" l="1"/>
  <c r="Z16" i="100" s="1"/>
  <c r="E53" i="114"/>
  <c r="L16" i="114" s="1"/>
  <c r="Z16" i="114" s="1"/>
  <c r="L13" i="100"/>
  <c r="Z13" i="100" s="1"/>
  <c r="E50" i="114"/>
  <c r="L13" i="114" s="1"/>
  <c r="Z13" i="114" s="1"/>
  <c r="L9" i="100"/>
  <c r="Z9" i="100" s="1"/>
  <c r="E25" i="114"/>
  <c r="L9" i="114" s="1"/>
  <c r="Z9" i="114" s="1"/>
  <c r="L12" i="100"/>
  <c r="Z12" i="100" s="1"/>
  <c r="E44" i="114"/>
  <c r="L12" i="114" s="1"/>
  <c r="Z12" i="114" s="1"/>
  <c r="L11" i="100"/>
  <c r="Z11" i="100" s="1"/>
  <c r="E36" i="114"/>
  <c r="L11" i="114" s="1"/>
  <c r="Z11" i="114" s="1"/>
  <c r="L6" i="100"/>
  <c r="Z6" i="100" s="1"/>
  <c r="E11" i="114"/>
  <c r="L6" i="114" s="1"/>
  <c r="L17" i="100"/>
  <c r="Z17" i="100" s="1"/>
  <c r="E54" i="114"/>
  <c r="L17" i="114" s="1"/>
  <c r="Z17" i="114" s="1"/>
  <c r="L7" i="100"/>
  <c r="Z7" i="100" s="1"/>
  <c r="E14" i="114"/>
  <c r="L7" i="114" s="1"/>
  <c r="Z7" i="114" s="1"/>
  <c r="K6" i="114"/>
  <c r="L8" i="100"/>
  <c r="Z8" i="100" s="1"/>
  <c r="L14" i="100"/>
  <c r="Z14" i="100" s="1"/>
  <c r="L15" i="100"/>
  <c r="Z15" i="100" s="1"/>
  <c r="L10" i="100"/>
  <c r="Z10" i="100" s="1"/>
  <c r="D7" i="107"/>
  <c r="E7" i="107" s="1"/>
  <c r="D16" i="107"/>
  <c r="E16" i="107" s="1"/>
  <c r="D15" i="107"/>
  <c r="E15" i="107" s="1"/>
  <c r="D17" i="107"/>
  <c r="E17" i="107" s="1"/>
  <c r="D11" i="107"/>
  <c r="E11" i="107" s="1"/>
  <c r="D10" i="107"/>
  <c r="E10" i="107" s="1"/>
  <c r="D13" i="107"/>
  <c r="E13" i="107" s="1"/>
  <c r="K6" i="100"/>
  <c r="Y6" i="100" s="1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Z6" i="114" l="1"/>
  <c r="Z18" i="114" s="1"/>
  <c r="L18" i="114"/>
  <c r="K7" i="100"/>
  <c r="Y7" i="100" s="1"/>
  <c r="D14" i="114"/>
  <c r="K17" i="100"/>
  <c r="Y17" i="100" s="1"/>
  <c r="D54" i="114"/>
  <c r="K16" i="100"/>
  <c r="Y16" i="100" s="1"/>
  <c r="D53" i="114"/>
  <c r="K9" i="100"/>
  <c r="Y9" i="100" s="1"/>
  <c r="D25" i="114"/>
  <c r="K13" i="100"/>
  <c r="Y13" i="100" s="1"/>
  <c r="D50" i="114"/>
  <c r="K11" i="100"/>
  <c r="Y11" i="100" s="1"/>
  <c r="D36" i="114"/>
  <c r="K8" i="100"/>
  <c r="Y8" i="100" s="1"/>
  <c r="D23" i="114"/>
  <c r="Y6" i="114"/>
  <c r="Z18" i="100"/>
  <c r="L18" i="100"/>
  <c r="Y18" i="100"/>
  <c r="K18" i="100"/>
  <c r="L58" i="98"/>
  <c r="L62" i="98" s="1"/>
  <c r="K11" i="114" l="1"/>
  <c r="K16" i="114"/>
  <c r="K9" i="114"/>
  <c r="K17" i="114"/>
  <c r="K13" i="114"/>
  <c r="K7" i="114"/>
  <c r="K8" i="114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Y17" i="114" l="1"/>
  <c r="Y8" i="114"/>
  <c r="Y9" i="114"/>
  <c r="Y16" i="114"/>
  <c r="Y7" i="114"/>
  <c r="K18" i="114"/>
  <c r="Y13" i="114"/>
  <c r="Y11" i="114"/>
  <c r="AP39" i="91"/>
  <c r="C59" i="105" s="1"/>
  <c r="AP16" i="91"/>
  <c r="C40" i="105" s="1"/>
  <c r="AP8" i="91"/>
  <c r="C34" i="105" s="1"/>
  <c r="AP34" i="91"/>
  <c r="C55" i="105" s="1"/>
  <c r="AP33" i="91"/>
  <c r="C54" i="105" s="1"/>
  <c r="AP6" i="91"/>
  <c r="C32" i="105" s="1"/>
  <c r="AP11" i="91"/>
  <c r="C36" i="105" s="1"/>
  <c r="AP40" i="91"/>
  <c r="C60" i="105" s="1"/>
  <c r="AP48" i="91"/>
  <c r="C67" i="105" s="1"/>
  <c r="AP27" i="91"/>
  <c r="C49" i="105" s="1"/>
  <c r="AP5" i="91"/>
  <c r="C31" i="105" s="1"/>
  <c r="AP44" i="91"/>
  <c r="C63" i="105" s="1"/>
  <c r="AP7" i="91"/>
  <c r="C33" i="105" s="1"/>
  <c r="AP37" i="91"/>
  <c r="C57" i="105" s="1"/>
  <c r="AP36" i="91"/>
  <c r="C56" i="105" s="1"/>
  <c r="AP9" i="91"/>
  <c r="C35" i="105" s="1"/>
  <c r="AP15" i="91"/>
  <c r="C39" i="105" s="1"/>
  <c r="AP28" i="91"/>
  <c r="C50" i="105" s="1"/>
  <c r="AP19" i="91"/>
  <c r="C43" i="105" s="1"/>
  <c r="AP14" i="91"/>
  <c r="C38" i="105" s="1"/>
  <c r="AP18" i="91"/>
  <c r="C42" i="105" s="1"/>
  <c r="AP25" i="91"/>
  <c r="C47" i="105" s="1"/>
  <c r="AP41" i="91"/>
  <c r="C61" i="105" s="1"/>
  <c r="AP46" i="91"/>
  <c r="C65" i="105" s="1"/>
  <c r="AP12" i="91"/>
  <c r="C37" i="105" s="1"/>
  <c r="AP55" i="91"/>
  <c r="C69" i="105" s="1"/>
  <c r="AP26" i="91"/>
  <c r="C48" i="105" s="1"/>
  <c r="AP42" i="91"/>
  <c r="C62" i="105" s="1"/>
  <c r="AP38" i="91"/>
  <c r="C58" i="105" s="1"/>
  <c r="AP31" i="91"/>
  <c r="C52" i="105" s="1"/>
  <c r="AP30" i="91"/>
  <c r="C51" i="105" s="1"/>
  <c r="AP23" i="91"/>
  <c r="C46" i="105" s="1"/>
  <c r="AP20" i="91"/>
  <c r="C44" i="105" s="1"/>
  <c r="AP21" i="91"/>
  <c r="C45" i="105" s="1"/>
  <c r="AP32" i="91"/>
  <c r="C53" i="105" s="1"/>
  <c r="AP17" i="91"/>
  <c r="C41" i="105" s="1"/>
  <c r="AP45" i="91"/>
  <c r="C64" i="105" s="1"/>
  <c r="AP47" i="91"/>
  <c r="C66" i="105" s="1"/>
  <c r="AP54" i="91"/>
  <c r="C68" i="105" s="1"/>
  <c r="M58" i="98"/>
  <c r="Y18" i="114" l="1"/>
  <c r="C70" i="105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Q56" i="91"/>
  <c r="AP56" i="91"/>
  <c r="J26" i="100" l="1"/>
  <c r="X26" i="100" s="1"/>
  <c r="C15" i="114"/>
  <c r="J26" i="114" s="1"/>
  <c r="X26" i="114" s="1"/>
  <c r="J24" i="100"/>
  <c r="X24" i="100" s="1"/>
  <c r="C12" i="114"/>
  <c r="J52" i="100"/>
  <c r="X52" i="100" s="1"/>
  <c r="C46" i="114"/>
  <c r="J52" i="114" s="1"/>
  <c r="X52" i="114" s="1"/>
  <c r="J32" i="100"/>
  <c r="X32" i="100" s="1"/>
  <c r="C21" i="114"/>
  <c r="J25" i="100"/>
  <c r="X25" i="100" s="1"/>
  <c r="C13" i="114"/>
  <c r="J49" i="100"/>
  <c r="X49" i="100" s="1"/>
  <c r="C42" i="114"/>
  <c r="J54" i="100"/>
  <c r="X54" i="100" s="1"/>
  <c r="C48" i="114"/>
  <c r="J46" i="100"/>
  <c r="X46" i="100" s="1"/>
  <c r="C39" i="114"/>
  <c r="J53" i="100"/>
  <c r="X53" i="100" s="1"/>
  <c r="C47" i="114"/>
  <c r="J43" i="100"/>
  <c r="X43" i="100" s="1"/>
  <c r="C35" i="114"/>
  <c r="J20" i="100"/>
  <c r="X20" i="100" s="1"/>
  <c r="C7" i="114"/>
  <c r="J48" i="100"/>
  <c r="C41" i="114"/>
  <c r="J56" i="100"/>
  <c r="X56" i="100" s="1"/>
  <c r="C55" i="114"/>
  <c r="J51" i="100"/>
  <c r="X51" i="100" s="1"/>
  <c r="C45" i="114"/>
  <c r="J33" i="100"/>
  <c r="X33" i="100" s="1"/>
  <c r="C22" i="114"/>
  <c r="J47" i="100"/>
  <c r="X47" i="100" s="1"/>
  <c r="C40" i="114"/>
  <c r="J50" i="100"/>
  <c r="X50" i="100" s="1"/>
  <c r="C43" i="114"/>
  <c r="J44" i="100"/>
  <c r="X44" i="100" s="1"/>
  <c r="C37" i="114"/>
  <c r="J39" i="100"/>
  <c r="X39" i="100" s="1"/>
  <c r="C31" i="114"/>
  <c r="J55" i="100"/>
  <c r="X55" i="100" s="1"/>
  <c r="C49" i="114"/>
  <c r="J21" i="100"/>
  <c r="X21" i="100" s="1"/>
  <c r="C8" i="114"/>
  <c r="J29" i="100"/>
  <c r="X29" i="100" s="1"/>
  <c r="C18" i="114"/>
  <c r="J29" i="114" s="1"/>
  <c r="X29" i="114" s="1"/>
  <c r="J41" i="100"/>
  <c r="X41" i="100" s="1"/>
  <c r="C33" i="114"/>
  <c r="J19" i="100"/>
  <c r="X19" i="100" s="1"/>
  <c r="C6" i="114"/>
  <c r="J31" i="100"/>
  <c r="X31" i="100" s="1"/>
  <c r="C20" i="114"/>
  <c r="J42" i="100"/>
  <c r="X42" i="100" s="1"/>
  <c r="C34" i="114"/>
  <c r="J37" i="100"/>
  <c r="X37" i="100" s="1"/>
  <c r="C28" i="114"/>
  <c r="J34" i="100"/>
  <c r="X34" i="100" s="1"/>
  <c r="C24" i="114"/>
  <c r="J35" i="100"/>
  <c r="X35" i="100" s="1"/>
  <c r="C26" i="114"/>
  <c r="J28" i="100"/>
  <c r="X28" i="100" s="1"/>
  <c r="C17" i="114"/>
  <c r="J23" i="100"/>
  <c r="X23" i="100" s="1"/>
  <c r="C10" i="114"/>
  <c r="J38" i="100"/>
  <c r="X38" i="100" s="1"/>
  <c r="C29" i="114"/>
  <c r="J38" i="114" s="1"/>
  <c r="X38" i="114" s="1"/>
  <c r="J57" i="100"/>
  <c r="X57" i="100" s="1"/>
  <c r="C56" i="114"/>
  <c r="J36" i="100"/>
  <c r="X36" i="100" s="1"/>
  <c r="C27" i="114"/>
  <c r="J22" i="100"/>
  <c r="X22" i="100" s="1"/>
  <c r="C9" i="114"/>
  <c r="J45" i="100"/>
  <c r="X45" i="100" s="1"/>
  <c r="C38" i="114"/>
  <c r="J40" i="100"/>
  <c r="X40" i="100" s="1"/>
  <c r="C32" i="114"/>
  <c r="J30" i="100"/>
  <c r="C19" i="114"/>
  <c r="J27" i="100"/>
  <c r="C16" i="114"/>
  <c r="K52" i="100"/>
  <c r="Y52" i="100" s="1"/>
  <c r="D46" i="114"/>
  <c r="K29" i="100"/>
  <c r="Y29" i="100" s="1"/>
  <c r="D18" i="114"/>
  <c r="K38" i="100"/>
  <c r="Y38" i="100" s="1"/>
  <c r="D29" i="114"/>
  <c r="D39" i="110"/>
  <c r="E39" i="110" s="1"/>
  <c r="D34" i="110"/>
  <c r="E34" i="110" s="1"/>
  <c r="D48" i="110"/>
  <c r="E48" i="110" s="1"/>
  <c r="D6" i="110"/>
  <c r="E6" i="110" s="1"/>
  <c r="E6" i="114" s="1"/>
  <c r="D15" i="110"/>
  <c r="E15" i="110" s="1"/>
  <c r="E15" i="114" s="1"/>
  <c r="L26" i="114" s="1"/>
  <c r="Z26" i="114" s="1"/>
  <c r="D56" i="110"/>
  <c r="E56" i="110" s="1"/>
  <c r="E56" i="114" s="1"/>
  <c r="L57" i="114" s="1"/>
  <c r="Z57" i="114" s="1"/>
  <c r="D13" i="110"/>
  <c r="E13" i="110" s="1"/>
  <c r="D22" i="110"/>
  <c r="E22" i="110" s="1"/>
  <c r="D12" i="110"/>
  <c r="E12" i="110" s="1"/>
  <c r="D27" i="110"/>
  <c r="E27" i="110" s="1"/>
  <c r="D47" i="110"/>
  <c r="E47" i="110" s="1"/>
  <c r="E47" i="114" s="1"/>
  <c r="L53" i="114" s="1"/>
  <c r="Z53" i="114" s="1"/>
  <c r="D40" i="110"/>
  <c r="E40" i="110" s="1"/>
  <c r="E40" i="114" s="1"/>
  <c r="L47" i="114" s="1"/>
  <c r="Z47" i="114" s="1"/>
  <c r="D21" i="110"/>
  <c r="E21" i="110" s="1"/>
  <c r="D9" i="110"/>
  <c r="E9" i="110" s="1"/>
  <c r="D46" i="110"/>
  <c r="E46" i="110" s="1"/>
  <c r="D20" i="110"/>
  <c r="E20" i="110" s="1"/>
  <c r="D35" i="110"/>
  <c r="E35" i="110" s="1"/>
  <c r="E35" i="114" s="1"/>
  <c r="L43" i="114" s="1"/>
  <c r="Z43" i="114" s="1"/>
  <c r="D43" i="110"/>
  <c r="E43" i="110" s="1"/>
  <c r="E43" i="114" s="1"/>
  <c r="L50" i="114" s="1"/>
  <c r="Z50" i="114" s="1"/>
  <c r="D7" i="110"/>
  <c r="E7" i="110" s="1"/>
  <c r="D37" i="110"/>
  <c r="E37" i="110" s="1"/>
  <c r="D28" i="110"/>
  <c r="E28" i="110" s="1"/>
  <c r="D31" i="110"/>
  <c r="E31" i="110" s="1"/>
  <c r="D41" i="110"/>
  <c r="E41" i="110" s="1"/>
  <c r="E41" i="114" s="1"/>
  <c r="L48" i="114" s="1"/>
  <c r="Z48" i="114" s="1"/>
  <c r="D24" i="110"/>
  <c r="E24" i="110" s="1"/>
  <c r="E24" i="114" s="1"/>
  <c r="L34" i="114" s="1"/>
  <c r="Z34" i="114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E18" i="114" s="1"/>
  <c r="L29" i="114" s="1"/>
  <c r="Z29" i="114" s="1"/>
  <c r="D33" i="110"/>
  <c r="E33" i="110" s="1"/>
  <c r="D32" i="110"/>
  <c r="E32" i="110" s="1"/>
  <c r="D17" i="110"/>
  <c r="E17" i="110" s="1"/>
  <c r="D10" i="110"/>
  <c r="E10" i="110" s="1"/>
  <c r="D29" i="110"/>
  <c r="E29" i="110" s="1"/>
  <c r="E29" i="114" s="1"/>
  <c r="L38" i="114" s="1"/>
  <c r="Z38" i="114" s="1"/>
  <c r="D49" i="110"/>
  <c r="E49" i="110" s="1"/>
  <c r="E49" i="114" s="1"/>
  <c r="L55" i="114" s="1"/>
  <c r="Z55" i="114" s="1"/>
  <c r="D8" i="110"/>
  <c r="E8" i="110" s="1"/>
  <c r="D19" i="110"/>
  <c r="E19" i="110" s="1"/>
  <c r="D16" i="110"/>
  <c r="E16" i="110" s="1"/>
  <c r="AB44" i="100"/>
  <c r="X30" i="100"/>
  <c r="X27" i="100"/>
  <c r="AB46" i="100"/>
  <c r="AB42" i="100"/>
  <c r="AB20" i="100"/>
  <c r="X48" i="100"/>
  <c r="N25" i="100"/>
  <c r="N33" i="100"/>
  <c r="N22" i="100"/>
  <c r="N31" i="100"/>
  <c r="J58" i="100"/>
  <c r="C57" i="110"/>
  <c r="E8" i="107"/>
  <c r="D15" i="114" s="1"/>
  <c r="D18" i="107"/>
  <c r="D70" i="105"/>
  <c r="L36" i="100" l="1"/>
  <c r="Z36" i="100" s="1"/>
  <c r="AB36" i="100" s="1"/>
  <c r="E27" i="114"/>
  <c r="L36" i="114" s="1"/>
  <c r="Z36" i="114" s="1"/>
  <c r="L28" i="100"/>
  <c r="Z28" i="100" s="1"/>
  <c r="AB28" i="100" s="1"/>
  <c r="E17" i="114"/>
  <c r="L28" i="114" s="1"/>
  <c r="Z28" i="114" s="1"/>
  <c r="L37" i="100"/>
  <c r="Z37" i="100" s="1"/>
  <c r="AB37" i="100" s="1"/>
  <c r="E28" i="114"/>
  <c r="L37" i="114" s="1"/>
  <c r="Z37" i="114" s="1"/>
  <c r="L24" i="100"/>
  <c r="Z24" i="100" s="1"/>
  <c r="AB24" i="100" s="1"/>
  <c r="E12" i="114"/>
  <c r="L24" i="114" s="1"/>
  <c r="Z24" i="114" s="1"/>
  <c r="L23" i="100"/>
  <c r="Z23" i="100" s="1"/>
  <c r="AB23" i="100" s="1"/>
  <c r="E10" i="114"/>
  <c r="L23" i="114" s="1"/>
  <c r="Z23" i="114" s="1"/>
  <c r="L40" i="100"/>
  <c r="Z40" i="100" s="1"/>
  <c r="AB40" i="100" s="1"/>
  <c r="E32" i="114"/>
  <c r="L40" i="114" s="1"/>
  <c r="Z40" i="114" s="1"/>
  <c r="L33" i="100"/>
  <c r="Z33" i="100" s="1"/>
  <c r="AB33" i="100" s="1"/>
  <c r="E22" i="114"/>
  <c r="L33" i="114" s="1"/>
  <c r="Z33" i="114" s="1"/>
  <c r="L39" i="100"/>
  <c r="Z39" i="100" s="1"/>
  <c r="AB39" i="100" s="1"/>
  <c r="E31" i="114"/>
  <c r="L39" i="114" s="1"/>
  <c r="Z39" i="114" s="1"/>
  <c r="L44" i="100"/>
  <c r="Z44" i="100" s="1"/>
  <c r="E37" i="114"/>
  <c r="L44" i="114" s="1"/>
  <c r="Z44" i="114" s="1"/>
  <c r="L41" i="100"/>
  <c r="Z41" i="100" s="1"/>
  <c r="AB41" i="100" s="1"/>
  <c r="E33" i="114"/>
  <c r="L41" i="114" s="1"/>
  <c r="Z41" i="114" s="1"/>
  <c r="L20" i="100"/>
  <c r="Z20" i="100" s="1"/>
  <c r="E7" i="114"/>
  <c r="L20" i="114" s="1"/>
  <c r="Z20" i="114" s="1"/>
  <c r="L25" i="100"/>
  <c r="Z25" i="100" s="1"/>
  <c r="AB25" i="100" s="1"/>
  <c r="E13" i="114"/>
  <c r="L25" i="114" s="1"/>
  <c r="Z25" i="114" s="1"/>
  <c r="L19" i="114"/>
  <c r="L51" i="100"/>
  <c r="Z51" i="100" s="1"/>
  <c r="AB51" i="100" s="1"/>
  <c r="E45" i="114"/>
  <c r="L51" i="114" s="1"/>
  <c r="Z51" i="114" s="1"/>
  <c r="L56" i="100"/>
  <c r="Z56" i="100" s="1"/>
  <c r="AB56" i="100" s="1"/>
  <c r="E55" i="114"/>
  <c r="L56" i="114" s="1"/>
  <c r="Z56" i="114" s="1"/>
  <c r="L27" i="100"/>
  <c r="Z27" i="100" s="1"/>
  <c r="E16" i="114"/>
  <c r="L27" i="114" s="1"/>
  <c r="Z27" i="114" s="1"/>
  <c r="L35" i="100"/>
  <c r="Z35" i="100" s="1"/>
  <c r="AB35" i="100" s="1"/>
  <c r="E26" i="114"/>
  <c r="L35" i="114" s="1"/>
  <c r="Z35" i="114" s="1"/>
  <c r="L52" i="100"/>
  <c r="Z52" i="100" s="1"/>
  <c r="AB52" i="100" s="1"/>
  <c r="E46" i="114"/>
  <c r="L52" i="114" s="1"/>
  <c r="Z52" i="114" s="1"/>
  <c r="L54" i="100"/>
  <c r="Z54" i="100" s="1"/>
  <c r="AB54" i="100" s="1"/>
  <c r="E48" i="114"/>
  <c r="L54" i="114" s="1"/>
  <c r="Z54" i="114" s="1"/>
  <c r="L30" i="100"/>
  <c r="Z30" i="100" s="1"/>
  <c r="E19" i="114"/>
  <c r="L30" i="114" s="1"/>
  <c r="Z30" i="114" s="1"/>
  <c r="L22" i="100"/>
  <c r="Z22" i="100" s="1"/>
  <c r="AB22" i="100" s="1"/>
  <c r="E9" i="114"/>
  <c r="L22" i="114" s="1"/>
  <c r="Z22" i="114" s="1"/>
  <c r="L42" i="100"/>
  <c r="Z42" i="100" s="1"/>
  <c r="E34" i="114"/>
  <c r="L42" i="114" s="1"/>
  <c r="Z42" i="114" s="1"/>
  <c r="L31" i="100"/>
  <c r="Z31" i="100" s="1"/>
  <c r="AB31" i="100" s="1"/>
  <c r="E20" i="114"/>
  <c r="L31" i="114" s="1"/>
  <c r="Z31" i="114" s="1"/>
  <c r="L49" i="100"/>
  <c r="Z49" i="100" s="1"/>
  <c r="AB49" i="100" s="1"/>
  <c r="E42" i="114"/>
  <c r="L49" i="114" s="1"/>
  <c r="Z49" i="114" s="1"/>
  <c r="L21" i="100"/>
  <c r="Z21" i="100" s="1"/>
  <c r="AB21" i="100" s="1"/>
  <c r="E8" i="114"/>
  <c r="L21" i="114" s="1"/>
  <c r="Z21" i="114" s="1"/>
  <c r="L45" i="100"/>
  <c r="Z45" i="100" s="1"/>
  <c r="AB45" i="100" s="1"/>
  <c r="E38" i="114"/>
  <c r="L45" i="114" s="1"/>
  <c r="Z45" i="114" s="1"/>
  <c r="L32" i="100"/>
  <c r="Z32" i="100" s="1"/>
  <c r="AB32" i="100" s="1"/>
  <c r="E21" i="114"/>
  <c r="L32" i="114" s="1"/>
  <c r="Z32" i="114" s="1"/>
  <c r="L46" i="100"/>
  <c r="Z46" i="100" s="1"/>
  <c r="E39" i="114"/>
  <c r="L46" i="114" s="1"/>
  <c r="Z46" i="114" s="1"/>
  <c r="J45" i="114"/>
  <c r="J48" i="114"/>
  <c r="F41" i="114"/>
  <c r="J49" i="114"/>
  <c r="J22" i="114"/>
  <c r="F9" i="114"/>
  <c r="J41" i="114"/>
  <c r="J25" i="114"/>
  <c r="F6" i="114"/>
  <c r="J19" i="114"/>
  <c r="J35" i="114"/>
  <c r="J50" i="114"/>
  <c r="F43" i="114"/>
  <c r="J20" i="114"/>
  <c r="J28" i="114"/>
  <c r="J36" i="114"/>
  <c r="F27" i="114"/>
  <c r="J43" i="114"/>
  <c r="F35" i="114"/>
  <c r="J44" i="114"/>
  <c r="J34" i="114"/>
  <c r="F24" i="114"/>
  <c r="J47" i="114"/>
  <c r="F40" i="114"/>
  <c r="J32" i="114"/>
  <c r="J57" i="114"/>
  <c r="F56" i="114"/>
  <c r="J21" i="114"/>
  <c r="J33" i="114"/>
  <c r="J53" i="114"/>
  <c r="F47" i="114"/>
  <c r="J30" i="114"/>
  <c r="J42" i="114"/>
  <c r="F34" i="114"/>
  <c r="J51" i="114"/>
  <c r="F45" i="114"/>
  <c r="J24" i="114"/>
  <c r="J27" i="114"/>
  <c r="J55" i="114"/>
  <c r="F49" i="114"/>
  <c r="J46" i="114"/>
  <c r="J40" i="114"/>
  <c r="J31" i="114"/>
  <c r="J56" i="114"/>
  <c r="F55" i="114"/>
  <c r="J37" i="114"/>
  <c r="F28" i="114"/>
  <c r="J23" i="114"/>
  <c r="J39" i="114"/>
  <c r="J54" i="114"/>
  <c r="K26" i="114"/>
  <c r="F15" i="114"/>
  <c r="D57" i="114"/>
  <c r="K38" i="114"/>
  <c r="F29" i="114"/>
  <c r="K29" i="114"/>
  <c r="F18" i="114"/>
  <c r="K52" i="114"/>
  <c r="N44" i="100"/>
  <c r="N42" i="100"/>
  <c r="L43" i="100"/>
  <c r="L53" i="100"/>
  <c r="L38" i="100"/>
  <c r="Z38" i="100" s="1"/>
  <c r="AB38" i="100" s="1"/>
  <c r="L48" i="100"/>
  <c r="Z48" i="100" s="1"/>
  <c r="N23" i="100"/>
  <c r="N37" i="100"/>
  <c r="N41" i="100"/>
  <c r="AB48" i="100"/>
  <c r="L26" i="100"/>
  <c r="Z26" i="100" s="1"/>
  <c r="N48" i="100"/>
  <c r="L19" i="100"/>
  <c r="Z19" i="100" s="1"/>
  <c r="AB19" i="100" s="1"/>
  <c r="N28" i="100"/>
  <c r="N27" i="100"/>
  <c r="N35" i="100"/>
  <c r="N24" i="100"/>
  <c r="L55" i="100"/>
  <c r="L47" i="100"/>
  <c r="L57" i="100"/>
  <c r="N52" i="100"/>
  <c r="N40" i="100"/>
  <c r="L34" i="100"/>
  <c r="L50" i="100"/>
  <c r="N51" i="100"/>
  <c r="N21" i="100"/>
  <c r="N56" i="100"/>
  <c r="N32" i="100"/>
  <c r="N49" i="100"/>
  <c r="N36" i="100"/>
  <c r="L29" i="100"/>
  <c r="N46" i="100"/>
  <c r="AB30" i="100"/>
  <c r="E57" i="110"/>
  <c r="N45" i="100"/>
  <c r="N30" i="100"/>
  <c r="N20" i="100"/>
  <c r="N54" i="100"/>
  <c r="N39" i="100"/>
  <c r="X58" i="100"/>
  <c r="AB27" i="100"/>
  <c r="K26" i="100"/>
  <c r="Y26" i="100" s="1"/>
  <c r="E18" i="107"/>
  <c r="F22" i="114" l="1"/>
  <c r="F48" i="114"/>
  <c r="F10" i="114"/>
  <c r="F37" i="114"/>
  <c r="F8" i="114"/>
  <c r="F21" i="114"/>
  <c r="F26" i="114"/>
  <c r="F31" i="114"/>
  <c r="F12" i="114"/>
  <c r="F17" i="114"/>
  <c r="F33" i="114"/>
  <c r="F32" i="114"/>
  <c r="F16" i="114"/>
  <c r="F19" i="114"/>
  <c r="F7" i="114"/>
  <c r="F13" i="114"/>
  <c r="F39" i="114"/>
  <c r="F38" i="114"/>
  <c r="F20" i="114"/>
  <c r="F46" i="114"/>
  <c r="E57" i="114"/>
  <c r="F42" i="114"/>
  <c r="B64" i="110"/>
  <c r="F57" i="110"/>
  <c r="Z19" i="114"/>
  <c r="Z58" i="114" s="1"/>
  <c r="Z59" i="114" s="1"/>
  <c r="L58" i="114"/>
  <c r="L59" i="114" s="1"/>
  <c r="N54" i="114"/>
  <c r="X54" i="114"/>
  <c r="AB54" i="114" s="1"/>
  <c r="X24" i="114"/>
  <c r="AB24" i="114" s="1"/>
  <c r="N24" i="114"/>
  <c r="X31" i="114"/>
  <c r="AB31" i="114" s="1"/>
  <c r="N31" i="114"/>
  <c r="N42" i="114"/>
  <c r="X42" i="114"/>
  <c r="AB42" i="114" s="1"/>
  <c r="X41" i="114"/>
  <c r="AB41" i="114" s="1"/>
  <c r="N41" i="114"/>
  <c r="X40" i="114"/>
  <c r="AB40" i="114" s="1"/>
  <c r="N40" i="114"/>
  <c r="X32" i="114"/>
  <c r="AB32" i="114" s="1"/>
  <c r="N32" i="114"/>
  <c r="N28" i="114"/>
  <c r="X28" i="114"/>
  <c r="AB28" i="114" s="1"/>
  <c r="X25" i="114"/>
  <c r="AB25" i="114" s="1"/>
  <c r="N25" i="114"/>
  <c r="N39" i="114"/>
  <c r="X39" i="114"/>
  <c r="AB39" i="114" s="1"/>
  <c r="X30" i="114"/>
  <c r="AB30" i="114" s="1"/>
  <c r="N30" i="114"/>
  <c r="X47" i="114"/>
  <c r="AB47" i="114" s="1"/>
  <c r="N47" i="114"/>
  <c r="X20" i="114"/>
  <c r="AB20" i="114" s="1"/>
  <c r="N20" i="114"/>
  <c r="X22" i="114"/>
  <c r="AB22" i="114" s="1"/>
  <c r="N22" i="114"/>
  <c r="X46" i="114"/>
  <c r="AB46" i="114" s="1"/>
  <c r="N46" i="114"/>
  <c r="N57" i="114"/>
  <c r="X57" i="114"/>
  <c r="AB57" i="114" s="1"/>
  <c r="X34" i="114"/>
  <c r="AB34" i="114" s="1"/>
  <c r="N34" i="114"/>
  <c r="X49" i="114"/>
  <c r="AB49" i="114" s="1"/>
  <c r="N49" i="114"/>
  <c r="X53" i="114"/>
  <c r="AB53" i="114" s="1"/>
  <c r="N53" i="114"/>
  <c r="X50" i="114"/>
  <c r="AB50" i="114" s="1"/>
  <c r="N50" i="114"/>
  <c r="N36" i="114"/>
  <c r="X36" i="114"/>
  <c r="AB36" i="114" s="1"/>
  <c r="X23" i="114"/>
  <c r="AB23" i="114" s="1"/>
  <c r="N23" i="114"/>
  <c r="N33" i="114"/>
  <c r="X33" i="114"/>
  <c r="AB33" i="114" s="1"/>
  <c r="X44" i="114"/>
  <c r="AB44" i="114" s="1"/>
  <c r="N44" i="114"/>
  <c r="N35" i="114"/>
  <c r="X35" i="114"/>
  <c r="AB35" i="114" s="1"/>
  <c r="N48" i="114"/>
  <c r="X48" i="114"/>
  <c r="AB48" i="114" s="1"/>
  <c r="X51" i="114"/>
  <c r="AB51" i="114" s="1"/>
  <c r="N51" i="114"/>
  <c r="X55" i="114"/>
  <c r="AB55" i="114" s="1"/>
  <c r="N55" i="114"/>
  <c r="X37" i="114"/>
  <c r="AB37" i="114" s="1"/>
  <c r="N37" i="114"/>
  <c r="X27" i="114"/>
  <c r="AB27" i="114" s="1"/>
  <c r="N27" i="114"/>
  <c r="J58" i="114"/>
  <c r="N19" i="114"/>
  <c r="X19" i="114"/>
  <c r="X56" i="114"/>
  <c r="AB56" i="114" s="1"/>
  <c r="N56" i="114"/>
  <c r="N21" i="114"/>
  <c r="X21" i="114"/>
  <c r="AB21" i="114" s="1"/>
  <c r="N43" i="114"/>
  <c r="X43" i="114"/>
  <c r="AB43" i="114" s="1"/>
  <c r="X45" i="114"/>
  <c r="AB45" i="114" s="1"/>
  <c r="N45" i="114"/>
  <c r="Y29" i="114"/>
  <c r="AB29" i="114" s="1"/>
  <c r="N29" i="114"/>
  <c r="Y52" i="114"/>
  <c r="AB52" i="114" s="1"/>
  <c r="N52" i="114"/>
  <c r="Y38" i="114"/>
  <c r="AB38" i="114" s="1"/>
  <c r="N38" i="114"/>
  <c r="Y26" i="114"/>
  <c r="N26" i="114"/>
  <c r="K58" i="114"/>
  <c r="K59" i="114" s="1"/>
  <c r="N38" i="100"/>
  <c r="N19" i="100"/>
  <c r="Z53" i="100"/>
  <c r="AB53" i="100" s="1"/>
  <c r="N53" i="100"/>
  <c r="Z43" i="100"/>
  <c r="AB43" i="100" s="1"/>
  <c r="N43" i="100"/>
  <c r="Z29" i="100"/>
  <c r="N29" i="100"/>
  <c r="Z34" i="100"/>
  <c r="AB34" i="100" s="1"/>
  <c r="N34" i="100"/>
  <c r="Z50" i="100"/>
  <c r="AB50" i="100" s="1"/>
  <c r="N50" i="100"/>
  <c r="L58" i="100"/>
  <c r="L59" i="100" s="1"/>
  <c r="Z57" i="100"/>
  <c r="AB57" i="100" s="1"/>
  <c r="N57" i="100"/>
  <c r="Z47" i="100"/>
  <c r="AB47" i="100" s="1"/>
  <c r="N47" i="100"/>
  <c r="Z55" i="100"/>
  <c r="AB55" i="100" s="1"/>
  <c r="N55" i="100"/>
  <c r="Y58" i="100"/>
  <c r="Y59" i="100" s="1"/>
  <c r="AB26" i="100"/>
  <c r="K58" i="100"/>
  <c r="K59" i="100" s="1"/>
  <c r="N26" i="100"/>
  <c r="F17" i="100"/>
  <c r="F28" i="100"/>
  <c r="F49" i="100"/>
  <c r="F39" i="100"/>
  <c r="F18" i="100"/>
  <c r="F29" i="100"/>
  <c r="F12" i="100"/>
  <c r="F31" i="100"/>
  <c r="F22" i="100"/>
  <c r="F38" i="100"/>
  <c r="F26" i="100"/>
  <c r="F7" i="100"/>
  <c r="F15" i="100"/>
  <c r="F6" i="100"/>
  <c r="F55" i="100"/>
  <c r="F42" i="100"/>
  <c r="F35" i="100"/>
  <c r="F48" i="100"/>
  <c r="F37" i="100"/>
  <c r="F16" i="100"/>
  <c r="F20" i="100"/>
  <c r="F13" i="100"/>
  <c r="F32" i="100"/>
  <c r="F8" i="100"/>
  <c r="F34" i="100"/>
  <c r="F33" i="100"/>
  <c r="F47" i="100"/>
  <c r="F27" i="100"/>
  <c r="F21" i="100"/>
  <c r="F43" i="100"/>
  <c r="F46" i="100"/>
  <c r="F41" i="100"/>
  <c r="F56" i="100"/>
  <c r="F40" i="100"/>
  <c r="F19" i="100"/>
  <c r="F45" i="100"/>
  <c r="F10" i="100"/>
  <c r="F24" i="100"/>
  <c r="E57" i="100"/>
  <c r="B57" i="100"/>
  <c r="AB19" i="114" l="1"/>
  <c r="X58" i="114"/>
  <c r="N58" i="114"/>
  <c r="AB26" i="114"/>
  <c r="Y58" i="114"/>
  <c r="Y59" i="114" s="1"/>
  <c r="N58" i="100"/>
  <c r="AB29" i="100"/>
  <c r="AB58" i="100" s="1"/>
  <c r="Z58" i="100"/>
  <c r="Z59" i="100" s="1"/>
  <c r="D57" i="100"/>
  <c r="F9" i="100"/>
  <c r="AB58" i="114" l="1"/>
  <c r="B25" i="105"/>
  <c r="B71" i="105" s="1"/>
  <c r="B11" i="105" l="1"/>
  <c r="C16" i="105" l="1"/>
  <c r="D16" i="105" s="1"/>
  <c r="C25" i="114" s="1"/>
  <c r="C17" i="105"/>
  <c r="D17" i="105" s="1"/>
  <c r="C30" i="114" s="1"/>
  <c r="C18" i="105"/>
  <c r="D18" i="105" s="1"/>
  <c r="C36" i="114" s="1"/>
  <c r="C19" i="105"/>
  <c r="D19" i="105" s="1"/>
  <c r="C44" i="114" s="1"/>
  <c r="C20" i="105"/>
  <c r="D20" i="105" s="1"/>
  <c r="C50" i="114" s="1"/>
  <c r="C15" i="105"/>
  <c r="D15" i="105" s="1"/>
  <c r="C23" i="114" s="1"/>
  <c r="C21" i="105"/>
  <c r="D21" i="105" s="1"/>
  <c r="C51" i="114" s="1"/>
  <c r="C22" i="105"/>
  <c r="D22" i="105" s="1"/>
  <c r="C52" i="114" s="1"/>
  <c r="C23" i="105"/>
  <c r="D23" i="105" s="1"/>
  <c r="C53" i="114" s="1"/>
  <c r="C24" i="105"/>
  <c r="D24" i="105" s="1"/>
  <c r="C54" i="114" s="1"/>
  <c r="D13" i="105"/>
  <c r="C14" i="105"/>
  <c r="D14" i="105" s="1"/>
  <c r="C14" i="114" s="1"/>
  <c r="J17" i="114" l="1"/>
  <c r="F54" i="114"/>
  <c r="J16" i="114"/>
  <c r="F53" i="114"/>
  <c r="J15" i="114"/>
  <c r="F52" i="114"/>
  <c r="J14" i="114"/>
  <c r="F51" i="114"/>
  <c r="J8" i="114"/>
  <c r="F23" i="114"/>
  <c r="J13" i="114"/>
  <c r="F50" i="114"/>
  <c r="J12" i="114"/>
  <c r="F44" i="114"/>
  <c r="J11" i="114"/>
  <c r="F36" i="114"/>
  <c r="J7" i="114"/>
  <c r="F14" i="114"/>
  <c r="J10" i="114"/>
  <c r="F30" i="114"/>
  <c r="J6" i="100"/>
  <c r="C11" i="114"/>
  <c r="J9" i="114"/>
  <c r="F25" i="114"/>
  <c r="N6" i="100"/>
  <c r="X6" i="100"/>
  <c r="F53" i="100"/>
  <c r="J16" i="100"/>
  <c r="F36" i="100"/>
  <c r="J11" i="100"/>
  <c r="F51" i="100"/>
  <c r="J14" i="100"/>
  <c r="F50" i="100"/>
  <c r="J13" i="100"/>
  <c r="F54" i="100"/>
  <c r="J17" i="100"/>
  <c r="F23" i="100"/>
  <c r="J8" i="100"/>
  <c r="F44" i="100"/>
  <c r="J12" i="100"/>
  <c r="F30" i="100"/>
  <c r="J10" i="100"/>
  <c r="F52" i="100"/>
  <c r="J15" i="100"/>
  <c r="F25" i="100"/>
  <c r="J9" i="100"/>
  <c r="F14" i="100"/>
  <c r="J7" i="100"/>
  <c r="D25" i="105"/>
  <c r="D71" i="105" s="1"/>
  <c r="F11" i="100"/>
  <c r="C57" i="100"/>
  <c r="C25" i="105"/>
  <c r="C71" i="105" s="1"/>
  <c r="X8" i="114" l="1"/>
  <c r="AB8" i="114" s="1"/>
  <c r="N8" i="114"/>
  <c r="X13" i="114"/>
  <c r="AB13" i="114" s="1"/>
  <c r="N13" i="114"/>
  <c r="X10" i="114"/>
  <c r="AB10" i="114" s="1"/>
  <c r="N10" i="114"/>
  <c r="J6" i="114"/>
  <c r="C57" i="114"/>
  <c r="F11" i="114"/>
  <c r="F57" i="114" s="1"/>
  <c r="X14" i="114"/>
  <c r="AB14" i="114" s="1"/>
  <c r="N14" i="114"/>
  <c r="X15" i="114"/>
  <c r="AB15" i="114" s="1"/>
  <c r="N15" i="114"/>
  <c r="X7" i="114"/>
  <c r="AB7" i="114" s="1"/>
  <c r="N7" i="114"/>
  <c r="X9" i="114"/>
  <c r="AB9" i="114" s="1"/>
  <c r="N9" i="114"/>
  <c r="X16" i="114"/>
  <c r="AB16" i="114" s="1"/>
  <c r="N16" i="114"/>
  <c r="X11" i="114"/>
  <c r="AB11" i="114" s="1"/>
  <c r="N11" i="114"/>
  <c r="X12" i="114"/>
  <c r="AB12" i="114" s="1"/>
  <c r="N12" i="114"/>
  <c r="X17" i="114"/>
  <c r="AB17" i="114" s="1"/>
  <c r="N17" i="114"/>
  <c r="N17" i="100"/>
  <c r="X17" i="100"/>
  <c r="AB17" i="100" s="1"/>
  <c r="N9" i="100"/>
  <c r="X9" i="100"/>
  <c r="AB9" i="100" s="1"/>
  <c r="N15" i="100"/>
  <c r="X15" i="100"/>
  <c r="AB15" i="100" s="1"/>
  <c r="N14" i="100"/>
  <c r="X14" i="100"/>
  <c r="AB14" i="100" s="1"/>
  <c r="N7" i="100"/>
  <c r="X7" i="100"/>
  <c r="AB7" i="100" s="1"/>
  <c r="N16" i="100"/>
  <c r="X16" i="100"/>
  <c r="AB16" i="100" s="1"/>
  <c r="N11" i="100"/>
  <c r="X11" i="100"/>
  <c r="AB11" i="100" s="1"/>
  <c r="N13" i="100"/>
  <c r="X13" i="100"/>
  <c r="AB13" i="100" s="1"/>
  <c r="N10" i="100"/>
  <c r="X10" i="100"/>
  <c r="AB10" i="100" s="1"/>
  <c r="N8" i="100"/>
  <c r="X8" i="100"/>
  <c r="AB8" i="100" s="1"/>
  <c r="AB6" i="100"/>
  <c r="N12" i="100"/>
  <c r="X12" i="100"/>
  <c r="AB12" i="100" s="1"/>
  <c r="F57" i="100"/>
  <c r="J18" i="100"/>
  <c r="J59" i="100" s="1"/>
  <c r="J18" i="114" l="1"/>
  <c r="J59" i="114" s="1"/>
  <c r="X6" i="114"/>
  <c r="N6" i="114"/>
  <c r="N18" i="114" s="1"/>
  <c r="N59" i="114" s="1"/>
  <c r="N18" i="100"/>
  <c r="N59" i="100" s="1"/>
  <c r="X18" i="100"/>
  <c r="X59" i="100" s="1"/>
  <c r="AB18" i="100"/>
  <c r="AB59" i="100" s="1"/>
  <c r="X18" i="114" l="1"/>
  <c r="X59" i="114" s="1"/>
  <c r="AB6" i="114"/>
  <c r="AB18" i="114" s="1"/>
  <c r="AB59" i="114" s="1"/>
  <c r="E13" i="105" l="1"/>
</calcChain>
</file>

<file path=xl/sharedStrings.xml><?xml version="1.0" encoding="utf-8"?>
<sst xmlns="http://schemas.openxmlformats.org/spreadsheetml/2006/main" count="1317" uniqueCount="213">
  <si>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</si>
  <si>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</si>
  <si>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</si>
  <si>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</si>
  <si>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</si>
  <si>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</si>
  <si>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</si>
  <si>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</si>
  <si>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</si>
  <si>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</si>
  <si>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</si>
  <si>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</si>
  <si>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</si>
  <si>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</si>
  <si>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</si>
  <si>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</si>
  <si>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</si>
  <si>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</si>
  <si>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</si>
  <si>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</si>
  <si>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</si>
  <si>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</si>
  <si>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</si>
  <si>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</si>
  <si>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</si>
  <si>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</si>
  <si>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</si>
  <si>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</si>
  <si>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</si>
  <si>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</si>
  <si>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</si>
  <si>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</si>
  <si>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</si>
  <si>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</si>
  <si>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</si>
  <si>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</si>
  <si>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</si>
  <si>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</si>
  <si>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</si>
  <si>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</si>
  <si>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</si>
  <si>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</si>
  <si>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</si>
  <si>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</si>
  <si>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</si>
  <si>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</si>
  <si>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</si>
  <si>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</si>
  <si>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</si>
  <si>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</si>
  <si>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</si>
  <si>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</si>
  <si>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</si>
  <si>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</si>
  <si>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</si>
  <si>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</si>
  <si>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</si>
  <si>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</si>
  <si>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</si>
  <si>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</si>
  <si>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</si>
  <si>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</si>
  <si>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</si>
  <si>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Facturación 2018</t>
  </si>
  <si>
    <t>Recaudación 2018</t>
  </si>
  <si>
    <t>Municipio</t>
  </si>
  <si>
    <t>Eficiencia 2018</t>
  </si>
  <si>
    <t>Crecimiento Rec 2018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</si>
  <si>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</si>
  <si>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</si>
  <si>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</si>
  <si>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</si>
  <si>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</si>
  <si>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</si>
  <si>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</si>
  <si>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</si>
  <si>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</si>
  <si>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</si>
  <si>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</si>
  <si>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</si>
  <si>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Pob sin Acceso A  Electricidad 2000</t>
  </si>
  <si>
    <t>Pob Ing &lt; A 2 Salarios Min
2000</t>
  </si>
  <si>
    <t>Pob sin Acceso A Drenaje 2000</t>
  </si>
  <si>
    <t>Pob 15 Años O + no sabe leer ni escribir 2000</t>
  </si>
  <si>
    <t>Pob Ing &lt; A 2 Salarios Min
2010</t>
  </si>
  <si>
    <t>Pob 15 Años O + no sabe leer ni escribir 2010</t>
  </si>
  <si>
    <t>Pob sin Acceso A Drenaje 2010</t>
  </si>
  <si>
    <t>Pob sin Acceso A  Electricidad 2010</t>
  </si>
  <si>
    <t>Territorio</t>
  </si>
  <si>
    <t>Población y Territorio</t>
  </si>
  <si>
    <t>Crecimiento 2010</t>
  </si>
  <si>
    <t>Mejora 2010</t>
  </si>
  <si>
    <t>Coeficiente de Recaudación Predial</t>
  </si>
  <si>
    <t>Eficiencia de Recaudación Predial ponderada por Monto 2018</t>
  </si>
  <si>
    <t>85% población</t>
  </si>
  <si>
    <t>15% Territorio</t>
  </si>
  <si>
    <t>Coeficiente Población y Territorio</t>
  </si>
  <si>
    <t>15% Coeficiente Mejora Social 2010</t>
  </si>
  <si>
    <t>Carencia Social 2000</t>
  </si>
  <si>
    <t>Carencia Social 2010</t>
  </si>
  <si>
    <t>Coeficiente de Mejora 2010</t>
  </si>
  <si>
    <t>85% Carencia Social 2010</t>
  </si>
  <si>
    <t>Coeficiente índice de Pobreza Municipal</t>
  </si>
  <si>
    <t>Proyección de Población CONAPO 2019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</si>
  <si>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</si>
  <si>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</si>
  <si>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</si>
  <si>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</si>
  <si>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</si>
  <si>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</si>
  <si>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</si>
  <si>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</si>
  <si>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</si>
  <si>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</si>
  <si>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</si>
  <si>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</si>
  <si>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</si>
  <si>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</si>
  <si>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</si>
  <si>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</si>
  <si>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</si>
  <si>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</si>
  <si>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</si>
  <si>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</si>
  <si>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</si>
  <si>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</si>
  <si>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</si>
  <si>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</si>
  <si>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</si>
  <si>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</si>
  <si>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</si>
  <si>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</si>
  <si>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</si>
  <si>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</si>
  <si>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</si>
  <si>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</si>
  <si>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</si>
  <si>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</si>
  <si>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</si>
  <si>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</si>
  <si>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</si>
  <si>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</si>
  <si>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</si>
  <si>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</si>
  <si>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</si>
  <si>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</si>
  <si>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</si>
  <si>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</si>
  <si>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</si>
  <si>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</si>
  <si>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</si>
  <si>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</si>
  <si>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</si>
  <si>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</si>
  <si>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</si>
  <si>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</si>
  <si>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</si>
  <si>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</si>
  <si>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</si>
  <si>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</si>
  <si>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</si>
  <si>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</si>
  <si>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</si>
  <si>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</si>
  <si>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</si>
  <si>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</si>
  <si>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</si>
  <si>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</si>
  <si>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</si>
  <si>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</si>
  <si>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</si>
  <si>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</si>
  <si>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</si>
  <si>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</si>
  <si>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</si>
  <si>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</si>
  <si>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</si>
  <si>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</si>
  <si>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</si>
  <si>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</si>
  <si>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</si>
  <si>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</si>
  <si>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</si>
  <si>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</si>
  <si>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</si>
  <si>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</si>
  <si>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</si>
  <si>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</si>
  <si>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</si>
  <si>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</si>
  <si>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</si>
  <si>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</si>
  <si>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</si>
  <si>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 LOS FONDOS DESCENTRALIZADOS ESTIMACION 2021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</si>
  <si>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</si>
  <si>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</si>
  <si>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</si>
  <si>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</si>
  <si>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</si>
  <si>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</si>
  <si>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Fondo Descentralizados  Pagadas 2020</t>
  </si>
  <si>
    <t>Población 2020 INEGI</t>
  </si>
  <si>
    <t>Aportaciones 2020</t>
  </si>
  <si>
    <t>PAGADO 2020</t>
  </si>
  <si>
    <t>PARTICIPACIONES 2021</t>
  </si>
  <si>
    <t>Participación Mes</t>
  </si>
  <si>
    <t>Ajuste FOFIR</t>
  </si>
  <si>
    <t>PARTICIPACIONES ENERO 2021</t>
  </si>
  <si>
    <t>Etiquetas de fila</t>
  </si>
  <si>
    <t>Total general</t>
  </si>
  <si>
    <t>Suma de Recaudación 2019</t>
  </si>
  <si>
    <t>Suma de Facturación 2018</t>
  </si>
  <si>
    <t>Suma de Población 2020 INEGI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</si>
</sst>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63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5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7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40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49" fontId="12" fillId="24" borderId="41" xfId="132" applyNumberFormat="1" applyFont="1" applyFill="1" applyBorder="1" applyAlignment="1">
      <alignment horizontal="center" vertical="center" wrapText="1"/>
    </xf>
    <xf numFmtId="170" fontId="0" fillId="24" borderId="31" xfId="49" applyNumberFormat="1" applyFont="1" applyFill="1" applyBorder="1"/>
    <xf numFmtId="170" fontId="0" fillId="24" borderId="42" xfId="49" applyNumberFormat="1" applyFont="1" applyFill="1" applyBorder="1"/>
    <xf numFmtId="0" fontId="12" fillId="24" borderId="43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37" fillId="26" borderId="0" xfId="132" applyFont="1" applyFill="1" applyBorder="1" applyAlignment="1">
      <alignment horizontal="center" vertical="center"/>
    </xf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0" fontId="12" fillId="24" borderId="47" xfId="132" applyFont="1" applyFill="1" applyBorder="1"/>
    <xf numFmtId="176" fontId="9" fillId="24" borderId="43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6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8" xfId="138" applyNumberFormat="1" applyFont="1" applyFill="1" applyBorder="1" applyProtection="1">
      <protection hidden="1"/>
    </xf>
    <xf numFmtId="176" fontId="9" fillId="24" borderId="48" xfId="138" applyNumberFormat="1" applyFont="1" applyFill="1" applyBorder="1" applyProtection="1">
      <protection hidden="1"/>
    </xf>
    <xf numFmtId="177" fontId="38" fillId="24" borderId="40" xfId="38" applyNumberFormat="1" applyFont="1" applyFill="1" applyBorder="1" applyProtection="1">
      <protection hidden="1"/>
    </xf>
    <xf numFmtId="177" fontId="38" fillId="24" borderId="44" xfId="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1" fontId="0" fillId="24" borderId="42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40" xfId="38" applyNumberFormat="1" applyFont="1" applyFill="1" applyBorder="1" applyProtection="1">
      <protection hidden="1"/>
    </xf>
    <xf numFmtId="170" fontId="12" fillId="24" borderId="49" xfId="49" applyNumberFormat="1" applyFont="1" applyFill="1" applyBorder="1" applyAlignment="1">
      <alignment horizontal="center" vertical="center" wrapText="1"/>
    </xf>
    <xf numFmtId="170" fontId="12" fillId="24" borderId="50" xfId="49" applyNumberFormat="1" applyFont="1" applyFill="1" applyBorder="1" applyAlignment="1">
      <alignment horizontal="center" vertical="center"/>
    </xf>
    <xf numFmtId="170" fontId="12" fillId="24" borderId="39" xfId="49" applyNumberFormat="1" applyFont="1" applyFill="1" applyBorder="1"/>
    <xf numFmtId="170" fontId="12" fillId="24" borderId="51" xfId="49" applyNumberFormat="1" applyFont="1" applyFill="1" applyBorder="1" applyAlignment="1">
      <alignment horizontal="center" vertical="center" wrapText="1"/>
    </xf>
    <xf numFmtId="170" fontId="12" fillId="24" borderId="46" xfId="49" applyNumberFormat="1" applyFont="1" applyFill="1" applyBorder="1"/>
    <xf numFmtId="170" fontId="12" fillId="24" borderId="47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49" xfId="132" applyNumberFormat="1" applyFont="1" applyFill="1" applyBorder="1" applyAlignment="1">
      <alignment horizontal="center" vertical="center" wrapText="1"/>
    </xf>
    <xf numFmtId="49" fontId="12" fillId="24" borderId="27" xfId="132" applyNumberFormat="1" applyFont="1" applyFill="1" applyBorder="1" applyAlignment="1">
      <alignment horizontal="center" vertical="center" wrapText="1"/>
    </xf>
    <xf numFmtId="172" fontId="0" fillId="24" borderId="11" xfId="49" applyNumberFormat="1" applyFont="1" applyFill="1" applyBorder="1"/>
    <xf numFmtId="172" fontId="12" fillId="24" borderId="13" xfId="49" applyNumberFormat="1" applyFont="1" applyFill="1" applyBorder="1"/>
    <xf numFmtId="49" fontId="12" fillId="24" borderId="53" xfId="132" applyNumberFormat="1" applyFont="1" applyFill="1" applyBorder="1" applyAlignment="1">
      <alignment horizontal="center" vertical="center" wrapText="1"/>
    </xf>
    <xf numFmtId="49" fontId="12" fillId="24" borderId="54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2" fontId="0" fillId="24" borderId="12" xfId="49" applyNumberFormat="1" applyFont="1" applyFill="1" applyBorder="1"/>
    <xf numFmtId="170" fontId="12" fillId="24" borderId="13" xfId="49" applyNumberFormat="1" applyFont="1" applyFill="1" applyBorder="1"/>
    <xf numFmtId="172" fontId="12" fillId="24" borderId="15" xfId="49" applyNumberFormat="1" applyFont="1" applyFill="1" applyBorder="1"/>
    <xf numFmtId="0" fontId="12" fillId="24" borderId="56" xfId="132" applyFont="1" applyFill="1" applyBorder="1" applyAlignment="1">
      <alignment horizontal="center" vertical="center" wrapText="1"/>
    </xf>
    <xf numFmtId="0" fontId="12" fillId="24" borderId="56" xfId="132" applyFont="1" applyFill="1" applyBorder="1" applyAlignment="1">
      <alignment horizontal="center" vertical="center"/>
    </xf>
    <xf numFmtId="0" fontId="12" fillId="24" borderId="57" xfId="132" applyFont="1" applyFill="1" applyBorder="1" applyAlignment="1">
      <alignment horizontal="center" vertical="center" wrapText="1"/>
    </xf>
    <xf numFmtId="49" fontId="12" fillId="24" borderId="58" xfId="132" applyNumberFormat="1" applyFont="1" applyFill="1" applyBorder="1" applyAlignment="1">
      <alignment horizontal="center" vertical="center" wrapText="1"/>
    </xf>
    <xf numFmtId="0" fontId="12" fillId="24" borderId="55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8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5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0" fontId="12" fillId="0" borderId="63" xfId="51" applyFont="1" applyBorder="1" applyAlignment="1">
      <alignment horizontal="center" vertical="center" wrapText="1"/>
    </xf>
    <xf numFmtId="0" fontId="12" fillId="0" borderId="64" xfId="51" applyFont="1" applyBorder="1" applyAlignment="1">
      <alignment horizontal="center" vertical="center" wrapText="1"/>
    </xf>
    <xf numFmtId="38" fontId="9" fillId="0" borderId="65" xfId="51" applyNumberFormat="1" applyFont="1" applyBorder="1" applyAlignment="1">
      <alignment vertical="center" wrapText="1"/>
    </xf>
    <xf numFmtId="10" fontId="9" fillId="0" borderId="65" xfId="38" applyNumberFormat="1" applyFont="1" applyFill="1" applyBorder="1" applyAlignment="1">
      <alignment vertical="center" wrapText="1"/>
    </xf>
    <xf numFmtId="170" fontId="9" fillId="0" borderId="65" xfId="140" applyNumberFormat="1" applyFont="1" applyFill="1" applyBorder="1" applyAlignment="1">
      <alignment vertical="center" wrapText="1"/>
    </xf>
    <xf numFmtId="0" fontId="9" fillId="0" borderId="66" xfId="51" applyBorder="1"/>
    <xf numFmtId="0" fontId="9" fillId="0" borderId="0" xfId="51" applyBorder="1"/>
    <xf numFmtId="0" fontId="9" fillId="0" borderId="67" xfId="51" applyBorder="1"/>
    <xf numFmtId="0" fontId="12" fillId="0" borderId="70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4" xfId="138" applyFont="1" applyFill="1" applyBorder="1" applyAlignment="1" applyProtection="1">
      <alignment horizontal="center" vertical="center" wrapText="1"/>
      <protection hidden="1"/>
    </xf>
    <xf numFmtId="39" fontId="42" fillId="0" borderId="74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5" xfId="138" applyFont="1" applyFill="1" applyBorder="1" applyAlignment="1" applyProtection="1">
      <alignment horizontal="left"/>
      <protection hidden="1"/>
    </xf>
    <xf numFmtId="37" fontId="9" fillId="0" borderId="76" xfId="138" applyFont="1" applyFill="1" applyBorder="1" applyAlignment="1" applyProtection="1">
      <protection hidden="1"/>
    </xf>
    <xf numFmtId="179" fontId="44" fillId="0" borderId="76" xfId="52" applyNumberFormat="1" applyFont="1" applyFill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protection hidden="1"/>
    </xf>
    <xf numFmtId="179" fontId="46" fillId="0" borderId="83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8" xfId="138" applyFont="1" applyFill="1" applyBorder="1" applyAlignment="1" applyProtection="1">
      <alignment horizontal="left"/>
      <protection hidden="1"/>
    </xf>
    <xf numFmtId="179" fontId="44" fillId="0" borderId="76" xfId="52" applyNumberFormat="1" applyFont="1" applyBorder="1" applyProtection="1">
      <protection hidden="1"/>
    </xf>
    <xf numFmtId="37" fontId="9" fillId="0" borderId="81" xfId="138" applyFont="1" applyFill="1" applyBorder="1" applyAlignment="1" applyProtection="1">
      <alignment horizontal="left"/>
      <protection hidden="1"/>
    </xf>
    <xf numFmtId="37" fontId="12" fillId="0" borderId="85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4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6" xfId="132" applyNumberFormat="1" applyFont="1" applyFill="1" applyBorder="1" applyAlignment="1">
      <alignment horizontal="center"/>
    </xf>
    <xf numFmtId="37" fontId="12" fillId="24" borderId="74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7" xfId="138" applyFont="1" applyFill="1" applyBorder="1" applyAlignment="1" applyProtection="1">
      <alignment horizontal="left"/>
      <protection hidden="1"/>
    </xf>
    <xf numFmtId="179" fontId="9" fillId="24" borderId="88" xfId="52" applyNumberFormat="1" applyFont="1" applyFill="1" applyBorder="1" applyAlignment="1" applyProtection="1">
      <protection hidden="1"/>
    </xf>
    <xf numFmtId="179" fontId="44" fillId="24" borderId="88" xfId="52" applyNumberFormat="1" applyFont="1" applyFill="1" applyBorder="1" applyProtection="1">
      <protection hidden="1"/>
    </xf>
    <xf numFmtId="39" fontId="9" fillId="24" borderId="89" xfId="52" applyNumberFormat="1" applyFont="1" applyFill="1" applyBorder="1" applyProtection="1">
      <protection hidden="1"/>
    </xf>
    <xf numFmtId="37" fontId="9" fillId="24" borderId="90" xfId="138" applyFont="1" applyFill="1" applyBorder="1" applyAlignment="1" applyProtection="1">
      <alignment horizontal="left"/>
      <protection hidden="1"/>
    </xf>
    <xf numFmtId="179" fontId="9" fillId="24" borderId="91" xfId="52" applyNumberFormat="1" applyFont="1" applyFill="1" applyBorder="1" applyAlignment="1" applyProtection="1">
      <protection hidden="1"/>
    </xf>
    <xf numFmtId="179" fontId="44" fillId="24" borderId="91" xfId="52" applyNumberFormat="1" applyFont="1" applyFill="1" applyBorder="1" applyProtection="1">
      <protection hidden="1"/>
    </xf>
    <xf numFmtId="39" fontId="9" fillId="24" borderId="92" xfId="52" applyNumberFormat="1" applyFont="1" applyFill="1" applyBorder="1" applyProtection="1">
      <protection hidden="1"/>
    </xf>
    <xf numFmtId="37" fontId="12" fillId="24" borderId="93" xfId="138" applyFont="1" applyFill="1" applyBorder="1" applyAlignment="1" applyProtection="1">
      <alignment horizontal="left"/>
      <protection hidden="1"/>
    </xf>
    <xf numFmtId="179" fontId="9" fillId="24" borderId="94" xfId="52" applyNumberFormat="1" applyFont="1" applyFill="1" applyBorder="1" applyAlignment="1" applyProtection="1">
      <protection hidden="1"/>
    </xf>
    <xf numFmtId="179" fontId="44" fillId="24" borderId="94" xfId="52" applyNumberFormat="1" applyFont="1" applyFill="1" applyBorder="1" applyProtection="1">
      <protection hidden="1"/>
    </xf>
    <xf numFmtId="39" fontId="9" fillId="24" borderId="95" xfId="52" applyNumberFormat="1" applyFont="1" applyFill="1" applyBorder="1" applyProtection="1">
      <protection hidden="1"/>
    </xf>
    <xf numFmtId="37" fontId="12" fillId="24" borderId="60" xfId="138" applyFont="1" applyFill="1" applyBorder="1" applyAlignment="1" applyProtection="1">
      <alignment horizontal="left"/>
      <protection hidden="1"/>
    </xf>
    <xf numFmtId="184" fontId="9" fillId="24" borderId="60" xfId="138" applyNumberFormat="1" applyFont="1" applyFill="1" applyBorder="1" applyAlignment="1" applyProtection="1">
      <protection hidden="1"/>
    </xf>
    <xf numFmtId="182" fontId="44" fillId="24" borderId="60" xfId="38" applyNumberFormat="1" applyFont="1" applyFill="1" applyBorder="1" applyProtection="1">
      <protection hidden="1"/>
    </xf>
    <xf numFmtId="39" fontId="9" fillId="24" borderId="60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9" xfId="138" applyFont="1" applyFill="1" applyBorder="1" applyAlignment="1" applyProtection="1">
      <alignment horizontal="left"/>
      <protection hidden="1"/>
    </xf>
    <xf numFmtId="184" fontId="9" fillId="24" borderId="59" xfId="138" applyNumberFormat="1" applyFont="1" applyFill="1" applyBorder="1" applyAlignment="1" applyProtection="1">
      <protection hidden="1"/>
    </xf>
    <xf numFmtId="182" fontId="44" fillId="24" borderId="59" xfId="38" applyNumberFormat="1" applyFont="1" applyFill="1" applyBorder="1" applyProtection="1">
      <protection hidden="1"/>
    </xf>
    <xf numFmtId="39" fontId="9" fillId="24" borderId="59" xfId="52" applyNumberFormat="1" applyFont="1" applyFill="1" applyBorder="1" applyProtection="1">
      <protection hidden="1"/>
    </xf>
    <xf numFmtId="37" fontId="0" fillId="24" borderId="93" xfId="138" applyFont="1" applyFill="1" applyBorder="1" applyAlignment="1" applyProtection="1">
      <alignment horizontal="left"/>
      <protection hidden="1"/>
    </xf>
    <xf numFmtId="37" fontId="12" fillId="24" borderId="96" xfId="138" applyFont="1" applyFill="1" applyBorder="1" applyAlignment="1" applyProtection="1">
      <alignment horizontal="left"/>
      <protection hidden="1"/>
    </xf>
    <xf numFmtId="179" fontId="40" fillId="24" borderId="97" xfId="52" applyNumberFormat="1" applyFont="1" applyFill="1" applyBorder="1" applyAlignment="1" applyProtection="1">
      <protection hidden="1"/>
    </xf>
    <xf numFmtId="179" fontId="46" fillId="24" borderId="97" xfId="52" applyNumberFormat="1" applyFont="1" applyFill="1" applyBorder="1" applyProtection="1">
      <protection hidden="1"/>
    </xf>
    <xf numFmtId="39" fontId="12" fillId="24" borderId="98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9" xfId="140" applyNumberFormat="1" applyFont="1" applyFill="1" applyBorder="1" applyAlignment="1">
      <alignment vertical="center" wrapText="1"/>
    </xf>
    <xf numFmtId="170" fontId="12" fillId="24" borderId="101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/>
    <xf numFmtId="170" fontId="12" fillId="24" borderId="84" xfId="49" applyNumberFormat="1" applyFont="1" applyFill="1" applyBorder="1"/>
    <xf numFmtId="0" fontId="12" fillId="24" borderId="0" xfId="0" applyFont="1" applyFill="1"/>
    <xf numFmtId="0" fontId="12" fillId="24" borderId="81" xfId="0" applyFont="1" applyFill="1" applyBorder="1"/>
    <xf numFmtId="9" fontId="12" fillId="24" borderId="81" xfId="0" applyNumberFormat="1" applyFont="1" applyFill="1" applyBorder="1"/>
    <xf numFmtId="9" fontId="12" fillId="24" borderId="105" xfId="0" applyNumberFormat="1" applyFont="1" applyFill="1" applyBorder="1"/>
    <xf numFmtId="0" fontId="12" fillId="24" borderId="108" xfId="0" applyFont="1" applyFill="1" applyBorder="1"/>
    <xf numFmtId="170" fontId="12" fillId="24" borderId="76" xfId="49" applyNumberFormat="1" applyFont="1" applyFill="1" applyBorder="1" applyAlignment="1">
      <alignment horizontal="center" vertical="center" wrapText="1"/>
    </xf>
    <xf numFmtId="0" fontId="0" fillId="24" borderId="77" xfId="0" applyFill="1" applyBorder="1"/>
    <xf numFmtId="170" fontId="12" fillId="24" borderId="114" xfId="49" applyNumberFormat="1" applyFont="1" applyFill="1" applyBorder="1" applyAlignment="1">
      <alignment horizontal="center" vertical="center" wrapText="1"/>
    </xf>
    <xf numFmtId="170" fontId="12" fillId="24" borderId="115" xfId="49" applyNumberFormat="1" applyFont="1" applyFill="1" applyBorder="1" applyAlignment="1">
      <alignment horizontal="center" vertical="center" wrapText="1"/>
    </xf>
    <xf numFmtId="43" fontId="12" fillId="24" borderId="103" xfId="0" applyNumberFormat="1" applyFont="1" applyFill="1" applyBorder="1"/>
    <xf numFmtId="170" fontId="12" fillId="24" borderId="103" xfId="140" applyNumberFormat="1" applyFont="1" applyFill="1" applyBorder="1"/>
    <xf numFmtId="170" fontId="12" fillId="24" borderId="104" xfId="140" applyNumberFormat="1" applyFont="1" applyFill="1" applyBorder="1"/>
    <xf numFmtId="170" fontId="0" fillId="24" borderId="110" xfId="140" applyNumberFormat="1" applyFont="1" applyFill="1" applyBorder="1"/>
    <xf numFmtId="170" fontId="0" fillId="24" borderId="80" xfId="140" applyNumberFormat="1" applyFont="1" applyFill="1" applyBorder="1"/>
    <xf numFmtId="170" fontId="0" fillId="24" borderId="111" xfId="140" applyNumberFormat="1" applyFont="1" applyFill="1" applyBorder="1"/>
    <xf numFmtId="170" fontId="0" fillId="24" borderId="107" xfId="140" applyNumberFormat="1" applyFont="1" applyFill="1" applyBorder="1"/>
    <xf numFmtId="39" fontId="44" fillId="0" borderId="102" xfId="52" applyNumberFormat="1" applyFont="1" applyFill="1" applyBorder="1" applyProtection="1">
      <protection hidden="1"/>
    </xf>
    <xf numFmtId="39" fontId="44" fillId="0" borderId="103" xfId="52" applyNumberFormat="1" applyFont="1" applyFill="1" applyBorder="1" applyProtection="1">
      <protection hidden="1"/>
    </xf>
    <xf numFmtId="39" fontId="44" fillId="0" borderId="103" xfId="52" applyNumberFormat="1" applyFont="1" applyBorder="1" applyProtection="1">
      <protection hidden="1"/>
    </xf>
    <xf numFmtId="39" fontId="46" fillId="0" borderId="109" xfId="52" applyNumberFormat="1" applyFont="1" applyBorder="1" applyProtection="1">
      <protection hidden="1"/>
    </xf>
    <xf numFmtId="39" fontId="44" fillId="0" borderId="102" xfId="52" applyNumberFormat="1" applyFont="1" applyBorder="1" applyProtection="1">
      <protection hidden="1"/>
    </xf>
    <xf numFmtId="39" fontId="46" fillId="0" borderId="129" xfId="52" applyNumberFormat="1" applyFont="1" applyBorder="1" applyProtection="1">
      <protection hidden="1"/>
    </xf>
    <xf numFmtId="37" fontId="9" fillId="0" borderId="114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2" xfId="138" applyFont="1" applyFill="1" applyBorder="1" applyAlignment="1" applyProtection="1">
      <protection hidden="1"/>
    </xf>
    <xf numFmtId="37" fontId="12" fillId="0" borderId="130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3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 applyAlignment="1">
      <alignment horizontal="left" vertical="center" wrapText="1"/>
    </xf>
    <xf numFmtId="170" fontId="12" fillId="24" borderId="81" xfId="49" applyNumberFormat="1" applyFont="1" applyFill="1" applyBorder="1" applyAlignment="1">
      <alignment horizontal="left"/>
    </xf>
    <xf numFmtId="170" fontId="12" fillId="24" borderId="134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/>
    <xf numFmtId="170" fontId="9" fillId="24" borderId="131" xfId="49" applyNumberFormat="1" applyFont="1" applyFill="1" applyBorder="1"/>
    <xf numFmtId="170" fontId="12" fillId="24" borderId="135" xfId="49" applyNumberFormat="1" applyFont="1" applyFill="1" applyBorder="1"/>
    <xf numFmtId="49" fontId="12" fillId="26" borderId="136" xfId="141" applyNumberFormat="1" applyFont="1" applyFill="1" applyBorder="1" applyAlignment="1">
      <alignment horizontal="center" vertical="center" wrapText="1"/>
    </xf>
    <xf numFmtId="0" fontId="0" fillId="24" borderId="132" xfId="0" applyFill="1" applyBorder="1"/>
    <xf numFmtId="170" fontId="0" fillId="24" borderId="103" xfId="0" applyNumberFormat="1" applyFill="1" applyBorder="1"/>
    <xf numFmtId="170" fontId="12" fillId="24" borderId="130" xfId="49" applyNumberFormat="1" applyFont="1" applyFill="1" applyBorder="1"/>
    <xf numFmtId="170" fontId="12" fillId="24" borderId="137" xfId="49" applyNumberFormat="1" applyFont="1" applyFill="1" applyBorder="1"/>
    <xf numFmtId="170" fontId="12" fillId="24" borderId="109" xfId="140" applyNumberFormat="1" applyFont="1" applyFill="1" applyBorder="1"/>
    <xf numFmtId="170" fontId="12" fillId="24" borderId="112" xfId="140" applyNumberFormat="1" applyFont="1" applyFill="1" applyBorder="1"/>
    <xf numFmtId="170" fontId="12" fillId="24" borderId="52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7" xfId="140" applyNumberFormat="1" applyFont="1" applyFill="1" applyBorder="1"/>
    <xf numFmtId="170" fontId="12" fillId="24" borderId="113" xfId="140" applyNumberFormat="1" applyFont="1" applyFill="1" applyBorder="1"/>
    <xf numFmtId="170" fontId="12" fillId="24" borderId="100" xfId="140" applyNumberFormat="1" applyFont="1" applyFill="1" applyBorder="1"/>
    <xf numFmtId="170" fontId="12" fillId="24" borderId="118" xfId="140" applyNumberFormat="1" applyFont="1" applyFill="1" applyBorder="1"/>
    <xf numFmtId="170" fontId="12" fillId="24" borderId="119" xfId="140" applyNumberFormat="1" applyFont="1" applyFill="1" applyBorder="1"/>
    <xf numFmtId="170" fontId="12" fillId="24" borderId="86" xfId="140" applyNumberFormat="1" applyFont="1" applyFill="1" applyBorder="1"/>
    <xf numFmtId="170" fontId="12" fillId="24" borderId="120" xfId="140" applyNumberFormat="1" applyFont="1" applyFill="1" applyBorder="1"/>
    <xf numFmtId="170" fontId="0" fillId="24" borderId="0" xfId="140" applyNumberFormat="1" applyFont="1" applyFill="1" applyBorder="1"/>
    <xf numFmtId="170" fontId="0" fillId="24" borderId="76" xfId="140" applyNumberFormat="1" applyFont="1" applyFill="1" applyBorder="1"/>
    <xf numFmtId="170" fontId="0" fillId="24" borderId="77" xfId="140" applyNumberFormat="1" applyFont="1" applyFill="1" applyBorder="1"/>
    <xf numFmtId="0" fontId="12" fillId="24" borderId="76" xfId="0" applyFont="1" applyFill="1" applyBorder="1" applyAlignment="1">
      <alignment horizontal="center" vertical="center" wrapText="1"/>
    </xf>
    <xf numFmtId="0" fontId="12" fillId="24" borderId="102" xfId="0" applyFont="1" applyFill="1" applyBorder="1" applyAlignment="1">
      <alignment horizontal="center" vertical="center" wrapText="1"/>
    </xf>
    <xf numFmtId="0" fontId="12" fillId="24" borderId="77" xfId="0" applyFont="1" applyFill="1" applyBorder="1" applyAlignment="1">
      <alignment horizontal="center" vertical="center" wrapText="1"/>
    </xf>
    <xf numFmtId="170" fontId="12" fillId="24" borderId="102" xfId="140" applyNumberFormat="1" applyFont="1" applyFill="1" applyBorder="1"/>
    <xf numFmtId="170" fontId="12" fillId="24" borderId="128" xfId="140" applyNumberFormat="1" applyFont="1" applyFill="1" applyBorder="1"/>
    <xf numFmtId="0" fontId="12" fillId="24" borderId="75" xfId="0" applyFont="1" applyFill="1" applyBorder="1"/>
    <xf numFmtId="0" fontId="12" fillId="24" borderId="79" xfId="0" applyFont="1" applyFill="1" applyBorder="1"/>
    <xf numFmtId="0" fontId="12" fillId="24" borderId="139" xfId="0" applyFont="1" applyFill="1" applyBorder="1"/>
    <xf numFmtId="170" fontId="12" fillId="24" borderId="138" xfId="140" applyNumberFormat="1" applyFont="1" applyFill="1" applyBorder="1"/>
    <xf numFmtId="170" fontId="12" fillId="24" borderId="106" xfId="140" applyNumberFormat="1" applyFont="1" applyFill="1" applyBorder="1"/>
    <xf numFmtId="170" fontId="0" fillId="24" borderId="0" xfId="0" applyNumberFormat="1" applyFill="1"/>
    <xf numFmtId="174" fontId="0" fillId="24" borderId="76" xfId="140" applyNumberFormat="1" applyFont="1" applyFill="1" applyBorder="1"/>
    <xf numFmtId="174" fontId="0" fillId="24" borderId="77" xfId="140" applyNumberFormat="1" applyFont="1" applyFill="1" applyBorder="1"/>
    <xf numFmtId="174" fontId="12" fillId="24" borderId="102" xfId="140" applyNumberFormat="1" applyFont="1" applyFill="1" applyBorder="1"/>
    <xf numFmtId="174" fontId="0" fillId="24" borderId="0" xfId="140" applyNumberFormat="1" applyFont="1" applyFill="1" applyBorder="1"/>
    <xf numFmtId="174" fontId="0" fillId="24" borderId="80" xfId="140" applyNumberFormat="1" applyFont="1" applyFill="1" applyBorder="1"/>
    <xf numFmtId="174" fontId="12" fillId="24" borderId="103" xfId="140" applyNumberFormat="1" applyFont="1" applyFill="1" applyBorder="1"/>
    <xf numFmtId="174" fontId="12" fillId="24" borderId="138" xfId="140" applyNumberFormat="1" applyFont="1" applyFill="1" applyBorder="1"/>
    <xf numFmtId="174" fontId="12" fillId="24" borderId="106" xfId="140" applyNumberFormat="1" applyFont="1" applyFill="1" applyBorder="1"/>
    <xf numFmtId="174" fontId="12" fillId="24" borderId="128" xfId="140" applyNumberFormat="1" applyFont="1" applyFill="1" applyBorder="1"/>
    <xf numFmtId="170" fontId="9" fillId="31" borderId="65" xfId="140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176" fontId="9" fillId="0" borderId="131" xfId="51" applyNumberFormat="1" applyFont="1" applyBorder="1" applyAlignment="1">
      <alignment horizontal="center" vertical="center" wrapText="1"/>
    </xf>
    <xf numFmtId="43" fontId="0" fillId="24" borderId="0" xfId="0" applyNumberFormat="1" applyFill="1"/>
    <xf numFmtId="43" fontId="9" fillId="0" borderId="0" xfId="51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0" fontId="12" fillId="24" borderId="0" xfId="49" applyNumberFormat="1" applyFont="1" applyFill="1" applyBorder="1" applyAlignment="1">
      <alignment horizontal="center"/>
    </xf>
    <xf numFmtId="0" fontId="12" fillId="0" borderId="100" xfId="51" applyFont="1" applyBorder="1" applyAlignment="1">
      <alignment horizontal="center" vertical="center"/>
    </xf>
    <xf numFmtId="176" fontId="9" fillId="0" borderId="140" xfId="51" applyNumberFormat="1" applyFont="1" applyBorder="1" applyAlignment="1">
      <alignment horizontal="center" vertical="center" wrapText="1"/>
    </xf>
    <xf numFmtId="176" fontId="9" fillId="0" borderId="16" xfId="51" applyNumberFormat="1" applyFont="1" applyBorder="1" applyAlignment="1">
      <alignment horizontal="center" vertical="center" wrapText="1"/>
    </xf>
    <xf numFmtId="176" fontId="9" fillId="0" borderId="131" xfId="51" applyNumberFormat="1" applyFont="1" applyBorder="1" applyAlignment="1">
      <alignment horizontal="center" vertical="center" wrapText="1"/>
    </xf>
    <xf numFmtId="170" fontId="12" fillId="0" borderId="71" xfId="140" applyNumberFormat="1" applyFont="1" applyBorder="1" applyAlignment="1">
      <alignment horizontal="center" vertical="center" wrapText="1"/>
    </xf>
    <xf numFmtId="170" fontId="12" fillId="0" borderId="73" xfId="140" applyNumberFormat="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6" xfId="51" applyFont="1" applyBorder="1" applyAlignment="1">
      <alignment horizontal="center" vertical="center" wrapText="1"/>
    </xf>
    <xf numFmtId="0" fontId="12" fillId="0" borderId="127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30" xfId="51" applyFont="1" applyBorder="1" applyAlignment="1">
      <alignment horizontal="center" vertical="center" wrapText="1"/>
    </xf>
    <xf numFmtId="0" fontId="12" fillId="0" borderId="68" xfId="51" applyFont="1" applyBorder="1" applyAlignment="1">
      <alignment horizontal="center" vertical="center" wrapText="1"/>
    </xf>
    <xf numFmtId="0" fontId="12" fillId="0" borderId="52" xfId="51" applyFont="1" applyBorder="1" applyAlignment="1">
      <alignment horizontal="center"/>
    </xf>
    <xf numFmtId="0" fontId="12" fillId="0" borderId="69" xfId="51" applyFont="1" applyBorder="1" applyAlignment="1">
      <alignment horizontal="center"/>
    </xf>
    <xf numFmtId="170" fontId="12" fillId="0" borderId="72" xfId="140" applyNumberFormat="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36" fillId="0" borderId="52" xfId="51" applyFont="1" applyBorder="1" applyAlignment="1">
      <alignment horizontal="center" vertical="center"/>
    </xf>
    <xf numFmtId="0" fontId="36" fillId="0" borderId="69" xfId="51" applyFont="1" applyBorder="1" applyAlignment="1">
      <alignment horizontal="center" vertical="center"/>
    </xf>
    <xf numFmtId="0" fontId="36" fillId="0" borderId="100" xfId="51" applyFont="1" applyBorder="1" applyAlignment="1">
      <alignment horizontal="center" vertical="center"/>
    </xf>
    <xf numFmtId="0" fontId="36" fillId="0" borderId="123" xfId="51" applyFont="1" applyBorder="1" applyAlignment="1">
      <alignment horizontal="center" vertical="center"/>
    </xf>
    <xf numFmtId="0" fontId="12" fillId="24" borderId="78" xfId="0" applyFont="1" applyFill="1" applyBorder="1" applyAlignment="1">
      <alignment horizontal="left" vertical="center" wrapText="1"/>
    </xf>
    <xf numFmtId="0" fontId="12" fillId="24" borderId="81" xfId="0" applyFont="1" applyFill="1" applyBorder="1" applyAlignment="1">
      <alignment horizontal="left" vertical="center" wrapText="1"/>
    </xf>
    <xf numFmtId="170" fontId="12" fillId="24" borderId="121" xfId="140" applyNumberFormat="1" applyFont="1" applyFill="1" applyBorder="1" applyAlignment="1">
      <alignment horizontal="center" vertical="center"/>
    </xf>
    <xf numFmtId="170" fontId="12" fillId="24" borderId="103" xfId="140" applyNumberFormat="1" applyFont="1" applyFill="1" applyBorder="1" applyAlignment="1">
      <alignment horizontal="center" vertic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37" fontId="35" fillId="24" borderId="86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0" fontId="12" fillId="0" borderId="0" xfId="51" applyFont="1" applyAlignment="1">
      <alignment horizontal="center" vertical="center"/>
    </xf>
    <xf numFmtId="0" fontId="36" fillId="30" borderId="23" xfId="132" applyFont="1" applyFill="1" applyBorder="1" applyAlignment="1">
      <alignment horizontal="center" vertical="center"/>
    </xf>
    <xf numFmtId="0" fontId="36" fillId="28" borderId="59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  <xf numFmtId="43" fontId="9" fillId="31" borderId="99" xfId="140" applyNumberFormat="1" applyFont="1" applyFill="1" applyBorder="1" applyAlignment="1">
      <alignment vertical="center" wrapText="1"/>
    </xf>
    <xf numFmtId="37" fontId="12" fillId="24" borderId="0" xfId="138" applyNumberFormat="1" applyFont="1" applyFill="1" applyProtection="1">
      <protection hidden="1"/>
    </xf>
    <xf numFmtId="0" fontId="45" fillId="24" borderId="0" xfId="132" quotePrefix="1" applyFont="1" applyFill="1"/>
    <xf numFmtId="49" fontId="12" fillId="31" borderId="11" xfId="132" applyNumberFormat="1" applyFont="1" applyFill="1" applyBorder="1"/>
    <xf numFmtId="175" fontId="38" fillId="31" borderId="12" xfId="132" applyNumberFormat="1" applyFont="1" applyFill="1" applyBorder="1"/>
    <xf numFmtId="49" fontId="12" fillId="0" borderId="11" xfId="132" applyNumberFormat="1" applyFont="1" applyFill="1" applyBorder="1"/>
    <xf numFmtId="49" fontId="36" fillId="32" borderId="11" xfId="132" applyNumberFormat="1" applyFont="1" applyFill="1" applyBorder="1"/>
    <xf numFmtId="49" fontId="12" fillId="32" borderId="0" xfId="141" applyNumberFormat="1" applyFont="1" applyFill="1" applyBorder="1"/>
    <xf numFmtId="172" fontId="0" fillId="32" borderId="11" xfId="49" applyNumberFormat="1" applyFont="1" applyFill="1" applyBorder="1"/>
    <xf numFmtId="172" fontId="0" fillId="32" borderId="0" xfId="49" applyNumberFormat="1" applyFont="1" applyFill="1" applyBorder="1"/>
    <xf numFmtId="171" fontId="0" fillId="32" borderId="0" xfId="49" applyNumberFormat="1" applyFont="1" applyFill="1" applyBorder="1"/>
    <xf numFmtId="170" fontId="0" fillId="32" borderId="17" xfId="49" applyNumberFormat="1" applyFont="1" applyFill="1" applyBorder="1"/>
    <xf numFmtId="170" fontId="0" fillId="32" borderId="0" xfId="49" applyNumberFormat="1" applyFont="1" applyFill="1" applyBorder="1"/>
    <xf numFmtId="170" fontId="0" fillId="32" borderId="11" xfId="49" applyNumberFormat="1" applyFont="1" applyFill="1" applyBorder="1"/>
    <xf numFmtId="172" fontId="0" fillId="32" borderId="12" xfId="49" applyNumberFormat="1" applyFont="1" applyFill="1" applyBorder="1"/>
    <xf numFmtId="170" fontId="9" fillId="32" borderId="0" xfId="140" applyNumberFormat="1" applyFont="1" applyFill="1" applyBorder="1"/>
    <xf numFmtId="174" fontId="9" fillId="32" borderId="11" xfId="132" applyNumberFormat="1" applyFill="1" applyBorder="1"/>
    <xf numFmtId="175" fontId="38" fillId="32" borderId="0" xfId="132" applyNumberFormat="1" applyFont="1" applyFill="1" applyBorder="1"/>
    <xf numFmtId="175" fontId="9" fillId="32" borderId="0" xfId="132" applyNumberFormat="1" applyFill="1" applyBorder="1"/>
    <xf numFmtId="174" fontId="9" fillId="32" borderId="0" xfId="132" applyNumberFormat="1" applyFont="1" applyFill="1" applyBorder="1"/>
    <xf numFmtId="175" fontId="12" fillId="32" borderId="11" xfId="132" applyNumberFormat="1" applyFont="1" applyFill="1" applyBorder="1"/>
    <xf numFmtId="175" fontId="38" fillId="32" borderId="12" xfId="132" applyNumberFormat="1" applyFont="1" applyFill="1" applyBorder="1"/>
    <xf numFmtId="0" fontId="9" fillId="32" borderId="0" xfId="132" applyFill="1"/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4">
    <dxf>
      <numFmt numFmtId="170" formatCode="_-* #,##0_-;\-* #,##0_-;_-* &quot;-&quot;??_-;_-@_-"/>
    </dxf>
    <dxf>
      <numFmt numFmtId="185" formatCode="_-* #,##0.0_-;\-* #,##0.0_-;_-* &quot;-&quot;??_-;_-@_-"/>
    </dxf>
    <dxf>
      <numFmt numFmtId="35" formatCode="_-* #,##0.00_-;\-* #,##0.00_-;_-* &quot;-&quot;??_-;_-@_-"/>
    </dxf>
    <dxf>
      <numFmt numFmtId="13" formatCode="0%"/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Luis Jimenez Herrera" refreshedDate="44223.617156134256" createdVersion="6" refreshedVersion="6" minRefreshableVersion="3" recordCount="52">
  <cacheSource type="worksheet">
    <worksheetSource ref="A4:AQ56" sheet="Datos Mun"/>
  </cacheSource>
  <cacheFields count="43">
    <cacheField name="Municipio" numFmtId="0">
      <sharedItems count="52">
        <s v="ABASOLO"/>
        <s v="AGUALEGUAS"/>
        <s v="ALDAMAS, LOS"/>
        <s v="ALLENDE"/>
        <s v="ANAHUAC"/>
        <s v="APODACA"/>
        <s v="ARAMBERRI"/>
        <s v="BUSTAMANTE"/>
        <s v="CADEREYTA JIMENEZ"/>
        <s v="CARMEN"/>
        <s v="CERRALVO "/>
        <s v="CHINA"/>
        <s v="CIENEGA DE FLORES"/>
        <s v="DOCTOR ARROYO"/>
        <s v="DOCTOR COSS"/>
        <s v="DOCTOR GONZALEZ"/>
        <s v="GALEANA"/>
        <s v="GARCIA"/>
        <s v="GENERAL BRAVO"/>
        <s v="GENERAL ESCOBEDO"/>
        <s v="GENERAL TERAN"/>
        <s v="GENERAL TREVIÑO"/>
        <s v="GENERAL ZARAGOZA"/>
        <s v="GENERAL ZUAZUA"/>
        <s v="GUADALUPE"/>
        <s v="HERRERAS, LOS"/>
        <s v="HIDALGO"/>
        <s v="HIGUERAS"/>
        <s v="HUALAHUISES"/>
        <s v="ITURBIDE"/>
        <s v="JUAREZ"/>
        <s v="LAMPAZOS DE NARANJO"/>
        <s v="LINARES"/>
        <s v="MARIN"/>
        <s v="MELCHOR OCAMPO"/>
        <s v="MIER Y NORIEGA"/>
        <s v="MINA"/>
        <s v="MONTEMORELOS"/>
        <s v="MONTERREY"/>
        <s v="PARAS"/>
        <s v="PESQUERIA"/>
        <s v="RAMONES, LOS"/>
        <s v="RAYONES"/>
        <s v="SABINAS HIDALGO"/>
        <s v="SALINAS VICTORIA"/>
        <s v="SAN NICOLAS DE LOS GARZA"/>
        <s v="SAN PEDRO GARZA GARCIA"/>
        <s v="SANTA CATARINA"/>
        <s v="SANTIAGO"/>
        <s v="VALLECILLO"/>
        <s v="VILLALDAMA"/>
        <s v="        TOTAL"/>
      </sharedItems>
    </cacheField>
    <cacheField name="Fondo de Desa Muni, Descen, Segur" numFmtId="0">
      <sharedItems containsBlank="1"/>
    </cacheField>
    <cacheField name="Descentralizados" numFmtId="0">
      <sharedItems containsBlank="1"/>
    </cacheField>
    <cacheField name="Fondo de Ultracrecimiento" numFmtId="0">
      <sharedItems containsBlank="1" count="3">
        <s v="Zona de No Crec"/>
        <s v="Zona de Crec"/>
        <m/>
      </sharedItems>
    </cacheField>
    <cacheField name="Recaudación 2018" numFmtId="172">
      <sharedItems containsSemiMixedTypes="0" containsString="0" containsNumber="1" minValue="94052" maxValue="3314378996.3799996"/>
    </cacheField>
    <cacheField name="Facturación 2018" numFmtId="172">
      <sharedItems containsSemiMixedTypes="0" containsString="0" containsNumber="1" containsInteger="1" minValue="501046" maxValue="7593491597"/>
    </cacheField>
    <cacheField name="Recaudación 2019" numFmtId="172">
      <sharedItems containsSemiMixedTypes="0" containsString="0" containsNumber="1" minValue="69817" maxValue="3470514481.75"/>
    </cacheField>
    <cacheField name="Facturación 2019" numFmtId="172">
      <sharedItems containsSemiMixedTypes="0" containsString="0" containsNumber="1" containsInteger="1" minValue="558823" maxValue="7728371151"/>
    </cacheField>
    <cacheField name="Eficiencia 2018" numFmtId="171">
      <sharedItems containsSemiMixedTypes="0" containsString="0" containsNumber="1" minValue="9.3553107270441999E-2" maxValue="16.184402106911215"/>
    </cacheField>
    <cacheField name="Crecimiento Rec 2018" numFmtId="171">
      <sharedItems containsSemiMixedTypes="0" containsString="0" containsNumber="1" minValue="-0.78612474399013776" maxValue="7.8912379223635325"/>
    </cacheField>
    <cacheField name="Pob Ing &lt; A 2 Salarios Min_x000a_2000" numFmtId="170">
      <sharedItems containsSemiMixedTypes="0" containsString="0" containsNumber="1" containsInteger="1" minValue="166" maxValue="427511"/>
    </cacheField>
    <cacheField name="Pob 15 Años O + no sabe leer ni escribir 2000" numFmtId="170">
      <sharedItems containsSemiMixedTypes="0" containsString="0" containsNumber="1" containsInteger="1" minValue="24" maxValue="87963"/>
    </cacheField>
    <cacheField name="Pob sin Acceso A Drenaje 2000" numFmtId="170">
      <sharedItems containsSemiMixedTypes="0" containsString="0" containsNumber="1" containsInteger="1" minValue="127" maxValue="334098"/>
    </cacheField>
    <cacheField name="Pob sin Acceso A  Electricidad 2000" numFmtId="170">
      <sharedItems containsSemiMixedTypes="0" containsString="0" containsNumber="1" containsInteger="1" minValue="28" maxValue="39143"/>
    </cacheField>
    <cacheField name="Carencia Social 2000" numFmtId="171">
      <sharedItems containsSemiMixedTypes="0" containsString="0" containsNumber="1" minValue="5.668842439924349E-4" maxValue="1"/>
    </cacheField>
    <cacheField name="Pob Ing &lt; A 2 Salarios Min_x000a_2010" numFmtId="170">
      <sharedItems containsSemiMixedTypes="0" containsString="0" containsNumber="1" minValue="95.999999999399989" maxValue="317877.99999509094"/>
    </cacheField>
    <cacheField name="Pob 15 Años O + no sabe leer ni escribir 2010" numFmtId="170">
      <sharedItems containsSemiMixedTypes="0" containsString="0" containsNumber="1" containsInteger="1" minValue="28" maxValue="73242"/>
    </cacheField>
    <cacheField name="Pob sin Acceso A Drenaje 2010" numFmtId="170">
      <sharedItems containsSemiMixedTypes="0" containsString="0" containsNumber="1" containsInteger="1" minValue="16" maxValue="123116"/>
    </cacheField>
    <cacheField name="Pob sin Acceso A  Electricidad 2010" numFmtId="170">
      <sharedItems containsSemiMixedTypes="0" containsString="0" containsNumber="1" containsInteger="1" minValue="3" maxValue="13726"/>
    </cacheField>
    <cacheField name="Carencia Social 2010" numFmtId="171">
      <sharedItems containsSemiMixedTypes="0" containsString="0" containsNumber="1" minValue="2.7865285037301604E-4" maxValue="1.0000000000000002"/>
    </cacheField>
    <cacheField name="Crecimiento 2010" numFmtId="171">
      <sharedItems containsSemiMixedTypes="0" containsString="0" containsNumber="1" minValue="-0.50844841195350865" maxValue="2.3813600670859127"/>
    </cacheField>
    <cacheField name="Mejora 2010" numFmtId="171">
      <sharedItems containsSemiMixedTypes="0" containsString="0" containsNumber="1" minValue="0" maxValue="5.3665221245451189"/>
    </cacheField>
    <cacheField name="Coeficiente de Mejora 2010" numFmtId="171">
      <sharedItems containsSemiMixedTypes="0" containsString="0" containsNumber="1" minValue="0" maxValue="1.0000000000000002"/>
    </cacheField>
    <cacheField name="Territorio" numFmtId="170">
      <sharedItems containsSemiMixedTypes="0" containsString="0" containsNumber="1" minValue="47.45" maxValue="64220.140000000021"/>
    </cacheField>
    <cacheField name="Población 2020 INEGI" numFmtId="172">
      <sharedItems containsSemiMixedTypes="0" containsString="0" containsNumber="1" containsInteger="1" minValue="906" maxValue="5784442"/>
    </cacheField>
    <cacheField name="Proyección de Población CONAPO 2019" numFmtId="172">
      <sharedItems containsSemiMixedTypes="0" containsString="0" containsNumber="1" containsInteger="1" minValue="1057" maxValue="5533147"/>
    </cacheField>
    <cacheField name="Fondo Descentralizados  Pagadas 2020" numFmtId="0">
      <sharedItems containsSemiMixedTypes="0" containsString="0" containsNumber="1" minValue="896589.74590828759" maxValue="423610039.11140221"/>
    </cacheField>
    <cacheField name="Eficiencia de Recaudación Predial ponderada por Monto 2018" numFmtId="174">
      <sharedItems containsSemiMixedTypes="0" containsString="0" containsNumber="1" minValue="6479.1843473313847" maxValue="1739168095.704432"/>
    </cacheField>
    <cacheField name="Coeficiente de Recaudación Predial" numFmtId="175">
      <sharedItems containsSemiMixedTypes="0" containsString="0" containsNumber="1" minValue="3.7254503249768149E-6" maxValue="1.0000000000000002"/>
    </cacheField>
    <cacheField name="85% población" numFmtId="175">
      <sharedItems containsSemiMixedTypes="0" containsString="0" containsNumber="1" minValue="1.331329798103257E-4" maxValue="0.8500000000000002"/>
    </cacheField>
    <cacheField name="15% Territorio" numFmtId="175">
      <sharedItems containsSemiMixedTypes="0" containsString="0" containsNumber="1" minValue="1.1082971790469467E-4" maxValue="0.15"/>
    </cacheField>
    <cacheField name="Coeficiente Población y Territorio" numFmtId="175">
      <sharedItems containsSemiMixedTypes="0" containsString="0" containsNumber="1" minValue="5.4784680615624945E-4" maxValue="1"/>
    </cacheField>
    <cacheField name="85% Carencia Social 2010" numFmtId="175">
      <sharedItems containsSemiMixedTypes="0" containsString="0" containsNumber="1" minValue="2.3685492281706362E-4" maxValue="0.85"/>
    </cacheField>
    <cacheField name="15% Coeficiente Mejora Social 2010" numFmtId="175">
      <sharedItems containsSemiMixedTypes="0" containsString="0" containsNumber="1" minValue="0" maxValue="0.15000000000000005"/>
    </cacheField>
    <cacheField name="Coeficiente índice de Pobreza Municipal" numFmtId="175">
      <sharedItems containsSemiMixedTypes="0" containsString="0" containsNumber="1" minValue="9.7205213352830283E-4" maxValue="1.0000000000000002"/>
    </cacheField>
    <cacheField name="Población AMM" numFmtId="174">
      <sharedItems containsSemiMixedTypes="0" containsString="0" containsNumber="1" containsInteger="1" minValue="0" maxValue="4899119"/>
    </cacheField>
    <cacheField name="Proporción Población AMM" numFmtId="175">
      <sharedItems containsSemiMixedTypes="0" containsString="0" containsNumber="1" minValue="0" maxValue="1"/>
    </cacheField>
    <cacheField name="Población NO AMM" numFmtId="174">
      <sharedItems containsSemiMixedTypes="0" containsString="0" containsNumber="1" containsInteger="1" minValue="0" maxValue="885323"/>
    </cacheField>
    <cacheField name="Proporción Población NO AMM" numFmtId="175">
      <sharedItems containsSemiMixedTypes="0" containsString="0" containsNumber="1" minValue="0" maxValue="0.99999999999999989"/>
    </cacheField>
    <cacheField name="Población Ultracrecimiento" numFmtId="174">
      <sharedItems containsSemiMixedTypes="0" containsString="0" containsNumber="1" containsInteger="1" minValue="0" maxValue="2991612"/>
    </cacheField>
    <cacheField name="Proporción Población Ultracrecimiento" numFmtId="175">
      <sharedItems containsSemiMixedTypes="0" containsString="0" containsNumber="1" minValue="0" maxValue="1"/>
    </cacheField>
    <cacheField name="     Coeficiente Fracción I   AMM y No AMM" numFmtId="175">
      <sharedItems containsSemiMixedTypes="0" containsString="0" containsNumber="1" minValue="2.1860281821536225E-3" maxValue="2"/>
    </cacheField>
    <cacheField name="     Coeficiente Fracción I   Ultracrecimiento" numFmtId="175">
      <sharedItems containsSemiMixedTypes="0" containsString="0" containsNumber="1" minValue="0" maxValue="0.999999999999999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s v="No AMM"/>
    <s v="No AMM"/>
    <x v="0"/>
    <n v="121403"/>
    <n v="501046"/>
    <n v="110684"/>
    <n v="558823"/>
    <n v="0.19806629290490907"/>
    <n v="-8.8292711053268871E-2"/>
    <n v="334"/>
    <n v="78"/>
    <n v="539"/>
    <n v="28"/>
    <n v="9.9915696601149016E-4"/>
    <n v="194.999999997044"/>
    <n v="51"/>
    <n v="69"/>
    <n v="52"/>
    <n v="1.4146606123147524E-3"/>
    <n v="0.415854225549666"/>
    <n v="0"/>
    <n v="0"/>
    <n v="47.45"/>
    <n v="2974"/>
    <n v="2911"/>
    <n v="1718741.9791512869"/>
    <n v="24450.744753974686"/>
    <n v="1.4058873788201115E-5"/>
    <n v="4.3701708825155477E-4"/>
    <n v="1.1082971790469467E-4"/>
    <n v="5.4784680615624945E-4"/>
    <n v="1.2024615204675394E-3"/>
    <n v="0"/>
    <n v="1.2024615204675394E-3"/>
    <n v="0"/>
    <n v="0"/>
    <n v="2974"/>
    <n v="3.3592259548210087E-3"/>
    <n v="0"/>
    <n v="0"/>
    <n v="2.1860281821536225E-3"/>
    <n v="0"/>
  </r>
  <r>
    <x v="1"/>
    <s v="No AMM"/>
    <s v="No AMM"/>
    <x v="0"/>
    <n v="836482"/>
    <n v="2275034"/>
    <n v="953414"/>
    <n v="2588435"/>
    <n v="0.368336079522955"/>
    <n v="0.13979021664542693"/>
    <n v="768"/>
    <n v="191"/>
    <n v="961"/>
    <n v="102"/>
    <n v="2.3625109877890441E-3"/>
    <n v="468.99999999269994"/>
    <n v="120"/>
    <n v="175"/>
    <n v="44"/>
    <n v="1.9352079794187835E-3"/>
    <n v="-0.1808681570493571"/>
    <n v="0.1808681570493571"/>
    <n v="3.3703048799913031E-2"/>
    <n v="978.99"/>
    <n v="3382"/>
    <n v="2627"/>
    <n v="2900632.6783973104"/>
    <n v="399553.70134951826"/>
    <n v="2.297384032839466E-4"/>
    <n v="4.9697101293435045E-4"/>
    <n v="2.2866424769550481E-3"/>
    <n v="2.7836134898893985E-3"/>
    <n v="1.644926782505966E-3"/>
    <n v="5.0554573199869546E-3"/>
    <n v="6.7003841024929206E-3"/>
    <n v="0"/>
    <n v="0"/>
    <n v="3382"/>
    <n v="3.8200747071972601E-3"/>
    <n v="0"/>
    <n v="0"/>
    <n v="1.2222445217130456E-2"/>
    <n v="0"/>
  </r>
  <r>
    <x v="2"/>
    <s v="No AMM"/>
    <s v="No AMM"/>
    <x v="0"/>
    <n v="248385"/>
    <n v="1068579"/>
    <n v="293401"/>
    <n v="1115974"/>
    <n v="0.26291024701292326"/>
    <n v="0.18123477665720555"/>
    <n v="363"/>
    <n v="91"/>
    <n v="728"/>
    <n v="81"/>
    <n v="1.5329909308086662E-3"/>
    <n v="209.00000000199"/>
    <n v="60"/>
    <n v="193"/>
    <n v="19"/>
    <n v="1.107137155609233E-3"/>
    <n v="-0.27779275574369616"/>
    <n v="0.27779275574369616"/>
    <n v="5.1764019470476444E-2"/>
    <n v="696.75"/>
    <n v="1407"/>
    <n v="1485"/>
    <n v="2086699.1551099622"/>
    <n v="80559.459619737987"/>
    <n v="4.6320686205497701E-5"/>
    <n v="2.0675287261934686E-4"/>
    <n v="1.6274100305605059E-3"/>
    <n v="1.8341629031798528E-3"/>
    <n v="9.4106658226784804E-4"/>
    <n v="7.7646029205714661E-3"/>
    <n v="8.7056695028393145E-3"/>
    <n v="0"/>
    <n v="0"/>
    <n v="1407"/>
    <n v="1.5892504769445728E-3"/>
    <n v="0"/>
    <n v="0"/>
    <n v="1.3069358160479475E-2"/>
    <n v="0"/>
  </r>
  <r>
    <x v="3"/>
    <s v="No AMM"/>
    <s v="No AMM"/>
    <x v="0"/>
    <n v="15242673"/>
    <n v="34304269"/>
    <n v="18200124"/>
    <n v="37146815"/>
    <n v="0.48995113039973953"/>
    <n v="0.19402443390342364"/>
    <n v="3420"/>
    <n v="773"/>
    <n v="6993"/>
    <n v="216"/>
    <n v="1.080919807213418E-2"/>
    <n v="2055.0000000045479"/>
    <n v="629"/>
    <n v="1238"/>
    <n v="59"/>
    <n v="7.3516705304182165E-3"/>
    <n v="-0.31986901513345156"/>
    <n v="0.31986901513345156"/>
    <n v="5.9604527422043294E-2"/>
    <n v="190.52"/>
    <n v="35289"/>
    <n v="37797"/>
    <n v="8518240.6165178325"/>
    <n v="9656072.6484326478"/>
    <n v="5.5521215414899589E-3"/>
    <n v="5.1855736473803348E-3"/>
    <n v="4.4500058704325448E-4"/>
    <n v="5.6305742344235892E-3"/>
    <n v="6.2489199508554841E-3"/>
    <n v="8.9406791133064944E-3"/>
    <n v="1.5189599064161979E-2"/>
    <n v="0"/>
    <n v="0"/>
    <n v="35289"/>
    <n v="3.9860028486778269E-2"/>
    <n v="0"/>
    <n v="0"/>
    <n v="3.9241256592739984E-2"/>
    <n v="0"/>
  </r>
  <r>
    <x v="4"/>
    <s v="No AMM"/>
    <s v="No AMM"/>
    <x v="0"/>
    <n v="2322895"/>
    <n v="10108332"/>
    <n v="1756976"/>
    <n v="10240869"/>
    <n v="0.1715651279202966"/>
    <n v="-0.24362659526151634"/>
    <n v="3207"/>
    <n v="706"/>
    <n v="5696"/>
    <n v="1464"/>
    <n v="1.749446911165152E-2"/>
    <n v="2802.0000000077798"/>
    <n v="510"/>
    <n v="1865"/>
    <n v="534"/>
    <n v="1.7457626250445064E-2"/>
    <n v="-2.1059719486953626E-3"/>
    <n v="2.1059719486953626E-3"/>
    <n v="3.9242770267603632E-4"/>
    <n v="4572.87"/>
    <n v="18030"/>
    <n v="19844"/>
    <n v="6137628.4181850413"/>
    <n v="305388.13570587116"/>
    <n v="1.7559437552939751E-4"/>
    <n v="2.6494344657617798E-3"/>
    <n v="1.0680925018226366E-2"/>
    <n v="1.3330359483988145E-2"/>
    <n v="1.4838982312878304E-2"/>
    <n v="5.8864155401405446E-5"/>
    <n v="1.4897846468279709E-2"/>
    <n v="0"/>
    <n v="0"/>
    <n v="18030"/>
    <n v="2.0365448542509344E-2"/>
    <n v="0"/>
    <n v="0"/>
    <n v="3.5129580676251028E-2"/>
    <n v="0"/>
  </r>
  <r>
    <x v="5"/>
    <s v="AMM"/>
    <s v="AMM"/>
    <x v="1"/>
    <n v="263928665.28"/>
    <n v="653982108"/>
    <n v="292840828.44000006"/>
    <n v="679461530"/>
    <n v="0.43098956380944786"/>
    <n v="0.10954536950098752"/>
    <n v="27572"/>
    <n v="4134"/>
    <n v="4960"/>
    <n v="1244"/>
    <n v="3.9529532272485512E-2"/>
    <n v="34239.000000084088"/>
    <n v="3826"/>
    <n v="1071"/>
    <n v="267"/>
    <n v="4.7025042297749592E-2"/>
    <n v="0.18961797912497236"/>
    <n v="0"/>
    <n v="0"/>
    <n v="238.03"/>
    <n v="656464"/>
    <n v="654249"/>
    <n v="19810827.893906925"/>
    <n v="131128588.61488232"/>
    <n v="7.5397305722636337E-2"/>
    <n v="9.6464689247467608E-2"/>
    <n v="5.5597044789998872E-4"/>
    <n v="9.7020659695367592E-2"/>
    <n v="3.9971285953087153E-2"/>
    <n v="0"/>
    <n v="3.9971285953087153E-2"/>
    <n v="656464"/>
    <n v="0.13399633689240861"/>
    <n v="0"/>
    <n v="0"/>
    <n v="656464"/>
    <n v="0.21943487323890931"/>
    <n v="9.0315507352483462E-2"/>
    <n v="0.2585515258771991"/>
  </r>
  <r>
    <x v="6"/>
    <s v="No AMM"/>
    <s v="No AMM"/>
    <x v="0"/>
    <n v="282007"/>
    <n v="1436942"/>
    <n v="785811.45"/>
    <n v="1835394"/>
    <n v="0.42814319432230896"/>
    <n v="1.7864962571851051"/>
    <n v="3888"/>
    <n v="1372"/>
    <n v="11340"/>
    <n v="3122"/>
    <n v="3.4598234920911047E-2"/>
    <n v="3560.0000000065597"/>
    <n v="1140"/>
    <n v="7405"/>
    <n v="920"/>
    <n v="3.8484178834662916E-2"/>
    <n v="0.11231624742229894"/>
    <n v="0"/>
    <n v="0"/>
    <n v="2664.8"/>
    <n v="14992"/>
    <n v="17586"/>
    <n v="8224675.0942434939"/>
    <n v="429731.77410855994"/>
    <n v="2.4709041936196599E-4"/>
    <n v="2.2030128403050801E-3"/>
    <n v="6.224215643254591E-3"/>
    <n v="8.4272284835596716E-3"/>
    <n v="3.2711552009463477E-2"/>
    <n v="0"/>
    <n v="3.2711552009463477E-2"/>
    <n v="0"/>
    <n v="0"/>
    <n v="14992"/>
    <n v="1.6933932587315591E-2"/>
    <n v="0"/>
    <n v="0"/>
    <n v="5.1174928268323594E-2"/>
    <n v="0"/>
  </r>
  <r>
    <x v="7"/>
    <s v="No AMM"/>
    <s v="No AMM"/>
    <x v="0"/>
    <n v="721021"/>
    <n v="2146802"/>
    <n v="927656"/>
    <n v="2443492"/>
    <n v="0.37964355929955979"/>
    <n v="0.2865866597505482"/>
    <n v="739"/>
    <n v="153"/>
    <n v="789"/>
    <n v="57"/>
    <n v="1.8214399438062257E-3"/>
    <n v="518.99999999744"/>
    <n v="104"/>
    <n v="89"/>
    <n v="41"/>
    <n v="1.6906448867138209E-3"/>
    <n v="-7.1808602604313709E-2"/>
    <n v="7.1808602604313709E-2"/>
    <n v="1.3380845347842557E-2"/>
    <n v="465.62"/>
    <n v="3661"/>
    <n v="4330"/>
    <n v="2974219.0794317215"/>
    <n v="400850.03383451293"/>
    <n v="2.304837783216997E-4"/>
    <n v="5.3796891731302686E-4"/>
    <n v="1.0875560221450776E-3"/>
    <n v="1.6255249394581043E-3"/>
    <n v="1.4370481537067476E-3"/>
    <n v="2.0071268021763836E-3"/>
    <n v="3.4441749558831313E-3"/>
    <n v="0"/>
    <n v="0"/>
    <n v="3661"/>
    <n v="4.1352139275721966E-3"/>
    <n v="0"/>
    <n v="0"/>
    <n v="6.7982555426688079E-3"/>
    <n v="0"/>
  </r>
  <r>
    <x v="8"/>
    <s v="AMM"/>
    <s v="No AMM"/>
    <x v="1"/>
    <n v="28310880.329999998"/>
    <n v="98384121"/>
    <n v="28519495.5"/>
    <n v="96076042"/>
    <n v="0.29684294758936886"/>
    <n v="7.36872776714541E-3"/>
    <n v="6662"/>
    <n v="2055"/>
    <n v="14558"/>
    <n v="683"/>
    <n v="2.4992050690700995E-2"/>
    <n v="5056.9999999440479"/>
    <n v="1587"/>
    <n v="3489"/>
    <n v="461"/>
    <n v="2.4875384301981683E-2"/>
    <n v="-4.6681398882853836E-3"/>
    <n v="4.6681398882853836E-3"/>
    <n v="8.6986315903450563E-4"/>
    <n v="1140.97"/>
    <n v="122337"/>
    <n v="103732"/>
    <n v="6080772.1412531286"/>
    <n v="8267204.2531591067"/>
    <n v="4.7535395075256146E-3"/>
    <n v="1.7976919813527389E-2"/>
    <n v="2.6649817331447726E-3"/>
    <n v="2.0641901546672163E-2"/>
    <n v="2.114407665668443E-2"/>
    <n v="1.3047947385517585E-4"/>
    <n v="2.1274556130539607E-2"/>
    <n v="122337"/>
    <n v="2.4971224418104562E-2"/>
    <n v="0"/>
    <n v="0"/>
    <n v="122337"/>
    <n v="4.0893337772411664E-2"/>
    <n v="1.6138150624972362E-2"/>
    <n v="4.6199634937974389E-2"/>
  </r>
  <r>
    <x v="9"/>
    <s v="No AMM"/>
    <s v="No AMM"/>
    <x v="1"/>
    <n v="4203660"/>
    <n v="21304607"/>
    <n v="6103961.7199999997"/>
    <n v="25918809"/>
    <n v="0.23550317146131211"/>
    <n v="0.45205885347530478"/>
    <n v="981"/>
    <n v="219"/>
    <n v="1075"/>
    <n v="108"/>
    <n v="2.6902734400869759E-3"/>
    <n v="716.99999998365001"/>
    <n v="253"/>
    <n v="273"/>
    <n v="153"/>
    <n v="4.7685085778216962E-3"/>
    <n v="0.77249959307762084"/>
    <n v="0"/>
    <n v="0"/>
    <n v="102.38"/>
    <n v="104478"/>
    <n v="45792"/>
    <n v="3660359.1184544452"/>
    <n v="1748839.9893612377"/>
    <n v="1.0055612184243113E-3"/>
    <n v="1.5352613095610606E-2"/>
    <n v="2.3913059049699976E-4"/>
    <n v="1.5591743686107605E-2"/>
    <n v="4.0532322911484417E-3"/>
    <n v="0"/>
    <n v="4.0532322911484417E-3"/>
    <n v="0"/>
    <n v="0"/>
    <n v="104478"/>
    <n v="0.11801116654599508"/>
    <n v="104478"/>
    <n v="3.4923646515657776E-2"/>
    <n v="2.6619516062828589E-2"/>
    <n v="1.9456146062062165E-2"/>
  </r>
  <r>
    <x v="10"/>
    <s v="No AMM"/>
    <s v="No AMM"/>
    <x v="0"/>
    <n v="3866062"/>
    <n v="2970608"/>
    <n v="826855"/>
    <n v="2065528"/>
    <n v="0.40031168785898813"/>
    <n v="-0.78612474399013776"/>
    <n v="1343"/>
    <n v="344"/>
    <n v="1532"/>
    <n v="359"/>
    <n v="5.2022887779602407E-3"/>
    <n v="655.00000000354908"/>
    <n v="319"/>
    <n v="345"/>
    <n v="110"/>
    <n v="4.3080466935839033E-3"/>
    <n v="-0.17189397254624528"/>
    <n v="0.17189397254624528"/>
    <n v="3.2030795468082691E-2"/>
    <n v="1006.89"/>
    <n v="7340"/>
    <n v="8312"/>
    <n v="3693123.3689814457"/>
    <n v="230151.26567524223"/>
    <n v="1.3233411206409112E-4"/>
    <n v="1.0785828607150006E-3"/>
    <n v="2.3518089496534882E-3"/>
    <n v="3.430391810368489E-3"/>
    <n v="3.6618396895463177E-3"/>
    <n v="4.8046193202124039E-3"/>
    <n v="8.4664590097587207E-3"/>
    <n v="0"/>
    <n v="0"/>
    <n v="7340"/>
    <n v="8.2907594177492275E-3"/>
    <n v="0"/>
    <n v="0"/>
    <n v="1.4948849296699891E-2"/>
    <n v="0"/>
  </r>
  <r>
    <x v="11"/>
    <s v="No AMM"/>
    <s v="No AMM"/>
    <x v="0"/>
    <n v="1407462"/>
    <n v="4274726"/>
    <n v="1648610"/>
    <n v="4522487"/>
    <n v="0.36453615013155372"/>
    <n v="0.17133535399179517"/>
    <n v="2046"/>
    <n v="494"/>
    <n v="4758"/>
    <n v="898"/>
    <n v="1.1896172975626618E-2"/>
    <n v="787.99999998764804"/>
    <n v="378"/>
    <n v="1925"/>
    <n v="123"/>
    <n v="8.0591670203057422E-3"/>
    <n v="-0.32254120406472697"/>
    <n v="0.32254120406472697"/>
    <n v="6.0102464236475396E-2"/>
    <n v="4292.05"/>
    <n v="9930"/>
    <n v="11856"/>
    <n v="5563132.2810582956"/>
    <n v="635810.32611212984"/>
    <n v="3.6558302080317396E-4"/>
    <n v="1.4591727257356889E-3"/>
    <n v="1.002500928836343E-2"/>
    <n v="1.1484182014099118E-2"/>
    <n v="6.8502919672598804E-3"/>
    <n v="9.0153696354713098E-3"/>
    <n v="1.5865661602731191E-2"/>
    <n v="0"/>
    <n v="0"/>
    <n v="9930"/>
    <n v="1.1216245370333765E-2"/>
    <n v="0"/>
    <n v="0"/>
    <n v="3.4516969463730778E-2"/>
    <n v="0"/>
  </r>
  <r>
    <x v="12"/>
    <s v="No AMM"/>
    <s v="No AMM"/>
    <x v="1"/>
    <n v="12855566"/>
    <n v="41956827"/>
    <n v="14225141"/>
    <n v="45557174"/>
    <n v="0.31224809949800664"/>
    <n v="0.10653556599530507"/>
    <n v="1162"/>
    <n v="349"/>
    <n v="489"/>
    <n v="43"/>
    <n v="2.3119536336203231E-3"/>
    <n v="2032.9999999577099"/>
    <n v="358"/>
    <n v="131"/>
    <n v="31"/>
    <n v="3.6514914876276086E-3"/>
    <n v="0.57939650455259473"/>
    <n v="0"/>
    <n v="0"/>
    <n v="146.56"/>
    <n v="68747"/>
    <n v="49098"/>
    <n v="3096584.7941487241"/>
    <n v="4822925.1575644892"/>
    <n v="2.7731219135612153E-3"/>
    <n v="1.010208936315724E-2"/>
    <n v="3.4232251751553313E-4"/>
    <n v="1.0444411880672773E-2"/>
    <n v="3.1037677644834673E-3"/>
    <n v="0"/>
    <n v="3.1037677644834673E-3"/>
    <n v="0"/>
    <n v="0"/>
    <n v="68747"/>
    <n v="7.7651885244142529E-2"/>
    <n v="68747"/>
    <n v="2.2979918518845358E-2"/>
    <n v="2.3470724163302033E-2"/>
    <n v="1.7154700950451934E-2"/>
  </r>
  <r>
    <x v="13"/>
    <s v="No AMM"/>
    <s v="No AMM"/>
    <x v="0"/>
    <n v="602897"/>
    <n v="6139487"/>
    <n v="766514"/>
    <n v="6492908"/>
    <n v="0.11805403680446419"/>
    <n v="0.27138466437882425"/>
    <n v="7369"/>
    <n v="3474"/>
    <n v="27910"/>
    <n v="2988"/>
    <n v="5.4151178076420683E-2"/>
    <n v="7387.0000000238397"/>
    <n v="3170"/>
    <n v="23798"/>
    <n v="1385"/>
    <n v="9.0180106426097695E-2"/>
    <n v="0.66533969582030694"/>
    <n v="0"/>
    <n v="0"/>
    <n v="5091.18"/>
    <n v="36088"/>
    <n v="37512"/>
    <n v="18511579.143657368"/>
    <n v="95699.154049190096"/>
    <n v="5.5025821992455618E-5"/>
    <n v="5.3029834165508102E-3"/>
    <n v="1.1891549909420936E-2"/>
    <n v="1.7194533325971748E-2"/>
    <n v="7.6653090462183035E-2"/>
    <n v="0"/>
    <n v="7.6653090462183035E-2"/>
    <n v="0"/>
    <n v="0"/>
    <n v="36088"/>
    <n v="4.0762523960181762E-2"/>
    <n v="0"/>
    <n v="0"/>
    <n v="0.11549207999363818"/>
    <n v="0"/>
  </r>
  <r>
    <x v="14"/>
    <s v="No AMM"/>
    <s v="No AMM"/>
    <x v="0"/>
    <n v="363371"/>
    <n v="1456249"/>
    <n v="328496"/>
    <n v="1493874"/>
    <n v="0.21989538609012541"/>
    <n v="-9.5976288696676404E-2"/>
    <n v="381"/>
    <n v="111"/>
    <n v="881"/>
    <n v="100"/>
    <n v="1.8361963451452015E-3"/>
    <n v="157.99999999728001"/>
    <n v="83"/>
    <n v="189"/>
    <n v="25"/>
    <n v="1.2466935297393157E-3"/>
    <n v="-0.32104563162022282"/>
    <n v="0.32104563162022282"/>
    <n v="5.982377863529921E-2"/>
    <n v="720.74"/>
    <n v="1360"/>
    <n v="1822"/>
    <n v="2627805.792300446"/>
    <n v="74101.078878680768"/>
    <n v="4.2607197695095077E-5"/>
    <n v="1.9984641560931893E-4"/>
    <n v="1.683443854217695E-3"/>
    <n v="1.883290269827014E-3"/>
    <n v="1.0596895002784182E-3"/>
    <n v="8.9735667952948808E-3"/>
    <n v="1.0033256295573299E-2"/>
    <n v="0"/>
    <n v="0"/>
    <n v="1360"/>
    <n v="1.536162507920838E-3"/>
    <n v="0"/>
    <n v="0"/>
    <n v="1.4752475841627739E-2"/>
    <n v="0"/>
  </r>
  <r>
    <x v="15"/>
    <s v="No AMM"/>
    <s v="No AMM"/>
    <x v="0"/>
    <n v="531178"/>
    <n v="2045528"/>
    <n v="704192"/>
    <n v="2353237"/>
    <n v="0.29924397755092241"/>
    <n v="0.32571755607348196"/>
    <n v="519"/>
    <n v="176"/>
    <n v="1034"/>
    <n v="145"/>
    <n v="2.5035278635428637E-3"/>
    <n v="277.00000000287605"/>
    <n v="136"/>
    <n v="317"/>
    <n v="84"/>
    <n v="2.8557104435277978E-3"/>
    <n v="0.14067451979006276"/>
    <n v="0"/>
    <n v="0"/>
    <n v="615.78"/>
    <n v="3256"/>
    <n v="3278"/>
    <n v="896589.74590828759"/>
    <n v="242424.63210672259"/>
    <n v="1.3939114494193329E-4"/>
    <n v="4.7845583031172234E-4"/>
    <n v="1.4382871167829899E-3"/>
    <n v="1.9167429470947123E-3"/>
    <n v="2.4273538769986279E-3"/>
    <n v="0"/>
    <n v="2.4273538769986279E-3"/>
    <n v="0"/>
    <n v="0"/>
    <n v="3256"/>
    <n v="3.6777537689634179E-3"/>
    <n v="0"/>
    <n v="0"/>
    <n v="5.682408829047551E-3"/>
    <n v="0"/>
  </r>
  <r>
    <x v="16"/>
    <s v="No AMM"/>
    <s v="No AMM"/>
    <x v="0"/>
    <n v="1058773"/>
    <n v="9607239"/>
    <n v="1253081"/>
    <n v="9897478"/>
    <n v="0.12660609096579958"/>
    <n v="0.18352186918253488"/>
    <n v="6824"/>
    <n v="2866"/>
    <n v="26645"/>
    <n v="2369"/>
    <n v="4.7204442280875711E-2"/>
    <n v="7532.9999999958"/>
    <n v="2466"/>
    <n v="13627"/>
    <n v="715"/>
    <n v="5.5035533032423221E-2"/>
    <n v="0.16589732603874402"/>
    <n v="0"/>
    <n v="0"/>
    <n v="7010.79"/>
    <n v="40903"/>
    <n v="44543"/>
    <n v="13770707.582336776"/>
    <n v="163440.50486940111"/>
    <n v="9.397625524127455E-5"/>
    <n v="6.0105278953440965E-3"/>
    <n v="1.637521344550167E-2"/>
    <n v="2.2385741340845765E-2"/>
    <n v="4.6780203077559736E-2"/>
    <n v="0"/>
    <n v="4.6780203077559736E-2"/>
    <n v="0"/>
    <n v="0"/>
    <n v="40903"/>
    <n v="4.6201216956975023E-2"/>
    <n v="0"/>
    <n v="0"/>
    <n v="8.5249297358007986E-2"/>
    <n v="0"/>
  </r>
  <r>
    <x v="17"/>
    <s v="AMM"/>
    <s v="AMM"/>
    <x v="1"/>
    <n v="84817135"/>
    <n v="354652384"/>
    <n v="89654721.319999993"/>
    <n v="377012210"/>
    <n v="0.23780323008636775"/>
    <n v="5.7035483690883841E-2"/>
    <n v="3671"/>
    <n v="1263"/>
    <n v="9334"/>
    <n v="932"/>
    <n v="1.8673316452561674E-2"/>
    <n v="8688.9999999445354"/>
    <n v="1809"/>
    <n v="2369"/>
    <n v="783"/>
    <n v="3.2080092269919827E-2"/>
    <n v="0.71796436650217865"/>
    <n v="0"/>
    <n v="0"/>
    <n v="1040.01"/>
    <n v="397205"/>
    <n v="290911"/>
    <n v="6970001.4448454408"/>
    <n v="22664359.292638678"/>
    <n v="1.3031724390883972E-2"/>
    <n v="5.8367643758896706E-2"/>
    <n v="2.4291678591793781E-3"/>
    <n v="6.0796811618076083E-2"/>
    <n v="2.7268078429431852E-2"/>
    <n v="0"/>
    <n v="2.7268078429431852E-2"/>
    <n v="397205"/>
    <n v="8.1076822179661279E-2"/>
    <n v="0"/>
    <n v="0"/>
    <n v="397205"/>
    <n v="0.13277289969421169"/>
    <n v="3.5816679308287441E-2"/>
    <n v="0.10253451880495228"/>
  </r>
  <r>
    <x v="18"/>
    <s v="No AMM"/>
    <s v="No AMM"/>
    <x v="0"/>
    <n v="1347671"/>
    <n v="4705374"/>
    <n v="1101010"/>
    <n v="4942797"/>
    <n v="0.22275039820571227"/>
    <n v="-0.18302760837029217"/>
    <n v="814"/>
    <n v="270"/>
    <n v="1738"/>
    <n v="531"/>
    <n v="5.9353068366605382E-3"/>
    <n v="320.00000000721394"/>
    <n v="216"/>
    <n v="671"/>
    <n v="199"/>
    <n v="5.9759951440321521E-3"/>
    <n v="6.8552997328284624E-3"/>
    <n v="0"/>
    <n v="0"/>
    <n v="1894.8"/>
    <n v="5506"/>
    <n v="6059"/>
    <n v="2314156.6642328231"/>
    <n v="257625.221735828"/>
    <n v="1.4813129471046303E-4"/>
    <n v="8.090840914300808E-4"/>
    <n v="4.4257144254123372E-3"/>
    <n v="5.2347985168424184E-3"/>
    <n v="5.0795958724273293E-3"/>
    <n v="0"/>
    <n v="5.0795958724273293E-3"/>
    <n v="0"/>
    <n v="0"/>
    <n v="5506"/>
    <n v="6.219199094567745E-3"/>
    <n v="0"/>
    <n v="0"/>
    <n v="1.3042541111535581E-2"/>
    <n v="0"/>
  </r>
  <r>
    <x v="19"/>
    <s v="AMM"/>
    <s v="AMM"/>
    <x v="1"/>
    <n v="139338983"/>
    <n v="422301629"/>
    <n v="149244141.31999999"/>
    <n v="437682929"/>
    <n v="0.34098689126621157"/>
    <n v="7.1086770598863869E-2"/>
    <n v="25525"/>
    <n v="4815"/>
    <n v="33044"/>
    <n v="5258"/>
    <n v="8.6919519735553008E-2"/>
    <n v="20136.00000070727"/>
    <n v="4791"/>
    <n v="5994"/>
    <n v="875"/>
    <n v="6.0297942215401121E-2"/>
    <n v="-0.30627847002774872"/>
    <n v="0.30627847002774872"/>
    <n v="5.7072059505151061E-2"/>
    <n v="151.27000000000001"/>
    <n v="481213"/>
    <n v="459071"/>
    <n v="13667505.466545394"/>
    <n v="52743849.866475716"/>
    <n v="3.0327056939894223E-2"/>
    <n v="7.0712274407799397E-2"/>
    <n v="3.5332373925064616E-4"/>
    <n v="7.1065598147050046E-2"/>
    <n v="5.1253250883090955E-2"/>
    <n v="8.5608089257726595E-3"/>
    <n v="5.9814059808863618E-2"/>
    <n v="481213"/>
    <n v="9.8224395039189699E-2"/>
    <n v="0"/>
    <n v="0"/>
    <n v="481213"/>
    <n v="0.16085408134477333"/>
    <n v="6.0108678991709866E-2"/>
    <n v="0.17207665801084579"/>
  </r>
  <r>
    <x v="20"/>
    <s v="No AMM"/>
    <s v="No AMM"/>
    <x v="0"/>
    <n v="3647488"/>
    <n v="12413879"/>
    <n v="4417747"/>
    <n v="11203821"/>
    <n v="0.39430717431133538"/>
    <n v="0.21117519783478383"/>
    <n v="3166"/>
    <n v="724"/>
    <n v="6502"/>
    <n v="971"/>
    <n v="1.4976056308358143E-2"/>
    <n v="1684.0000000044001"/>
    <n v="572"/>
    <n v="3480"/>
    <n v="459"/>
    <n v="1.8703392153060629E-2"/>
    <n v="0.24888634016568562"/>
    <n v="0"/>
    <n v="0"/>
    <n v="2479.16"/>
    <n v="14109"/>
    <n v="16112"/>
    <n v="5035804.9607381914"/>
    <n v="1572150.6997135223"/>
    <n v="9.0396707690106233E-4"/>
    <n v="2.0732596160528533E-3"/>
    <n v="5.7906133496438946E-3"/>
    <n v="7.8638729656967474E-3"/>
    <n v="1.5897883330101534E-2"/>
    <n v="0"/>
    <n v="1.5897883330101534E-2"/>
    <n v="0"/>
    <n v="0"/>
    <n v="14109"/>
    <n v="1.5936556488422869E-2"/>
    <n v="0"/>
    <n v="0"/>
    <n v="3.1430074458905402E-2"/>
    <n v="0"/>
  </r>
  <r>
    <x v="21"/>
    <s v="No AMM"/>
    <s v="No AMM"/>
    <x v="0"/>
    <n v="228955"/>
    <n v="784275"/>
    <n v="320606.25"/>
    <n v="822645"/>
    <n v="0.38972612730886347"/>
    <n v="0.40030246118232843"/>
    <n v="248"/>
    <n v="63"/>
    <n v="357"/>
    <n v="74"/>
    <n v="1.0638412639101531E-3"/>
    <n v="138"/>
    <n v="45"/>
    <n v="165"/>
    <n v="30"/>
    <n v="1.1435907453274151E-3"/>
    <n v="7.4963703818126448E-2"/>
    <n v="0"/>
    <n v="0"/>
    <n v="388.05"/>
    <n v="1808"/>
    <n v="1196"/>
    <n v="2579267.2849072521"/>
    <n v="131061.63978076886"/>
    <n v="7.5358810976625988E-5"/>
    <n v="2.6567817604532988E-4"/>
    <n v="9.0637454231647541E-4"/>
    <n v="1.1720527183618052E-3"/>
    <n v="9.7205213352830283E-4"/>
    <n v="0"/>
    <n v="9.7205213352830283E-4"/>
    <n v="0"/>
    <n v="0"/>
    <n v="1808"/>
    <n v="2.0421925105300553E-3"/>
    <n v="0"/>
    <n v="0"/>
    <n v="2.8207788187750021E-3"/>
    <n v="0"/>
  </r>
  <r>
    <x v="22"/>
    <s v="No AMM"/>
    <s v="No AMM"/>
    <x v="0"/>
    <n v="194795"/>
    <n v="1405117"/>
    <n v="194672"/>
    <n v="1482915"/>
    <n v="0.13127657350556168"/>
    <n v="-6.3143304499602149E-4"/>
    <n v="1391"/>
    <n v="407"/>
    <n v="3581"/>
    <n v="1264"/>
    <n v="1.2722731945209571E-2"/>
    <n v="1108.99999999377"/>
    <n v="288"/>
    <n v="3319"/>
    <n v="607"/>
    <n v="1.9650472199698121E-2"/>
    <n v="0.54451671891877107"/>
    <n v="0"/>
    <n v="0"/>
    <n v="1314.52"/>
    <n v="6282"/>
    <n v="6546"/>
    <n v="4083989.3872715947"/>
    <n v="26970.841277986103"/>
    <n v="1.5507897910846762E-5"/>
    <n v="9.2311410504245699E-4"/>
    <n v="3.070345221919478E-3"/>
    <n v="3.9934593269619345E-3"/>
    <n v="1.6702901369743402E-2"/>
    <n v="0"/>
    <n v="1.6702901369743402E-2"/>
    <n v="0"/>
    <n v="0"/>
    <n v="6282"/>
    <n v="7.0957153490872824E-3"/>
    <n v="0"/>
    <n v="0"/>
    <n v="2.5477937943048923E-2"/>
    <n v="0"/>
  </r>
  <r>
    <x v="23"/>
    <s v="No AMM"/>
    <s v="No AMM"/>
    <x v="1"/>
    <n v="11872386"/>
    <n v="58791281"/>
    <n v="7133102"/>
    <n v="59610291"/>
    <n v="0.11966225764608329"/>
    <n v="-0.39918547122709791"/>
    <n v="870"/>
    <n v="295"/>
    <n v="1873"/>
    <n v="57"/>
    <n v="3.1127641837955201E-3"/>
    <n v="2629.9999999954803"/>
    <n v="513"/>
    <n v="350"/>
    <n v="123"/>
    <n v="6.770433865754372E-3"/>
    <n v="1.1750551811794834"/>
    <n v="0"/>
    <n v="0"/>
    <n v="184.87"/>
    <n v="102149"/>
    <n v="88975"/>
    <n v="4282795.5586598059"/>
    <n v="865453.91216095467"/>
    <n v="4.9762522340338327E-4"/>
    <n v="1.5010376108879646E-2"/>
    <n v="4.3180379239285356E-4"/>
    <n v="1.54421799012725E-2"/>
    <n v="5.7548687858912165E-3"/>
    <n v="0"/>
    <n v="5.7548687858912165E-3"/>
    <n v="0"/>
    <n v="0"/>
    <n v="102149"/>
    <n v="0.11538048825118065"/>
    <n v="102149"/>
    <n v="3.4145136468231842E-2"/>
    <n v="2.7278610023450417E-2"/>
    <n v="1.9937876396160459E-2"/>
  </r>
  <r>
    <x v="24"/>
    <s v="AMM"/>
    <s v="AMM"/>
    <x v="0"/>
    <n v="252087113.56999999"/>
    <n v="531696647"/>
    <n v="259353547.03000003"/>
    <n v="542535324"/>
    <n v="0.47803992764533804"/>
    <n v="2.8825088903175061E-2"/>
    <n v="69698"/>
    <n v="12447"/>
    <n v="14729"/>
    <n v="1417"/>
    <n v="9.6205301106005142E-2"/>
    <n v="32769.999999791457"/>
    <n v="9468"/>
    <n v="3881"/>
    <n v="299"/>
    <n v="7.1416637155423596E-2"/>
    <n v="-0.25766422084441909"/>
    <n v="0.25766422084441909"/>
    <n v="4.80132597732017E-2"/>
    <n v="117.79"/>
    <n v="643143"/>
    <n v="706231"/>
    <n v="23819745.92530071"/>
    <n v="126508720.21963763"/>
    <n v="7.27409389190736E-2"/>
    <n v="9.4507222995753079E-2"/>
    <n v="2.7512397201251811E-4"/>
    <n v="9.4782346967765593E-2"/>
    <n v="6.0704141582110058E-2"/>
    <n v="7.2019889659802544E-3"/>
    <n v="6.7906130548090318E-2"/>
    <n v="643143"/>
    <n v="0.13127727658789265"/>
    <n v="0"/>
    <n v="0"/>
    <n v="0"/>
    <n v="0"/>
    <n v="9.671251595580016E-2"/>
    <n v="0"/>
  </r>
  <r>
    <x v="25"/>
    <s v="No AMM"/>
    <s v="No AMM"/>
    <x v="0"/>
    <n v="228664"/>
    <n v="818878"/>
    <n v="294751"/>
    <n v="1019354"/>
    <n v="0.28915469993741133"/>
    <n v="0.28901357450232656"/>
    <n v="525"/>
    <n v="111"/>
    <n v="654"/>
    <n v="69"/>
    <n v="1.5525523861855471E-3"/>
    <n v="374.99999999594002"/>
    <n v="98"/>
    <n v="163"/>
    <n v="24"/>
    <n v="1.397547272996221E-3"/>
    <n v="-9.983889404862975E-2"/>
    <n v="9.983889404862975E-2"/>
    <n v="1.8604021698148197E-2"/>
    <n v="497.27"/>
    <n v="1959"/>
    <n v="1986"/>
    <n v="2416180.5729740933"/>
    <n v="106094.13368169618"/>
    <n v="6.1002805849381599E-5"/>
    <n v="2.8786700601371744E-4"/>
    <n v="1.1614814293459958E-3"/>
    <n v="1.4493484353597132E-3"/>
    <n v="1.1879151820467877E-3"/>
    <n v="2.7906032547222294E-3"/>
    <n v="3.9785184367690171E-3"/>
    <n v="0"/>
    <n v="0"/>
    <n v="1959"/>
    <n v="2.2127517301595012E-3"/>
    <n v="0"/>
    <n v="0"/>
    <n v="6.8218622258234786E-3"/>
    <n v="0"/>
  </r>
  <r>
    <x v="26"/>
    <s v="No AMM"/>
    <s v="No AMM"/>
    <x v="0"/>
    <n v="558660"/>
    <n v="2180533"/>
    <n v="501704"/>
    <n v="2430155"/>
    <n v="0.20644938285829506"/>
    <n v="-0.10195109726846383"/>
    <n v="1777"/>
    <n v="482"/>
    <n v="1571"/>
    <n v="193"/>
    <n v="4.8172617237070628E-3"/>
    <n v="887.9999999826681"/>
    <n v="349"/>
    <n v="145"/>
    <n v="79"/>
    <n v="3.6229504163855729E-3"/>
    <n v="-0.24792327588180588"/>
    <n v="0.24792327588180588"/>
    <n v="4.6198127973397771E-2"/>
    <n v="170.12"/>
    <n v="16086"/>
    <n v="15875"/>
    <n v="2523675.0481478898"/>
    <n v="115433.6593924513"/>
    <n v="6.637291684315086E-5"/>
    <n v="2.3637716481555177E-3"/>
    <n v="3.9735198334977145E-4"/>
    <n v="2.7611236315052893E-3"/>
    <n v="3.0795078539277371E-3"/>
    <n v="6.9297191960096651E-3"/>
    <n v="1.0009227049937402E-2"/>
    <n v="0"/>
    <n v="0"/>
    <n v="16086"/>
    <n v="1.8169639781187207E-2"/>
    <n v="0"/>
    <n v="0"/>
    <n v="1.5860390841269834E-2"/>
    <n v="0"/>
  </r>
  <r>
    <x v="27"/>
    <s v="No AMM"/>
    <s v="No AMM"/>
    <x v="0"/>
    <n v="282361"/>
    <n v="678268"/>
    <n v="314751"/>
    <n v="721085"/>
    <n v="0.436496390855447"/>
    <n v="0.11471130928138093"/>
    <n v="236"/>
    <n v="70"/>
    <n v="392"/>
    <n v="106"/>
    <n v="1.3072873655381025E-3"/>
    <n v="156.00000000186"/>
    <n v="60"/>
    <n v="117"/>
    <n v="25"/>
    <n v="1.0204101512400637E-3"/>
    <n v="-0.21944464687758616"/>
    <n v="0.21944464687758616"/>
    <n v="4.0891408212760681E-2"/>
    <n v="444.11"/>
    <n v="1386"/>
    <n v="1700"/>
    <n v="2212342.7472197949"/>
    <n v="146060.54244192562"/>
    <n v="8.3982993249864853E-5"/>
    <n v="2.0366700884890884E-4"/>
    <n v="1.0373147738388607E-3"/>
    <n v="1.2409817826877696E-3"/>
    <n v="8.6734862855405406E-4"/>
    <n v="6.1337112319141017E-3"/>
    <n v="7.0010598604681555E-3"/>
    <n v="0"/>
    <n v="0"/>
    <n v="1386"/>
    <n v="1.5655303205722657E-3"/>
    <n v="0"/>
    <n v="0"/>
    <n v="1.0337519201534586E-2"/>
    <n v="0"/>
  </r>
  <r>
    <x v="28"/>
    <s v="No AMM"/>
    <s v="No AMM"/>
    <x v="0"/>
    <n v="494360"/>
    <n v="1784944"/>
    <n v="586273"/>
    <n v="1890448"/>
    <n v="0.31012384366033874"/>
    <n v="0.18592321385225341"/>
    <n v="1201"/>
    <n v="234"/>
    <n v="2745"/>
    <n v="176"/>
    <n v="4.5454949869131846E-3"/>
    <n v="649.99999999475995"/>
    <n v="185"/>
    <n v="941"/>
    <n v="42"/>
    <n v="3.8184418521229071E-3"/>
    <n v="-0.15995026655700142"/>
    <n v="0.15995026655700142"/>
    <n v="2.9805200247927655E-2"/>
    <n v="127.8"/>
    <n v="7026"/>
    <n v="7661"/>
    <n v="1837459.503722325"/>
    <n v="192564.04152119058"/>
    <n v="1.1072192618804596E-4"/>
    <n v="1.0324418500522608E-3"/>
    <n v="2.9850448784446735E-4"/>
    <n v="1.3309463378967281E-3"/>
    <n v="3.2456755743044711E-3"/>
    <n v="4.4707800371891482E-3"/>
    <n v="7.7164556114936193E-3"/>
    <n v="0"/>
    <n v="0"/>
    <n v="7026"/>
    <n v="7.9360866034204457E-3"/>
    <n v="0"/>
    <n v="0"/>
    <n v="1.1393196733133878E-2"/>
    <n v="0"/>
  </r>
  <r>
    <x v="29"/>
    <s v="No AMM"/>
    <s v="No AMM"/>
    <x v="0"/>
    <n v="111314"/>
    <n v="550784"/>
    <n v="107675"/>
    <n v="574456"/>
    <n v="0.18743820240366538"/>
    <n v="-3.2691305675835926E-2"/>
    <n v="779"/>
    <n v="226"/>
    <n v="2400"/>
    <n v="462"/>
    <n v="5.8444587616490332E-3"/>
    <n v="671.99999999645991"/>
    <n v="188"/>
    <n v="1437"/>
    <n v="355"/>
    <n v="1.0554024016422515E-2"/>
    <n v="0.80581717603644487"/>
    <n v="0"/>
    <n v="0"/>
    <n v="561.88"/>
    <n v="3298"/>
    <n v="3937"/>
    <n v="2140203.3870121036"/>
    <n v="21049.822843437716"/>
    <n v="1.2103386035788394E-5"/>
    <n v="4.8462755785259838E-4"/>
    <n v="1.3123920315340322E-3"/>
    <n v="1.7970195893866306E-3"/>
    <n v="8.9709204139591381E-3"/>
    <n v="0"/>
    <n v="8.9709204139591381E-3"/>
    <n v="0"/>
    <n v="0"/>
    <n v="3298"/>
    <n v="3.7251940817080321E-3"/>
    <n v="0"/>
    <n v="0"/>
    <n v="1.3265627027882294E-2"/>
    <n v="0"/>
  </r>
  <r>
    <x v="30"/>
    <s v="AMM"/>
    <s v="AMM"/>
    <x v="1"/>
    <n v="48969965.200000003"/>
    <n v="229270347"/>
    <n v="81896056.420000002"/>
    <n v="369239404"/>
    <n v="0.22179663257175011"/>
    <n v="0.67237317987720358"/>
    <n v="7826"/>
    <n v="1628"/>
    <n v="22499"/>
    <n v="705"/>
    <n v="3.0541785709629822E-2"/>
    <n v="16068.000000124277"/>
    <n v="2619"/>
    <n v="3702"/>
    <n v="260"/>
    <n v="3.3829305636440522E-2"/>
    <n v="0.10764006918476104"/>
    <n v="0"/>
    <n v="0"/>
    <n v="247"/>
    <n v="471523"/>
    <n v="385877"/>
    <n v="7906757.7221003743"/>
    <n v="29253517.277346916"/>
    <n v="1.682040818802974E-2"/>
    <n v="6.9288368696583003E-2"/>
    <n v="5.769218192299174E-4"/>
    <n v="6.9865290515812917E-2"/>
    <n v="2.8754909790974444E-2"/>
    <n v="0"/>
    <n v="2.8754909790974444E-2"/>
    <n v="471523"/>
    <n v="9.6246488399240757E-2"/>
    <n v="0"/>
    <n v="0"/>
    <n v="471523"/>
    <n v="0.15761502494307417"/>
    <n v="4.1507223079833531E-2"/>
    <n v="0.11882517384674977"/>
  </r>
  <r>
    <x v="31"/>
    <s v="No AMM"/>
    <s v="No AMM"/>
    <x v="0"/>
    <n v="1144646"/>
    <n v="3683050"/>
    <n v="1383880"/>
    <n v="3808697"/>
    <n v="0.36334736000264656"/>
    <n v="0.20900260866678433"/>
    <n v="900"/>
    <n v="209"/>
    <n v="2198"/>
    <n v="203"/>
    <n v="4.0615571082199316E-3"/>
    <n v="711.99999999240003"/>
    <n v="170"/>
    <n v="749"/>
    <n v="32"/>
    <n v="3.2439902600152671E-3"/>
    <n v="-0.20129394378083273"/>
    <n v="0.20129394378083273"/>
    <n v="3.7509198529186154E-2"/>
    <n v="3428.68"/>
    <n v="5351"/>
    <n v="5719"/>
    <n v="4879372.4971958175"/>
    <n v="519983.12659344834"/>
    <n v="2.9898382328755554E-4"/>
    <n v="7.8630747788637162E-4"/>
    <n v="8.0084222799887972E-3"/>
    <n v="8.7947297578751683E-3"/>
    <n v="2.7573917210129768E-3"/>
    <n v="5.6263797793779232E-3"/>
    <n v="8.3837715003909005E-3"/>
    <n v="0"/>
    <n v="0"/>
    <n v="5351"/>
    <n v="6.0441217499150029E-3"/>
    <n v="0"/>
    <n v="0"/>
    <n v="2.1850704152904837E-2"/>
    <n v="0"/>
  </r>
  <r>
    <x v="32"/>
    <s v="No AMM"/>
    <s v="No AMM"/>
    <x v="0"/>
    <n v="10001944"/>
    <n v="38008782"/>
    <n v="10865396"/>
    <n v="39439786"/>
    <n v="0.27549327980633564"/>
    <n v="8.6328417755588319E-2"/>
    <n v="12929"/>
    <n v="2053"/>
    <n v="23315"/>
    <n v="2592"/>
    <n v="4.7396376278714986E-2"/>
    <n v="10671.999999957041"/>
    <n v="1702"/>
    <n v="11424"/>
    <n v="888"/>
    <n v="5.3573985057324913E-2"/>
    <n v="0.13033926353952507"/>
    <n v="0"/>
    <n v="0"/>
    <n v="2539.67"/>
    <n v="84666"/>
    <n v="87683"/>
    <n v="14166911.141700404"/>
    <n v="3106040.8680503368"/>
    <n v="1.7859348246566512E-3"/>
    <n v="1.2441321047043085E-2"/>
    <n v="5.9319475167758876E-3"/>
    <n v="1.8373268563818972E-2"/>
    <n v="4.5537887298726175E-2"/>
    <n v="0"/>
    <n v="4.5537887298726175E-2"/>
    <n v="0"/>
    <n v="0"/>
    <n v="84666"/>
    <n v="9.5632893305607106E-2"/>
    <n v="0"/>
    <n v="0"/>
    <n v="8.2949636043915018E-2"/>
    <n v="0"/>
  </r>
  <r>
    <x v="33"/>
    <s v="No AMM"/>
    <s v="No AMM"/>
    <x v="0"/>
    <n v="491980"/>
    <n v="1478492"/>
    <n v="1126052"/>
    <n v="2142351"/>
    <n v="0.52561508361608344"/>
    <n v="1.2888166185617302"/>
    <n v="549"/>
    <n v="170"/>
    <n v="368"/>
    <n v="141"/>
    <n v="1.9801145257961881E-3"/>
    <n v="273.99999999933596"/>
    <n v="118"/>
    <n v="143"/>
    <n v="8"/>
    <n v="1.0543512714151413E-3"/>
    <n v="-0.46753015662505931"/>
    <n v="0.46753015662505931"/>
    <n v="8.7119766913229382E-2"/>
    <n v="264.23"/>
    <n v="5119"/>
    <n v="6150"/>
    <n v="3175363.8332095044"/>
    <n v="857625.95043057378"/>
    <n v="4.931242428772828E-4"/>
    <n v="7.5221603051772322E-4"/>
    <n v="6.1716620362397201E-4"/>
    <n v="1.3693822341416953E-3"/>
    <n v="8.9619858070287008E-4"/>
    <n v="1.3067965036984408E-2"/>
    <n v="1.3964163617687278E-2"/>
    <n v="0"/>
    <n v="0"/>
    <n v="5119"/>
    <n v="5.7820704985638008E-3"/>
    <n v="0"/>
    <n v="0"/>
    <n v="2.0060170544312913E-2"/>
    <n v="0"/>
  </r>
  <r>
    <x v="34"/>
    <s v="No AMM"/>
    <s v="No AMM"/>
    <x v="0"/>
    <n v="296444"/>
    <n v="737314"/>
    <n v="319251"/>
    <n v="758867"/>
    <n v="0.42069427185527897"/>
    <n v="7.6935272766525883E-2"/>
    <n v="166"/>
    <n v="24"/>
    <n v="127"/>
    <n v="48"/>
    <n v="5.668842439924349E-4"/>
    <n v="122.00000000265999"/>
    <n v="28"/>
    <n v="16"/>
    <n v="3"/>
    <n v="2.7865285037301604E-4"/>
    <n v="-0.50844841195350865"/>
    <n v="0.50844841195350865"/>
    <n v="9.474449189876509E-2"/>
    <n v="207.92"/>
    <n v="1483"/>
    <n v="1057"/>
    <n v="3099472.9188778722"/>
    <n v="138233.10150220938"/>
    <n v="7.9482312171911987E-5"/>
    <n v="2.1792076055045584E-4"/>
    <n v="4.8564204313475466E-4"/>
    <n v="7.0356280368521053E-4"/>
    <n v="2.3685492281706362E-4"/>
    <n v="1.4211673784814763E-2"/>
    <n v="1.4448528707631827E-2"/>
    <n v="0"/>
    <n v="0"/>
    <n v="1483"/>
    <n v="1.6750948523872079E-3"/>
    <n v="0"/>
    <n v="0"/>
    <n v="1.8820237004309206E-2"/>
    <n v="0"/>
  </r>
  <r>
    <x v="35"/>
    <s v="No AMM"/>
    <s v="No AMM"/>
    <x v="0"/>
    <n v="94052"/>
    <n v="752319"/>
    <n v="69817"/>
    <n v="746282"/>
    <n v="9.3553107270441999E-2"/>
    <n v="-0.25767660443159102"/>
    <n v="1457"/>
    <n v="857"/>
    <n v="6591"/>
    <n v="540"/>
    <n v="1.1668536705942888E-2"/>
    <n v="1103.9999999949041"/>
    <n v="656"/>
    <n v="3161"/>
    <n v="242"/>
    <n v="1.3933846759870267E-2"/>
    <n v="0.19413831494172162"/>
    <n v="0"/>
    <n v="0"/>
    <n v="1006.78"/>
    <n v="7652"/>
    <n v="7554"/>
    <n v="3016799.7840141212"/>
    <n v="6479.1843473313847"/>
    <n v="3.7254503249768149E-6"/>
    <n v="1.1244299795900798E-3"/>
    <n v="2.3515520209080819E-3"/>
    <n v="3.4759820004981617E-3"/>
    <n v="1.1843769745889727E-2"/>
    <n v="0"/>
    <n v="1.1843769745889727E-2"/>
    <n v="0"/>
    <n v="0"/>
    <n v="7652"/>
    <n v="8.6431731695663615E-3"/>
    <n v="0"/>
    <n v="0"/>
    <n v="1.8840084176719455E-2"/>
    <n v="0"/>
  </r>
  <r>
    <x v="36"/>
    <s v="No AMM"/>
    <s v="No AMM"/>
    <x v="0"/>
    <n v="601205"/>
    <n v="4368244"/>
    <n v="875732"/>
    <n v="4564482"/>
    <n v="0.19185791509310365"/>
    <n v="0.45662793888939712"/>
    <n v="871"/>
    <n v="298"/>
    <n v="2364"/>
    <n v="407"/>
    <n v="5.7246757457106359E-3"/>
    <n v="541.99999999184001"/>
    <n v="247"/>
    <n v="493"/>
    <n v="128"/>
    <n v="4.6017900390551651E-3"/>
    <n v="-0.19614835084708904"/>
    <n v="0.19614835084708904"/>
    <n v="3.655036656794089E-2"/>
    <n v="3872.26"/>
    <n v="6048"/>
    <n v="5846"/>
    <n v="3822980.5102342181"/>
    <n v="175564.03347065777"/>
    <n v="1.0094713323242477E-4"/>
    <n v="8.8872876588614778E-4"/>
    <n v="9.0444991244179769E-3"/>
    <n v="9.9332278903041249E-3"/>
    <n v="3.9115215331968906E-3"/>
    <n v="5.4825549851911333E-3"/>
    <n v="9.3940765183880247E-3"/>
    <n v="0"/>
    <n v="0"/>
    <n v="6048"/>
    <n v="6.8314050352244323E-3"/>
    <n v="0"/>
    <n v="0"/>
    <n v="2.4005146628301614E-2"/>
    <n v="0"/>
  </r>
  <r>
    <x v="37"/>
    <s v="No AMM"/>
    <s v="No AMM"/>
    <x v="0"/>
    <n v="16720965.199999999"/>
    <n v="54997682"/>
    <n v="15135193.17"/>
    <n v="56486259"/>
    <n v="0.26794469022988404"/>
    <n v="-9.4837350059193914E-2"/>
    <n v="9097"/>
    <n v="1608"/>
    <n v="18077"/>
    <n v="1611"/>
    <n v="3.3705765227310995E-2"/>
    <n v="5867.9999999965466"/>
    <n v="1434"/>
    <n v="7372"/>
    <n v="494"/>
    <n v="3.3476855698049306E-2"/>
    <n v="-6.7914057941698752E-3"/>
    <n v="6.7914057941698752E-3"/>
    <n v="1.2655134249997214E-3"/>
    <n v="1869.3"/>
    <n v="67428"/>
    <n v="66834"/>
    <n v="17905596.972663175"/>
    <n v="4165158.6751095192"/>
    <n v="2.3949143762451927E-3"/>
    <n v="9.9082677291949667E-3"/>
    <n v="4.3661536707954836E-3"/>
    <n v="1.4274421399990449E-2"/>
    <n v="2.8455327343341909E-2"/>
    <n v="1.898270137499582E-4"/>
    <n v="2.8645154357091869E-2"/>
    <n v="0"/>
    <n v="0"/>
    <n v="67428"/>
    <n v="7.616203351771049E-2"/>
    <n v="0"/>
    <n v="0"/>
    <n v="5.8644047298169022E-2"/>
    <n v="0"/>
  </r>
  <r>
    <x v="38"/>
    <s v="AMM"/>
    <s v="AMM"/>
    <x v="0"/>
    <n v="1201710192.6199999"/>
    <n v="2401041388"/>
    <n v="1234436745.7600002"/>
    <n v="2430413136"/>
    <n v="0.50791230818956545"/>
    <n v="2.7233315770293219E-2"/>
    <n v="123398"/>
    <n v="25536"/>
    <n v="28126"/>
    <n v="2378"/>
    <n v="0.18097080651961275"/>
    <n v="88873.999998769097"/>
    <n v="19246"/>
    <n v="4982"/>
    <n v="694"/>
    <n v="0.15834621423966655"/>
    <n v="-0.12501791153532965"/>
    <n v="0.12501791153532965"/>
    <n v="2.329589045455142E-2"/>
    <n v="323.60000000000002"/>
    <n v="1142994"/>
    <n v="1115043"/>
    <n v="78893922.891016111"/>
    <n v="634655481.94979274"/>
    <n v="0.36491899978922515"/>
    <n v="0.16795827497276314"/>
    <n v="7.5583765466721159E-4"/>
    <n v="0.16871411262743036"/>
    <n v="0.13459428210371657"/>
    <n v="3.4943835681827129E-3"/>
    <n v="0.13808866567189929"/>
    <n v="1142994"/>
    <n v="0.23330602910441653"/>
    <n v="0"/>
    <n v="0"/>
    <n v="0"/>
    <n v="0"/>
    <n v="0.3253270018648326"/>
    <n v="0"/>
  </r>
  <r>
    <x v="39"/>
    <s v="No AMM"/>
    <s v="No AMM"/>
    <x v="0"/>
    <n v="476354"/>
    <n v="1283549"/>
    <n v="468889"/>
    <n v="1354101"/>
    <n v="0.34627328389832074"/>
    <n v="-1.5671118537894088E-2"/>
    <n v="244"/>
    <n v="60"/>
    <n v="375"/>
    <n v="47"/>
    <n v="8.9400030637785065E-4"/>
    <n v="95.999999999399989"/>
    <n v="43"/>
    <n v="84"/>
    <n v="27"/>
    <n v="8.8461266524612078E-4"/>
    <n v="-1.0500713550943872E-2"/>
    <n v="1.0500713550943872E-2"/>
    <n v="1.9567073995495625E-3"/>
    <n v="1172.6600000000001"/>
    <n v="906"/>
    <n v="1080"/>
    <n v="3555590.9659964349"/>
    <n v="171288.27518154742"/>
    <n v="9.8488625455246104E-5"/>
    <n v="1.331329798103257E-4"/>
    <n v="2.7390005689803842E-3"/>
    <n v="2.8721335487907097E-3"/>
    <n v="7.5192076545920264E-4"/>
    <n v="2.9350610993243438E-4"/>
    <n v="1.0454268753916371E-3"/>
    <n v="0"/>
    <n v="0"/>
    <n v="906"/>
    <n v="1.0233553177766759E-3"/>
    <n v="0"/>
    <n v="0"/>
    <n v="5.057559290638983E-3"/>
    <n v="0"/>
  </r>
  <r>
    <x v="40"/>
    <s v="No AMM"/>
    <s v="No AMM"/>
    <x v="1"/>
    <n v="16886302"/>
    <n v="73375379"/>
    <n v="15857010"/>
    <n v="81632998"/>
    <n v="0.19424755170697025"/>
    <n v="-6.0954257480412229E-2"/>
    <n v="1423"/>
    <n v="462"/>
    <n v="3867"/>
    <n v="358"/>
    <n v="7.3252944690219944E-3"/>
    <n v="502.9999955589883"/>
    <n v="435"/>
    <n v="1115"/>
    <n v="155"/>
    <n v="6.9676301349024189E-3"/>
    <n v="-4.8825932613645158E-2"/>
    <n v="4.8825932613645158E-2"/>
    <n v="9.0982449117888945E-3"/>
    <n v="308.89"/>
    <n v="147624"/>
    <n v="108796"/>
    <n v="5273138.6605691193"/>
    <n v="3426827.4940031315"/>
    <n v="1.9703831403456895E-3"/>
    <n v="2.1692740630816248E-2"/>
    <n v="7.2147927425882249E-4"/>
    <n v="2.241421990507507E-2"/>
    <n v="5.9224856146670559E-3"/>
    <n v="1.3647367367683341E-3"/>
    <n v="7.2872223514353898E-3"/>
    <n v="0"/>
    <n v="0"/>
    <n v="147624"/>
    <n v="0.16674592210978367"/>
    <n v="147624"/>
    <n v="4.9345971335855048E-2"/>
    <n v="4.1352754010473398E-2"/>
    <n v="3.0224637450107134E-2"/>
  </r>
  <r>
    <x v="41"/>
    <s v="No AMM"/>
    <s v="No AMM"/>
    <x v="0"/>
    <n v="704593"/>
    <n v="5999815"/>
    <n v="1139783"/>
    <n v="7103115"/>
    <n v="0.16046241684106199"/>
    <n v="0.61764735102392443"/>
    <n v="1104"/>
    <n v="274"/>
    <n v="2326"/>
    <n v="140"/>
    <n v="4.0589985343422721E-3"/>
    <n v="511.00000000414997"/>
    <n v="264"/>
    <n v="999"/>
    <n v="49"/>
    <n v="4.2240475772149242E-3"/>
    <n v="4.066250368809185E-2"/>
    <n v="0"/>
    <n v="0"/>
    <n v="1341.58"/>
    <n v="5389"/>
    <n v="5203"/>
    <n v="2047968.1782241778"/>
    <n v="216524.22401174036"/>
    <n v="1.244987327829513E-4"/>
    <n v="7.9189142185192619E-4"/>
    <n v="3.1335496932893628E-3"/>
    <n v="3.9254411151412889E-3"/>
    <n v="3.5904404406326856E-3"/>
    <n v="0"/>
    <n v="3.5904404406326856E-3"/>
    <n v="0"/>
    <n v="0"/>
    <n v="5389"/>
    <n v="6.0870439376363205E-3"/>
    <n v="0"/>
    <n v="0"/>
    <n v="9.5445318857553356E-3"/>
    <n v="0"/>
  </r>
  <r>
    <x v="42"/>
    <s v="No AMM"/>
    <s v="No AMM"/>
    <x v="0"/>
    <n v="625255"/>
    <n v="1019262"/>
    <n v="622808"/>
    <n v="939947"/>
    <n v="0.66259906143644265"/>
    <n v="-3.913603249874051E-3"/>
    <n v="671"/>
    <n v="247"/>
    <n v="1766"/>
    <n v="574"/>
    <n v="6.0819008342956988E-3"/>
    <n v="600.99999999995009"/>
    <n v="212"/>
    <n v="872"/>
    <n v="90"/>
    <n v="4.6062067684282618E-3"/>
    <n v="-0.24263698242924844"/>
    <n v="0.24263698242924844"/>
    <n v="4.5213077818031917E-2"/>
    <n v="673.76"/>
    <n v="2377"/>
    <n v="2942"/>
    <n v="2582856.5578415147"/>
    <n v="380559.46838398761"/>
    <n v="2.188169558330392E-4"/>
    <n v="3.4929038963481696E-4"/>
    <n v="1.5737119227706442E-3"/>
    <n v="1.9230023124054611E-3"/>
    <n v="3.9152757531640226E-3"/>
    <n v="6.7819616727047873E-3"/>
    <n v="1.0697237425868811E-2"/>
    <n v="0"/>
    <n v="0"/>
    <n v="2377"/>
    <n v="2.6848957950939938E-3"/>
    <n v="0"/>
    <n v="0"/>
    <n v="1.6050641751082197E-2"/>
    <n v="0"/>
  </r>
  <r>
    <x v="43"/>
    <s v="No AMM"/>
    <s v="No AMM"/>
    <x v="0"/>
    <n v="6249012"/>
    <n v="18416508"/>
    <n v="9313018"/>
    <n v="19089007"/>
    <n v="0.48787336083013644"/>
    <n v="0.49031846954366548"/>
    <n v="4789"/>
    <n v="909"/>
    <n v="4749"/>
    <n v="258"/>
    <n v="1.0585387582953843E-2"/>
    <n v="3480.0000000606401"/>
    <n v="841"/>
    <n v="1534"/>
    <n v="182"/>
    <n v="1.2037345123968266E-2"/>
    <n v="0.1371662142397676"/>
    <n v="0"/>
    <n v="0"/>
    <n v="1542.15"/>
    <n v="34709"/>
    <n v="38710"/>
    <n v="4652120.7671424625"/>
    <n v="4709486.9596518511"/>
    <n v="2.7078963622227223E-3"/>
    <n v="5.1003450289587131E-3"/>
    <n v="3.6020242247992596E-3"/>
    <n v="8.7023692537579727E-3"/>
    <n v="1.0231743355373026E-2"/>
    <n v="0"/>
    <n v="1.0231743355373026E-2"/>
    <n v="0"/>
    <n v="0"/>
    <n v="34709"/>
    <n v="3.9204900358400269E-2"/>
    <n v="0"/>
    <n v="0"/>
    <n v="2.9930723612399669E-2"/>
    <n v="0"/>
  </r>
  <r>
    <x v="44"/>
    <s v="AMM"/>
    <s v="No AMM"/>
    <x v="1"/>
    <n v="19718538"/>
    <n v="345400602"/>
    <n v="20380807.240000002"/>
    <n v="119215481"/>
    <n v="0.17095772351914598"/>
    <n v="3.3586122865701409E-2"/>
    <n v="2382"/>
    <n v="572"/>
    <n v="6969"/>
    <n v="1381"/>
    <n v="1.7053640702108089E-2"/>
    <n v="1795.99999997852"/>
    <n v="775"/>
    <n v="2276"/>
    <n v="675"/>
    <n v="2.09736755298758E-2"/>
    <n v="0.22986498286451734"/>
    <n v="0"/>
    <n v="0"/>
    <n v="1658.08"/>
    <n v="86766"/>
    <n v="60377"/>
    <n v="2336031.8166838326"/>
    <n v="1202595.7724128012"/>
    <n v="6.9147759516925949E-4"/>
    <n v="1.2749907424086885E-2"/>
    <n v="3.8728037652985482E-3"/>
    <n v="1.6622711189385433E-2"/>
    <n v="1.782762420039443E-2"/>
    <n v="0"/>
    <n v="1.782762420039443E-2"/>
    <n v="86766"/>
    <n v="1.7710531220000984E-2"/>
    <n v="0"/>
    <n v="0"/>
    <n v="86766"/>
    <n v="2.9003092647041127E-2"/>
    <n v="1.1245493366802212E-2"/>
    <n v="3.2193136643534369E-2"/>
  </r>
  <r>
    <x v="45"/>
    <s v="AMM"/>
    <s v="AMM"/>
    <x v="0"/>
    <n v="290272983.67000002"/>
    <n v="628178081"/>
    <n v="291911120"/>
    <n v="642295900"/>
    <n v="0.4544807463351393"/>
    <n v="5.6434336716031288E-3"/>
    <n v="40580"/>
    <n v="5745"/>
    <n v="2165"/>
    <n v="472"/>
    <n v="4.4692892588453548E-2"/>
    <n v="18155.999999995089"/>
    <n v="4217"/>
    <n v="161"/>
    <n v="91"/>
    <n v="3.0657492440983779E-2"/>
    <n v="-0.3140409880540117"/>
    <n v="0.3140409880540117"/>
    <n v="5.8518530393766088E-2"/>
    <n v="60.1"/>
    <n v="412199"/>
    <n v="473285"/>
    <n v="19632444.547531538"/>
    <n v="135649594.52899852"/>
    <n v="7.7996827830523807E-2"/>
    <n v="6.0570950490989442E-2"/>
    <n v="1.4037652362638883E-4"/>
    <n v="6.0711327014615832E-2"/>
    <n v="2.6058868574836212E-2"/>
    <n v="8.7777795590649136E-3"/>
    <n v="3.4836648133901124E-2"/>
    <n v="412199"/>
    <n v="8.4137372454108586E-2"/>
    <n v="0"/>
    <n v="0"/>
    <n v="0"/>
    <n v="0"/>
    <n v="7.8940831136313255E-2"/>
    <n v="0"/>
  </r>
  <r>
    <x v="46"/>
    <s v="AMM"/>
    <s v="AMM"/>
    <x v="0"/>
    <n v="691961660.51999998"/>
    <n v="1066601268"/>
    <n v="707374780.13"/>
    <n v="1119704293"/>
    <n v="0.63175142272139162"/>
    <n v="2.2274528329239023E-2"/>
    <n v="9903"/>
    <n v="1776"/>
    <n v="642"/>
    <n v="85"/>
    <n v="1.186193507945096E-2"/>
    <n v="4908.0000000006539"/>
    <n v="1283"/>
    <n v="140"/>
    <n v="21"/>
    <n v="8.9060598463427572E-3"/>
    <n v="-0.24918996886341233"/>
    <n v="0.24918996886341233"/>
    <n v="4.6434164078757868E-2"/>
    <n v="72.010000000000005"/>
    <n v="132169"/>
    <n v="136480"/>
    <n v="42764449.302244864"/>
    <n v="469134150.29239011"/>
    <n v="0.2697462950539995"/>
    <n v="1.9421691841667699E-2"/>
    <n v="1.6819489960626053E-4"/>
    <n v="1.958988674127396E-2"/>
    <n v="7.5701508693913431E-3"/>
    <n v="6.9651246118136801E-3"/>
    <n v="1.4535275481205024E-2"/>
    <n v="132169"/>
    <n v="2.6978115861239542E-2"/>
    <n v="0"/>
    <n v="0"/>
    <n v="0"/>
    <n v="0"/>
    <n v="0.18001736721582084"/>
    <n v="0"/>
  </r>
  <r>
    <x v="47"/>
    <s v="AMM"/>
    <s v="AMM"/>
    <x v="1"/>
    <n v="108456329.03999999"/>
    <n v="260271541"/>
    <n v="114179634.2"/>
    <n v="274755070"/>
    <n v="0.41556879805712049"/>
    <n v="5.2770596337344114E-2"/>
    <n v="25924"/>
    <n v="5313"/>
    <n v="11983"/>
    <n v="721"/>
    <n v="4.3831533381636548E-2"/>
    <n v="21053.000000219407"/>
    <n v="4306"/>
    <n v="2328"/>
    <n v="359"/>
    <n v="4.2521238623903848E-2"/>
    <n v="-2.9893883618537846E-2"/>
    <n v="2.9893883618537846E-2"/>
    <n v="5.5704389034027758E-3"/>
    <n v="885.01"/>
    <n v="306322"/>
    <n v="318594"/>
    <n v="10475655.416298293"/>
    <n v="50089951.502019234"/>
    <n v="2.880109842500924E-2"/>
    <n v="4.5012760089910141E-2"/>
    <n v="2.0671318997435998E-3"/>
    <n v="4.707989198965374E-2"/>
    <n v="3.6143052830318267E-2"/>
    <n v="8.3556583551041631E-4"/>
    <n v="3.6978618665828682E-2"/>
    <n v="306322"/>
    <n v="6.252593578559737E-2"/>
    <n v="0"/>
    <n v="0"/>
    <n v="306322"/>
    <n v="0.10239362591138156"/>
    <n v="4.4457110156483869E-2"/>
    <n v="0.12726998944034121"/>
  </r>
  <r>
    <x v="48"/>
    <s v="AMM"/>
    <s v="No AMM"/>
    <x v="1"/>
    <n v="65213950.950000003"/>
    <n v="164659580"/>
    <n v="77757928.799999997"/>
    <n v="175563518"/>
    <n v="0.4429048226294941"/>
    <n v="0.19235114062660535"/>
    <n v="4577"/>
    <n v="1003"/>
    <n v="3403"/>
    <n v="757"/>
    <n v="1.2908414603821229E-2"/>
    <n v="2792.0000000464884"/>
    <n v="666"/>
    <n v="1225"/>
    <n v="325"/>
    <n v="1.2876011255505039E-2"/>
    <n v="-2.5102500431461333E-3"/>
    <n v="2.5102500431461333E-3"/>
    <n v="4.6776105360022324E-4"/>
    <n v="746.48"/>
    <n v="46784"/>
    <n v="46435"/>
    <n v="4180345.0020391755"/>
    <n v="36719973.968510479"/>
    <n v="2.1113527817814202E-2"/>
    <n v="6.8747166969605712E-3"/>
    <n v="1.7435651806427073E-3"/>
    <n v="8.6182818776032784E-3"/>
    <n v="1.0944609567179282E-2"/>
    <n v="7.0164158040033481E-5"/>
    <n v="1.1014773725219315E-2"/>
    <n v="46784"/>
    <n v="9.5494720581394323E-3"/>
    <n v="0"/>
    <n v="0"/>
    <n v="46784"/>
    <n v="1.5638391609607127E-2"/>
    <n v="1.9413440946660317E-2"/>
    <n v="5.5576001579621316E-2"/>
  </r>
  <r>
    <x v="49"/>
    <s v="No AMM"/>
    <s v="No AMM"/>
    <x v="0"/>
    <n v="1227159"/>
    <n v="4336101"/>
    <n v="1324391"/>
    <n v="4524382"/>
    <n v="0.29272307245497836"/>
    <n v="7.9233416370657755E-2"/>
    <n v="477"/>
    <n v="88"/>
    <n v="1037"/>
    <n v="127"/>
    <n v="2.1161437003937465E-3"/>
    <n v="265.99999999676999"/>
    <n v="85"/>
    <n v="641"/>
    <n v="46"/>
    <n v="2.6387778418526363E-3"/>
    <n v="0.24697478784717899"/>
    <n v="0"/>
    <n v="0"/>
    <n v="1766.28"/>
    <n v="1552"/>
    <n v="1921"/>
    <n v="1539148.4831484745"/>
    <n v="404513.52975426544"/>
    <n v="2.3259024286000453E-4"/>
    <n v="2.2806002722475219E-4"/>
    <n v="4.1255282221433947E-3"/>
    <n v="4.353588249368147E-3"/>
    <n v="2.2429611655747409E-3"/>
    <n v="0"/>
    <n v="2.2429611655747409E-3"/>
    <n v="0"/>
    <n v="0"/>
    <n v="1552"/>
    <n v="1.7530325090390738E-3"/>
    <n v="0"/>
    <n v="0"/>
    <n v="8.6802261851387438E-3"/>
    <n v="0"/>
  </r>
  <r>
    <x v="50"/>
    <s v="No AMM"/>
    <s v="No AMM"/>
    <x v="0"/>
    <n v="442199"/>
    <n v="2885796"/>
    <n v="606247"/>
    <n v="2896776"/>
    <n v="0.20928335501260711"/>
    <n v="0.37098229530143667"/>
    <n v="765"/>
    <n v="138"/>
    <n v="1343"/>
    <n v="81"/>
    <n v="2.3618458065896289E-3"/>
    <n v="609.99999999842794"/>
    <n v="123"/>
    <n v="468"/>
    <n v="34"/>
    <n v="2.4691708613404947E-3"/>
    <n v="4.5441177595686125E-2"/>
    <n v="0"/>
    <n v="0"/>
    <n v="879.68"/>
    <n v="3573"/>
    <n v="4527"/>
    <n v="3547664.3080507987"/>
    <n v="127360.15470566873"/>
    <n v="7.3230503147013408E-5"/>
    <n v="5.2503767865595327E-4"/>
    <n v="2.054682534170744E-3"/>
    <n v="2.5797202128266974E-3"/>
    <n v="2.0987952321394206E-3"/>
    <n v="0"/>
    <n v="2.0987952321394206E-3"/>
    <n v="0"/>
    <n v="0"/>
    <n v="3573"/>
    <n v="4.0358151770596724E-3"/>
    <n v="0"/>
    <n v="0"/>
    <n v="5.9308253818904332E-3"/>
    <n v="0"/>
  </r>
  <r>
    <x v="51"/>
    <m/>
    <m/>
    <x v="2"/>
    <n v="3314378996.3799996"/>
    <n v="7593491597"/>
    <n v="3470514481.75"/>
    <n v="7728371151"/>
    <n v="16.184402106911215"/>
    <n v="7.8912379223635325"/>
    <n v="427511"/>
    <n v="87963"/>
    <n v="334098"/>
    <n v="39143"/>
    <n v="1"/>
    <n v="317877.99999509094"/>
    <n v="73242"/>
    <n v="123116"/>
    <n v="13726"/>
    <n v="1.0000000000000002"/>
    <n v="2.3813600670859127"/>
    <n v="5.3665221245451189"/>
    <n v="1.0000000000000002"/>
    <n v="64220.140000000021"/>
    <n v="5784442"/>
    <n v="5533147"/>
    <n v="423610039.11140221"/>
    <n v="1739168095.704432"/>
    <n v="1.0000000000000002"/>
    <n v="0.8500000000000002"/>
    <n v="0.15"/>
    <n v="1"/>
    <n v="0.85"/>
    <n v="0.15000000000000005"/>
    <n v="1.0000000000000002"/>
    <n v="4899119"/>
    <n v="1"/>
    <n v="885323"/>
    <n v="0.99999999999999989"/>
    <n v="2991612"/>
    <n v="1"/>
    <n v="2"/>
    <n v="0.999999999999999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6" firstHeaderRow="0" firstDataRow="1" firstDataCol="1" rowPageCount="1" colPageCount="1"/>
  <pivotFields count="43">
    <pivotField axis="axisRow" showAll="0">
      <items count="53">
        <item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numFmtId="172" showAll="0"/>
    <pivotField dataField="1" numFmtId="172" showAll="0"/>
    <pivotField dataField="1" numFmtId="172" showAll="0"/>
    <pivotField numFmtId="172" showAll="0"/>
    <pivotField numFmtId="171" showAll="0"/>
    <pivotField numFmtId="171" showAll="0"/>
    <pivotField numFmtId="170" showAll="0"/>
    <pivotField numFmtId="170" showAll="0"/>
    <pivotField numFmtId="170" showAll="0"/>
    <pivotField numFmtId="170" showAll="0"/>
    <pivotField numFmtId="171" showAll="0"/>
    <pivotField numFmtId="170" showAll="0"/>
    <pivotField numFmtId="170" showAll="0"/>
    <pivotField numFmtId="170" showAll="0"/>
    <pivotField numFmtId="170" showAll="0"/>
    <pivotField numFmtId="171" showAll="0"/>
    <pivotField numFmtId="171" showAll="0"/>
    <pivotField numFmtId="171" showAll="0"/>
    <pivotField numFmtId="171" showAll="0"/>
    <pivotField numFmtId="170" showAll="0"/>
    <pivotField dataField="1" numFmtId="172" showAll="0"/>
    <pivotField numFmtId="172" showAll="0"/>
    <pivotField showAll="0"/>
    <pivotField numFmtId="174" showAll="0"/>
    <pivotField numFmtId="175" showAll="0"/>
    <pivotField numFmtId="175" showAll="0"/>
    <pivotField numFmtId="175" showAll="0"/>
    <pivotField numFmtId="175" showAll="0"/>
    <pivotField numFmtId="175" showAll="0"/>
    <pivotField numFmtId="175" showAll="0"/>
    <pivotField numFmtId="175" showAll="0"/>
    <pivotField numFmtId="174" showAll="0"/>
    <pivotField numFmtId="175" showAll="0"/>
    <pivotField numFmtId="174" showAll="0"/>
    <pivotField numFmtId="175" showAll="0"/>
    <pivotField numFmtId="174" showAll="0"/>
    <pivotField numFmtId="175" showAll="0"/>
    <pivotField numFmtId="175" showAll="0"/>
    <pivotField numFmtId="175" showAll="0"/>
  </pivotFields>
  <rowFields count="1">
    <field x="0"/>
  </rowFields>
  <rowItems count="13">
    <i>
      <x v="6"/>
    </i>
    <i>
      <x v="9"/>
    </i>
    <i>
      <x v="10"/>
    </i>
    <i>
      <x v="13"/>
    </i>
    <i>
      <x v="18"/>
    </i>
    <i>
      <x v="20"/>
    </i>
    <i>
      <x v="24"/>
    </i>
    <i>
      <x v="31"/>
    </i>
    <i>
      <x v="41"/>
    </i>
    <i>
      <x v="45"/>
    </i>
    <i>
      <x v="48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Recaudación 2019" fld="6" baseField="0" baseItem="0"/>
    <dataField name="Suma de Facturación 2018" fld="5" baseField="0" baseItem="0"/>
    <dataField name="Suma de Población 2020 INEGI" fld="24" baseField="0" baseItem="0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Q1" zoomScale="70" zoomScaleNormal="70" workbookViewId="0">
      <selection activeCell="H37" sqref="H37"/>
    </sheetView>
  </sheetViews>
  <sheetFormatPr baseColWidth="10" defaultColWidth="11.42578125" defaultRowHeight="12.75"/>
  <cols>
    <col min="1" max="1" width="28.28515625" style="9" customWidth="1"/>
    <col min="2" max="2" width="18.42578125" style="9" customWidth="1"/>
    <col min="3" max="3" width="15.140625" style="9" customWidth="1"/>
    <col min="4" max="4" width="19.7109375" style="9" customWidth="1"/>
    <col min="5" max="5" width="20.7109375" style="9" customWidth="1"/>
    <col min="6" max="6" width="15.140625" style="9" customWidth="1"/>
    <col min="7" max="8" width="11.42578125" style="13"/>
    <col min="9" max="9" width="28.140625" style="13" bestFit="1" customWidth="1"/>
    <col min="10" max="14" width="20.7109375" style="13" customWidth="1"/>
    <col min="15" max="15" width="11.42578125" style="13"/>
    <col min="16" max="16" width="28.140625" style="13" bestFit="1" customWidth="1"/>
    <col min="17" max="21" width="20.7109375" style="13" customWidth="1"/>
    <col min="22" max="22" width="11.42578125" style="13"/>
    <col min="23" max="23" width="28.140625" style="13" bestFit="1" customWidth="1"/>
    <col min="24" max="28" width="20.7109375" style="13" customWidth="1"/>
    <col min="29" max="16384" width="11.42578125" style="13"/>
  </cols>
  <sheetData>
    <row r="1" spans="1:28">
      <c r="A1" s="294" t="s">
        <v>105</v>
      </c>
      <c r="B1" s="294"/>
      <c r="C1" s="294"/>
      <c r="D1" s="294"/>
      <c r="E1" s="294"/>
      <c r="F1" s="294"/>
      <c r="I1" s="294" t="s">
        <v>105</v>
      </c>
      <c r="J1" s="294"/>
      <c r="K1" s="294"/>
      <c r="L1" s="294"/>
      <c r="M1" s="294"/>
      <c r="N1" s="294"/>
      <c r="P1" s="294" t="s">
        <v>105</v>
      </c>
      <c r="Q1" s="294"/>
      <c r="R1" s="294"/>
      <c r="S1" s="294"/>
      <c r="T1" s="294"/>
      <c r="U1" s="294"/>
      <c r="W1" s="294" t="s">
        <v>105</v>
      </c>
      <c r="X1" s="294"/>
      <c r="Y1" s="294"/>
      <c r="Z1" s="294"/>
      <c r="AA1" s="294"/>
      <c r="AB1" s="294"/>
    </row>
    <row r="2" spans="1:28">
      <c r="A2" s="294" t="s">
        <v>106</v>
      </c>
      <c r="B2" s="294"/>
      <c r="C2" s="294"/>
      <c r="D2" s="294"/>
      <c r="E2" s="294"/>
      <c r="F2" s="294"/>
      <c r="I2" s="294" t="s">
        <v>106</v>
      </c>
      <c r="J2" s="294"/>
      <c r="K2" s="294"/>
      <c r="L2" s="294"/>
      <c r="M2" s="294"/>
      <c r="N2" s="294"/>
      <c r="P2" s="294" t="s">
        <v>106</v>
      </c>
      <c r="Q2" s="294"/>
      <c r="R2" s="294"/>
      <c r="S2" s="294"/>
      <c r="T2" s="294"/>
      <c r="U2" s="294"/>
      <c r="W2" s="294" t="s">
        <v>106</v>
      </c>
      <c r="X2" s="294"/>
      <c r="Y2" s="294"/>
      <c r="Z2" s="294"/>
      <c r="AA2" s="294"/>
      <c r="AB2" s="294"/>
    </row>
    <row r="3" spans="1:28">
      <c r="A3" s="294" t="s">
        <v>186</v>
      </c>
      <c r="B3" s="294"/>
      <c r="C3" s="294"/>
      <c r="D3" s="294"/>
      <c r="E3" s="294"/>
      <c r="F3" s="294"/>
      <c r="I3" s="294" t="s">
        <v>186</v>
      </c>
      <c r="J3" s="294"/>
      <c r="K3" s="294"/>
      <c r="L3" s="294"/>
      <c r="M3" s="294"/>
      <c r="N3" s="294"/>
      <c r="P3" s="294" t="s">
        <v>186</v>
      </c>
      <c r="Q3" s="294"/>
      <c r="R3" s="294"/>
      <c r="S3" s="294"/>
      <c r="T3" s="294"/>
      <c r="U3" s="294"/>
      <c r="W3" s="294" t="s">
        <v>186</v>
      </c>
      <c r="X3" s="294"/>
      <c r="Y3" s="294"/>
      <c r="Z3" s="294"/>
      <c r="AA3" s="294"/>
      <c r="AB3" s="294"/>
    </row>
    <row r="4" spans="1:28" ht="13.5" thickBot="1">
      <c r="A4" s="294" t="s">
        <v>197</v>
      </c>
      <c r="B4" s="294"/>
      <c r="C4" s="294"/>
      <c r="D4" s="294"/>
      <c r="E4" s="294"/>
      <c r="F4" s="294"/>
      <c r="I4" s="294" t="s">
        <v>197</v>
      </c>
      <c r="J4" s="294"/>
      <c r="K4" s="294"/>
      <c r="L4" s="294"/>
      <c r="M4" s="294"/>
      <c r="N4" s="294"/>
      <c r="P4" s="294" t="s">
        <v>197</v>
      </c>
      <c r="Q4" s="294"/>
      <c r="R4" s="294"/>
      <c r="S4" s="294"/>
      <c r="T4" s="294"/>
      <c r="U4" s="294"/>
      <c r="W4" s="294" t="s">
        <v>197</v>
      </c>
      <c r="X4" s="294"/>
      <c r="Y4" s="294"/>
      <c r="Z4" s="294"/>
      <c r="AA4" s="294"/>
      <c r="AB4" s="294"/>
    </row>
    <row r="5" spans="1:28" ht="39.75" thickTop="1" thickBot="1">
      <c r="A5" s="67" t="s">
        <v>0</v>
      </c>
      <c r="B5" s="64" t="s">
        <v>157</v>
      </c>
      <c r="C5" s="64" t="s">
        <v>165</v>
      </c>
      <c r="D5" s="64" t="s">
        <v>170</v>
      </c>
      <c r="E5" s="64" t="s">
        <v>185</v>
      </c>
      <c r="F5" s="65" t="s">
        <v>53</v>
      </c>
      <c r="I5" s="271"/>
      <c r="J5" s="266" t="s">
        <v>187</v>
      </c>
      <c r="K5" s="266" t="s">
        <v>188</v>
      </c>
      <c r="L5" s="266" t="s">
        <v>189</v>
      </c>
      <c r="M5" s="268" t="s">
        <v>190</v>
      </c>
      <c r="N5" s="267" t="s">
        <v>53</v>
      </c>
      <c r="P5" s="271"/>
      <c r="Q5" s="266" t="s">
        <v>187</v>
      </c>
      <c r="R5" s="266" t="s">
        <v>188</v>
      </c>
      <c r="S5" s="266" t="s">
        <v>189</v>
      </c>
      <c r="T5" s="268" t="s">
        <v>190</v>
      </c>
      <c r="U5" s="267" t="s">
        <v>53</v>
      </c>
      <c r="W5" s="271"/>
      <c r="X5" s="266" t="s">
        <v>187</v>
      </c>
      <c r="Y5" s="266" t="s">
        <v>188</v>
      </c>
      <c r="Z5" s="266" t="s">
        <v>189</v>
      </c>
      <c r="AA5" s="268" t="s">
        <v>190</v>
      </c>
      <c r="AB5" s="267" t="s">
        <v>53</v>
      </c>
    </row>
    <row r="6" spans="1:28">
      <c r="A6" s="68" t="s">
        <v>1</v>
      </c>
      <c r="B6" s="9">
        <f>VLOOKUP(A6,Seguridad!$A$14:$F$67,6,FALSE)</f>
        <v>386377.91135763942</v>
      </c>
      <c r="C6" s="9">
        <f>VLOOKUP(A6,Desarrollo!$A$13:$D$69,4,FALSE)</f>
        <v>195612.23</v>
      </c>
      <c r="D6" s="9">
        <f>IFERROR(VLOOKUP(A6,Ultracrecimiento!$A$6:$E$17,5,FALSE),0)</f>
        <v>0</v>
      </c>
      <c r="E6" s="9">
        <f>VLOOKUP(A6,Descentralizados!$A$6:$E$56,5,TRUE)/12</f>
        <v>143228.49826260723</v>
      </c>
      <c r="F6" s="66">
        <f t="shared" ref="F6:F56" si="0">SUM(B6:E6)</f>
        <v>725218.63962024671</v>
      </c>
      <c r="I6" s="271" t="s">
        <v>6</v>
      </c>
      <c r="J6" s="264">
        <f t="shared" ref="J6:J17" si="1">VLOOKUP(I6,$A$6:$E$56,3,FALSE)</f>
        <v>1861914.93</v>
      </c>
      <c r="K6" s="264">
        <f t="shared" ref="K6:K17" si="2">VLOOKUP(I6,$A$6:$E$56,4,FALSE)</f>
        <v>2114871.6611424075</v>
      </c>
      <c r="L6" s="264">
        <f t="shared" ref="L6:L17" si="3">VLOOKUP(I6,$A$6:$E$56,5,FALSE)</f>
        <v>1657938.282660058</v>
      </c>
      <c r="M6" s="265">
        <f t="shared" ref="M6:M17" si="4">VLOOKUP(I6,$A$6:$E$56,2,FALSE)</f>
        <v>3507180.1850432395</v>
      </c>
      <c r="N6" s="269">
        <f>SUM(J6:M6)</f>
        <v>9141905.0588457044</v>
      </c>
      <c r="P6" s="271" t="s">
        <v>6</v>
      </c>
      <c r="Q6" s="264">
        <v>23282655.170000002</v>
      </c>
      <c r="R6" s="264">
        <v>28645857.449999999</v>
      </c>
      <c r="S6" s="264">
        <v>19975423.179237131</v>
      </c>
      <c r="T6" s="265">
        <v>44849466.46741198</v>
      </c>
      <c r="U6" s="269">
        <f>SUM(Q6:T6)</f>
        <v>116753402.26664911</v>
      </c>
      <c r="V6" s="276"/>
      <c r="W6" s="271" t="s">
        <v>6</v>
      </c>
      <c r="X6" s="277">
        <f>Q6-J6</f>
        <v>21420740.240000002</v>
      </c>
      <c r="Y6" s="277">
        <f>R6-K6</f>
        <v>26530985.78885759</v>
      </c>
      <c r="Z6" s="277">
        <f>S6-L6</f>
        <v>18317484.896577071</v>
      </c>
      <c r="AA6" s="278">
        <f>T6-M6</f>
        <v>41342286.282368742</v>
      </c>
      <c r="AB6" s="279">
        <f>SUM(X6:AA6)</f>
        <v>107611497.2078034</v>
      </c>
    </row>
    <row r="7" spans="1:28">
      <c r="A7" s="68" t="s">
        <v>2</v>
      </c>
      <c r="B7" s="9">
        <f>VLOOKUP(A7,Seguridad!$A$14:$F$67,6,FALSE)</f>
        <v>393655.03999999998</v>
      </c>
      <c r="C7" s="9">
        <f>VLOOKUP(A7,Desarrollo!$A$13:$D$69,4,FALSE)</f>
        <v>266372.24</v>
      </c>
      <c r="D7" s="9">
        <f>IFERROR(VLOOKUP(A7,Ultracrecimiento!$A$6:$E$17,5,FALSE),0)</f>
        <v>0</v>
      </c>
      <c r="E7" s="9">
        <f>VLOOKUP(A7,Descentralizados!$A$6:$E$56,5,TRUE)/12</f>
        <v>241719.38986644254</v>
      </c>
      <c r="F7" s="66">
        <f t="shared" si="0"/>
        <v>901746.66986644256</v>
      </c>
      <c r="I7" s="272" t="s">
        <v>9</v>
      </c>
      <c r="J7" s="263">
        <f t="shared" si="1"/>
        <v>776701.02</v>
      </c>
      <c r="K7" s="263">
        <f t="shared" si="2"/>
        <v>759179.83344051964</v>
      </c>
      <c r="L7" s="263">
        <f t="shared" si="3"/>
        <v>506731.01177109405</v>
      </c>
      <c r="M7" s="222">
        <f t="shared" si="4"/>
        <v>924803.54692864814</v>
      </c>
      <c r="N7" s="219">
        <f t="shared" ref="N7:N57" si="5">SUM(J7:M7)</f>
        <v>2967415.4121402618</v>
      </c>
      <c r="P7" s="272" t="s">
        <v>9</v>
      </c>
      <c r="Q7" s="263">
        <v>9548732.7699999996</v>
      </c>
      <c r="R7" s="263">
        <v>9486442.7599999998</v>
      </c>
      <c r="S7" s="263">
        <v>6080772.1341687515</v>
      </c>
      <c r="T7" s="222">
        <v>10534606.81053259</v>
      </c>
      <c r="U7" s="219">
        <f t="shared" ref="U7:U17" si="6">SUM(Q7:T7)</f>
        <v>35650554.474701345</v>
      </c>
      <c r="W7" s="272" t="s">
        <v>9</v>
      </c>
      <c r="X7" s="280">
        <f t="shared" ref="X7:AA57" si="7">Q7-J7</f>
        <v>8772031.75</v>
      </c>
      <c r="Y7" s="280">
        <f t="shared" si="7"/>
        <v>8727262.9265594799</v>
      </c>
      <c r="Z7" s="280">
        <f t="shared" si="7"/>
        <v>5574041.1223976575</v>
      </c>
      <c r="AA7" s="281">
        <f t="shared" si="7"/>
        <v>9609803.2636039425</v>
      </c>
      <c r="AB7" s="282">
        <f t="shared" ref="AB7:AB17" si="8">SUM(X7:AA7)</f>
        <v>32683139.06256108</v>
      </c>
    </row>
    <row r="8" spans="1:28">
      <c r="A8" s="68" t="s">
        <v>3</v>
      </c>
      <c r="B8" s="9">
        <f>VLOOKUP(A8,Seguridad!$A$14:$F$67,6,FALSE)</f>
        <v>358428.73</v>
      </c>
      <c r="C8" s="9">
        <f>VLOOKUP(A8,Desarrollo!$A$13:$D$69,4,FALSE)</f>
        <v>272343.25</v>
      </c>
      <c r="D8" s="9">
        <f>IFERROR(VLOOKUP(A8,Ultracrecimiento!$A$6:$E$17,5,FALSE),0)</f>
        <v>0</v>
      </c>
      <c r="E8" s="9">
        <f>VLOOKUP(A8,Descentralizados!$A$6:$E$56,5,TRUE)/12</f>
        <v>173891.59625916352</v>
      </c>
      <c r="F8" s="66">
        <f t="shared" si="0"/>
        <v>804663.57625916344</v>
      </c>
      <c r="I8" s="272" t="s">
        <v>18</v>
      </c>
      <c r="J8" s="263">
        <f t="shared" si="1"/>
        <v>1064597.67</v>
      </c>
      <c r="K8" s="263">
        <f t="shared" si="2"/>
        <v>1273215.3718500475</v>
      </c>
      <c r="L8" s="263">
        <f t="shared" si="3"/>
        <v>657493.33114204404</v>
      </c>
      <c r="M8" s="222">
        <f t="shared" si="4"/>
        <v>2253724.7618555874</v>
      </c>
      <c r="N8" s="219">
        <f t="shared" si="5"/>
        <v>5249031.1348476782</v>
      </c>
      <c r="P8" s="272" t="s">
        <v>18</v>
      </c>
      <c r="Q8" s="263">
        <v>12255078.59</v>
      </c>
      <c r="R8" s="263">
        <v>14246136.279999999</v>
      </c>
      <c r="S8" s="263">
        <v>6658903.2770231804</v>
      </c>
      <c r="T8" s="222">
        <v>20920318.281674031</v>
      </c>
      <c r="U8" s="219">
        <f t="shared" si="6"/>
        <v>54080436.428697214</v>
      </c>
      <c r="W8" s="272" t="s">
        <v>18</v>
      </c>
      <c r="X8" s="280">
        <f t="shared" si="7"/>
        <v>11190480.92</v>
      </c>
      <c r="Y8" s="280">
        <f t="shared" si="7"/>
        <v>12972920.908149952</v>
      </c>
      <c r="Z8" s="280">
        <f t="shared" si="7"/>
        <v>6001409.9458811367</v>
      </c>
      <c r="AA8" s="281">
        <f t="shared" si="7"/>
        <v>18666593.519818444</v>
      </c>
      <c r="AB8" s="282">
        <f t="shared" si="8"/>
        <v>48831405.293849528</v>
      </c>
    </row>
    <row r="9" spans="1:28">
      <c r="A9" s="68" t="s">
        <v>4</v>
      </c>
      <c r="B9" s="9">
        <f>VLOOKUP(A9,Seguridad!$A$14:$F$67,6,FALSE)</f>
        <v>962751.66</v>
      </c>
      <c r="C9" s="9">
        <f>VLOOKUP(A9,Desarrollo!$A$13:$D$69,4,FALSE)</f>
        <v>456863.66</v>
      </c>
      <c r="D9" s="9">
        <f>IFERROR(VLOOKUP(A9,Ultracrecimiento!$A$6:$E$17,5,FALSE),0)</f>
        <v>0</v>
      </c>
      <c r="E9" s="9">
        <f>VLOOKUP(A9,Descentralizados!$A$6:$E$56,5,TRUE)/12</f>
        <v>709853.38470981934</v>
      </c>
      <c r="F9" s="66">
        <f t="shared" si="0"/>
        <v>2129468.7047098195</v>
      </c>
      <c r="I9" s="272" t="s">
        <v>20</v>
      </c>
      <c r="J9" s="263">
        <f t="shared" si="1"/>
        <v>1419989.36</v>
      </c>
      <c r="K9" s="263">
        <f t="shared" si="2"/>
        <v>1611791.386021357</v>
      </c>
      <c r="L9" s="263">
        <f t="shared" si="3"/>
        <v>1103426.0111227715</v>
      </c>
      <c r="M9" s="222">
        <f t="shared" si="4"/>
        <v>2659883.4031800865</v>
      </c>
      <c r="N9" s="219">
        <f t="shared" si="5"/>
        <v>6795090.1603242159</v>
      </c>
      <c r="P9" s="272" t="s">
        <v>20</v>
      </c>
      <c r="Q9" s="263">
        <v>17641019.199999999</v>
      </c>
      <c r="R9" s="263">
        <v>21407525.73</v>
      </c>
      <c r="S9" s="263">
        <v>13162778.798296982</v>
      </c>
      <c r="T9" s="222">
        <v>33080484.605316535</v>
      </c>
      <c r="U9" s="219">
        <f t="shared" si="6"/>
        <v>85291808.333613515</v>
      </c>
      <c r="W9" s="272" t="s">
        <v>20</v>
      </c>
      <c r="X9" s="280">
        <f t="shared" si="7"/>
        <v>16221029.84</v>
      </c>
      <c r="Y9" s="280">
        <f t="shared" si="7"/>
        <v>19795734.343978643</v>
      </c>
      <c r="Z9" s="280">
        <f t="shared" si="7"/>
        <v>12059352.78717421</v>
      </c>
      <c r="AA9" s="281">
        <f t="shared" si="7"/>
        <v>30420601.20213645</v>
      </c>
      <c r="AB9" s="282">
        <f t="shared" si="8"/>
        <v>78496718.173289299</v>
      </c>
    </row>
    <row r="10" spans="1:28">
      <c r="A10" s="68" t="s">
        <v>5</v>
      </c>
      <c r="B10" s="9">
        <f>VLOOKUP(A10,Seguridad!$A$14:$F$67,6,FALSE)</f>
        <v>654918.31999999995</v>
      </c>
      <c r="C10" s="9">
        <f>VLOOKUP(A10,Desarrollo!$A$13:$D$69,4,FALSE)</f>
        <v>427875</v>
      </c>
      <c r="D10" s="9">
        <f>IFERROR(VLOOKUP(A10,Ultracrecimiento!$A$6:$E$17,5,FALSE),0)</f>
        <v>0</v>
      </c>
      <c r="E10" s="9">
        <f>VLOOKUP(A10,Descentralizados!$A$6:$E$56,5,TRUE)/12</f>
        <v>511469.03484875342</v>
      </c>
      <c r="F10" s="66">
        <f t="shared" si="0"/>
        <v>1594262.3548487532</v>
      </c>
      <c r="I10" s="272" t="s">
        <v>25</v>
      </c>
      <c r="J10" s="263">
        <f t="shared" si="1"/>
        <v>1955503.09</v>
      </c>
      <c r="K10" s="263">
        <f t="shared" si="2"/>
        <v>0</v>
      </c>
      <c r="L10" s="263">
        <f t="shared" si="3"/>
        <v>1775369.339284166</v>
      </c>
      <c r="M10" s="222">
        <f t="shared" si="4"/>
        <v>3442776.3275405774</v>
      </c>
      <c r="N10" s="219">
        <f t="shared" si="5"/>
        <v>7173648.756824743</v>
      </c>
      <c r="P10" s="272" t="s">
        <v>25</v>
      </c>
      <c r="Q10" s="263">
        <v>25364973.93</v>
      </c>
      <c r="R10" s="263">
        <v>0</v>
      </c>
      <c r="S10" s="263">
        <v>22489959.251444831</v>
      </c>
      <c r="T10" s="222">
        <v>50709572.495409966</v>
      </c>
      <c r="U10" s="219">
        <f t="shared" si="6"/>
        <v>98564505.676854789</v>
      </c>
      <c r="W10" s="272" t="s">
        <v>25</v>
      </c>
      <c r="X10" s="280">
        <f t="shared" si="7"/>
        <v>23409470.84</v>
      </c>
      <c r="Y10" s="280">
        <f t="shared" si="7"/>
        <v>0</v>
      </c>
      <c r="Z10" s="280">
        <f t="shared" si="7"/>
        <v>20714589.912160665</v>
      </c>
      <c r="AA10" s="281">
        <f t="shared" si="7"/>
        <v>47266796.167869389</v>
      </c>
      <c r="AB10" s="282">
        <f t="shared" si="8"/>
        <v>91390856.920030057</v>
      </c>
    </row>
    <row r="11" spans="1:28">
      <c r="A11" s="68" t="s">
        <v>6</v>
      </c>
      <c r="B11" s="9">
        <f>VLOOKUP(A11,Seguridad!$A$14:$F$67,6,FALSE)</f>
        <v>3507180.1850432395</v>
      </c>
      <c r="C11" s="9">
        <f>VLOOKUP(A11,Desarrollo!$A$13:$D$69,4,FALSE)</f>
        <v>1861914.93</v>
      </c>
      <c r="D11" s="9">
        <f>IFERROR(VLOOKUP(A11,Ultracrecimiento!$A$6:$E$17,5,FALSE),0)</f>
        <v>2114871.6611424075</v>
      </c>
      <c r="E11" s="9">
        <f>VLOOKUP(A11,Descentralizados!$A$6:$E$56,5,TRUE)/12</f>
        <v>1657938.282660058</v>
      </c>
      <c r="F11" s="66">
        <f t="shared" si="0"/>
        <v>9141905.0588457044</v>
      </c>
      <c r="I11" s="272" t="s">
        <v>31</v>
      </c>
      <c r="J11" s="263">
        <f t="shared" si="1"/>
        <v>1147850.27</v>
      </c>
      <c r="K11" s="263">
        <f t="shared" si="2"/>
        <v>1415871.5802274845</v>
      </c>
      <c r="L11" s="263">
        <f t="shared" si="3"/>
        <v>761955.68367224419</v>
      </c>
      <c r="M11" s="222">
        <f t="shared" si="4"/>
        <v>2613034.5645643072</v>
      </c>
      <c r="N11" s="219">
        <f t="shared" si="5"/>
        <v>5938712.0984640364</v>
      </c>
      <c r="P11" s="272" t="s">
        <v>31</v>
      </c>
      <c r="Q11" s="263">
        <v>13479964.83</v>
      </c>
      <c r="R11" s="263">
        <v>16723437.619999999</v>
      </c>
      <c r="S11" s="263">
        <v>8138033.5227512307</v>
      </c>
      <c r="T11" s="222">
        <v>26810383.882002413</v>
      </c>
      <c r="U11" s="219">
        <f t="shared" si="6"/>
        <v>65151819.854753643</v>
      </c>
      <c r="W11" s="272" t="s">
        <v>31</v>
      </c>
      <c r="X11" s="280">
        <f t="shared" si="7"/>
        <v>12332114.560000001</v>
      </c>
      <c r="Y11" s="280">
        <f t="shared" si="7"/>
        <v>15307566.039772514</v>
      </c>
      <c r="Z11" s="280">
        <f t="shared" si="7"/>
        <v>7376077.839078987</v>
      </c>
      <c r="AA11" s="281">
        <f t="shared" si="7"/>
        <v>24197349.317438107</v>
      </c>
      <c r="AB11" s="282">
        <f t="shared" si="8"/>
        <v>59213107.756289601</v>
      </c>
    </row>
    <row r="12" spans="1:28">
      <c r="A12" s="68" t="s">
        <v>7</v>
      </c>
      <c r="B12" s="9">
        <f>VLOOKUP(A12,Seguridad!$A$14:$F$67,6,FALSE)</f>
        <v>600732.23</v>
      </c>
      <c r="C12" s="9">
        <f>VLOOKUP(A12,Desarrollo!$A$13:$D$69,4,FALSE)</f>
        <v>540999.93000000005</v>
      </c>
      <c r="D12" s="9">
        <f>IFERROR(VLOOKUP(A12,Ultracrecimiento!$A$6:$E$17,5,FALSE),0)</f>
        <v>0</v>
      </c>
      <c r="E12" s="9">
        <f>VLOOKUP(A12,Descentralizados!$A$6:$E$56,5,TRUE)/12</f>
        <v>685389.59118695778</v>
      </c>
      <c r="F12" s="66">
        <f t="shared" si="0"/>
        <v>1827121.751186958</v>
      </c>
      <c r="I12" s="272" t="s">
        <v>39</v>
      </c>
      <c r="J12" s="263">
        <f t="shared" si="1"/>
        <v>5300130.49</v>
      </c>
      <c r="K12" s="263">
        <f t="shared" si="2"/>
        <v>0</v>
      </c>
      <c r="L12" s="263">
        <f t="shared" si="3"/>
        <v>5972087.2592750229</v>
      </c>
      <c r="M12" s="222">
        <f t="shared" si="4"/>
        <v>5859436.6816103319</v>
      </c>
      <c r="N12" s="219">
        <f t="shared" si="5"/>
        <v>17131654.430885356</v>
      </c>
      <c r="P12" s="272" t="s">
        <v>39</v>
      </c>
      <c r="Q12" s="263">
        <v>66697182.609999999</v>
      </c>
      <c r="R12" s="263">
        <v>0</v>
      </c>
      <c r="S12" s="263">
        <v>72401304.254294619</v>
      </c>
      <c r="T12" s="222">
        <v>79868239.27235584</v>
      </c>
      <c r="U12" s="219">
        <f t="shared" si="6"/>
        <v>218966726.13665044</v>
      </c>
      <c r="W12" s="272" t="s">
        <v>39</v>
      </c>
      <c r="X12" s="280">
        <f t="shared" si="7"/>
        <v>61397052.119999997</v>
      </c>
      <c r="Y12" s="280">
        <f t="shared" si="7"/>
        <v>0</v>
      </c>
      <c r="Z12" s="280">
        <f t="shared" si="7"/>
        <v>66429216.9950196</v>
      </c>
      <c r="AA12" s="281">
        <f t="shared" si="7"/>
        <v>74008802.590745509</v>
      </c>
      <c r="AB12" s="282">
        <f t="shared" si="8"/>
        <v>201835071.7057651</v>
      </c>
    </row>
    <row r="13" spans="1:28">
      <c r="A13" s="68" t="s">
        <v>8</v>
      </c>
      <c r="B13" s="9">
        <f>VLOOKUP(A13,Seguridad!$A$14:$F$67,6,FALSE)</f>
        <v>398631.32</v>
      </c>
      <c r="C13" s="9">
        <f>VLOOKUP(A13,Desarrollo!$A$13:$D$69,4,FALSE)</f>
        <v>228129.93</v>
      </c>
      <c r="D13" s="9">
        <f>IFERROR(VLOOKUP(A13,Ultracrecimiento!$A$6:$E$17,5,FALSE),0)</f>
        <v>0</v>
      </c>
      <c r="E13" s="9">
        <f>VLOOKUP(A13,Descentralizados!$A$6:$E$56,5,TRUE)/12</f>
        <v>247851.58995264347</v>
      </c>
      <c r="F13" s="66">
        <f t="shared" si="0"/>
        <v>874612.8399526435</v>
      </c>
      <c r="I13" s="272" t="s">
        <v>45</v>
      </c>
      <c r="J13" s="263">
        <f t="shared" si="1"/>
        <v>705121.5</v>
      </c>
      <c r="K13" s="263">
        <f t="shared" si="2"/>
        <v>669365.06284908508</v>
      </c>
      <c r="L13" s="263">
        <f t="shared" si="3"/>
        <v>206435.57797285033</v>
      </c>
      <c r="M13" s="222">
        <f t="shared" si="4"/>
        <v>752826.24678397458</v>
      </c>
      <c r="N13" s="219">
        <f t="shared" si="5"/>
        <v>2333748.3876059102</v>
      </c>
      <c r="P13" s="272" t="s">
        <v>45</v>
      </c>
      <c r="Q13" s="263">
        <v>8567683.1699999999</v>
      </c>
      <c r="R13" s="263">
        <v>8015543.1900000004</v>
      </c>
      <c r="S13" s="263">
        <v>2344408.0906964196</v>
      </c>
      <c r="T13" s="222">
        <v>7706778.8669623602</v>
      </c>
      <c r="U13" s="219">
        <f t="shared" si="6"/>
        <v>26634413.317658782</v>
      </c>
      <c r="W13" s="272" t="s">
        <v>45</v>
      </c>
      <c r="X13" s="280">
        <f t="shared" si="7"/>
        <v>7862561.6699999999</v>
      </c>
      <c r="Y13" s="280">
        <f t="shared" si="7"/>
        <v>7346178.1271509156</v>
      </c>
      <c r="Z13" s="280">
        <f t="shared" si="7"/>
        <v>2137972.5127235693</v>
      </c>
      <c r="AA13" s="281">
        <f t="shared" si="7"/>
        <v>6953952.6201783856</v>
      </c>
      <c r="AB13" s="282">
        <f t="shared" si="8"/>
        <v>24300664.930052873</v>
      </c>
    </row>
    <row r="14" spans="1:28">
      <c r="A14" s="68" t="s">
        <v>9</v>
      </c>
      <c r="B14" s="9">
        <f>VLOOKUP(A14,Seguridad!$A$14:$F$67,6,FALSE)</f>
        <v>924803.54692864814</v>
      </c>
      <c r="C14" s="9">
        <f>VLOOKUP(A14,Desarrollo!$A$13:$D$69,4,FALSE)</f>
        <v>776701.02</v>
      </c>
      <c r="D14" s="9">
        <f>IFERROR(VLOOKUP(A14,Ultracrecimiento!$A$6:$E$17,5,FALSE),0)</f>
        <v>759179.83344051964</v>
      </c>
      <c r="E14" s="9">
        <f>VLOOKUP(A14,Descentralizados!$A$6:$E$56,5,TRUE)/12</f>
        <v>506731.01177109405</v>
      </c>
      <c r="F14" s="66">
        <f t="shared" si="0"/>
        <v>2967415.4121402618</v>
      </c>
      <c r="I14" s="272" t="s">
        <v>46</v>
      </c>
      <c r="J14" s="263">
        <f t="shared" si="1"/>
        <v>1695503.54</v>
      </c>
      <c r="K14" s="263">
        <f t="shared" si="2"/>
        <v>0</v>
      </c>
      <c r="L14" s="263">
        <f t="shared" si="3"/>
        <v>1449131.2715002755</v>
      </c>
      <c r="M14" s="222">
        <f t="shared" si="4"/>
        <v>2326217.1752926358</v>
      </c>
      <c r="N14" s="219">
        <f t="shared" si="5"/>
        <v>5470851.9867929108</v>
      </c>
      <c r="P14" s="272" t="s">
        <v>46</v>
      </c>
      <c r="Q14" s="263">
        <v>21683055.550000001</v>
      </c>
      <c r="R14" s="263">
        <v>0</v>
      </c>
      <c r="S14" s="263">
        <v>18043802.028718401</v>
      </c>
      <c r="T14" s="222">
        <v>33422146.851413317</v>
      </c>
      <c r="U14" s="219">
        <f t="shared" si="6"/>
        <v>73149004.430131719</v>
      </c>
      <c r="W14" s="272" t="s">
        <v>46</v>
      </c>
      <c r="X14" s="280">
        <f t="shared" si="7"/>
        <v>19987552.010000002</v>
      </c>
      <c r="Y14" s="280">
        <f t="shared" si="7"/>
        <v>0</v>
      </c>
      <c r="Z14" s="280">
        <f t="shared" si="7"/>
        <v>16594670.757218126</v>
      </c>
      <c r="AA14" s="281">
        <f t="shared" si="7"/>
        <v>31095929.67612068</v>
      </c>
      <c r="AB14" s="282">
        <f t="shared" si="8"/>
        <v>67678152.443338811</v>
      </c>
    </row>
    <row r="15" spans="1:28">
      <c r="A15" s="68" t="s">
        <v>10</v>
      </c>
      <c r="B15" s="9">
        <f>VLOOKUP(A15,Seguridad!$A$14:$F$67,6,FALSE)</f>
        <v>2196813.9700000002</v>
      </c>
      <c r="C15" s="9">
        <f>VLOOKUP(A15,Desarrollo!$A$13:$D$69,4,FALSE)</f>
        <v>367876.28</v>
      </c>
      <c r="D15" s="9">
        <f>IFERROR(VLOOKUP(A15,Ultracrecimiento!$A$6:$E$17,5,FALSE),0)</f>
        <v>645724.37993805076</v>
      </c>
      <c r="E15" s="9">
        <f>VLOOKUP(A15,Descentralizados!$A$6:$E$56,5,TRUE)/12</f>
        <v>325772.88249590434</v>
      </c>
      <c r="F15" s="66">
        <f t="shared" si="0"/>
        <v>3536187.512433955</v>
      </c>
      <c r="I15" s="272" t="s">
        <v>47</v>
      </c>
      <c r="J15" s="263">
        <f t="shared" si="1"/>
        <v>3174252.14</v>
      </c>
      <c r="K15" s="263">
        <f t="shared" si="2"/>
        <v>0</v>
      </c>
      <c r="L15" s="263">
        <f t="shared" si="3"/>
        <v>3304611.7261564187</v>
      </c>
      <c r="M15" s="222">
        <f t="shared" si="4"/>
        <v>972338.92167274968</v>
      </c>
      <c r="N15" s="219">
        <f t="shared" si="5"/>
        <v>7451202.7878291681</v>
      </c>
      <c r="P15" s="272" t="s">
        <v>47</v>
      </c>
      <c r="Q15" s="263">
        <v>39465188.299999997</v>
      </c>
      <c r="R15" s="263">
        <v>0</v>
      </c>
      <c r="S15" s="263">
        <v>39516890.218708888</v>
      </c>
      <c r="T15" s="222">
        <v>12423975.091150288</v>
      </c>
      <c r="U15" s="219">
        <f t="shared" si="6"/>
        <v>91406053.609859169</v>
      </c>
      <c r="W15" s="272" t="s">
        <v>47</v>
      </c>
      <c r="X15" s="280">
        <f t="shared" si="7"/>
        <v>36290936.159999996</v>
      </c>
      <c r="Y15" s="280">
        <f t="shared" si="7"/>
        <v>0</v>
      </c>
      <c r="Z15" s="280">
        <f t="shared" si="7"/>
        <v>36212278.492552467</v>
      </c>
      <c r="AA15" s="281">
        <f t="shared" si="7"/>
        <v>11451636.169477537</v>
      </c>
      <c r="AB15" s="282">
        <f t="shared" si="8"/>
        <v>83954850.822029993</v>
      </c>
    </row>
    <row r="16" spans="1:28">
      <c r="A16" s="68" t="s">
        <v>11</v>
      </c>
      <c r="B16" s="9">
        <f>VLOOKUP(A16,Seguridad!$A$14:$F$67,6,FALSE)</f>
        <v>464250.35</v>
      </c>
      <c r="C16" s="9">
        <f>VLOOKUP(A16,Desarrollo!$A$13:$D$69,4,FALSE)</f>
        <v>285594.27</v>
      </c>
      <c r="D16" s="9">
        <f>IFERROR(VLOOKUP(A16,Ultracrecimiento!$A$6:$E$17,5,FALSE),0)</f>
        <v>0</v>
      </c>
      <c r="E16" s="9">
        <f>VLOOKUP(A16,Descentralizados!$A$6:$E$56,5,TRUE)/12</f>
        <v>307760.28074845381</v>
      </c>
      <c r="F16" s="66">
        <f t="shared" si="0"/>
        <v>1057604.9007484538</v>
      </c>
      <c r="I16" s="272" t="s">
        <v>48</v>
      </c>
      <c r="J16" s="263">
        <f t="shared" si="1"/>
        <v>1191007.08</v>
      </c>
      <c r="K16" s="263">
        <f t="shared" si="2"/>
        <v>1253641.6024098762</v>
      </c>
      <c r="L16" s="263">
        <f t="shared" si="3"/>
        <v>816107.30012516642</v>
      </c>
      <c r="M16" s="222">
        <f t="shared" si="4"/>
        <v>1814327.1354450742</v>
      </c>
      <c r="N16" s="219">
        <f t="shared" si="5"/>
        <v>5075083.117980117</v>
      </c>
      <c r="P16" s="272" t="s">
        <v>48</v>
      </c>
      <c r="Q16" s="263">
        <v>15052318.01</v>
      </c>
      <c r="R16" s="263">
        <v>17171332.84</v>
      </c>
      <c r="S16" s="263">
        <v>10036752.817523148</v>
      </c>
      <c r="T16" s="222">
        <v>24311906.031516474</v>
      </c>
      <c r="U16" s="219">
        <f t="shared" si="6"/>
        <v>66572309.699039623</v>
      </c>
      <c r="W16" s="272" t="s">
        <v>48</v>
      </c>
      <c r="X16" s="280">
        <f t="shared" si="7"/>
        <v>13861310.93</v>
      </c>
      <c r="Y16" s="280">
        <f t="shared" si="7"/>
        <v>15917691.237590123</v>
      </c>
      <c r="Z16" s="280">
        <f t="shared" si="7"/>
        <v>9220645.5173979811</v>
      </c>
      <c r="AA16" s="281">
        <f t="shared" si="7"/>
        <v>22497578.8960714</v>
      </c>
      <c r="AB16" s="282">
        <f t="shared" si="8"/>
        <v>61497226.581059501</v>
      </c>
    </row>
    <row r="17" spans="1:28" ht="13.5" thickBot="1">
      <c r="A17" s="68" t="s">
        <v>12</v>
      </c>
      <c r="B17" s="9">
        <f>VLOOKUP(A17,Seguridad!$A$14:$F$67,6,FALSE)</f>
        <v>510445.86</v>
      </c>
      <c r="C17" s="9">
        <f>VLOOKUP(A17,Desarrollo!$A$13:$D$69,4,FALSE)</f>
        <v>423555.89</v>
      </c>
      <c r="D17" s="9">
        <f>IFERROR(VLOOKUP(A17,Ultracrecimiento!$A$6:$E$17,5,FALSE),0)</f>
        <v>0</v>
      </c>
      <c r="E17" s="9">
        <f>VLOOKUP(A17,Descentralizados!$A$6:$E$56,5,TRUE)/12</f>
        <v>463594.35675485799</v>
      </c>
      <c r="F17" s="66">
        <f t="shared" si="0"/>
        <v>1397596.106754858</v>
      </c>
      <c r="I17" s="272" t="s">
        <v>49</v>
      </c>
      <c r="J17" s="263">
        <f t="shared" si="1"/>
        <v>824618.48</v>
      </c>
      <c r="K17" s="263">
        <f t="shared" si="2"/>
        <v>704109.93704885</v>
      </c>
      <c r="L17" s="263">
        <f t="shared" si="3"/>
        <v>356376.0852055205</v>
      </c>
      <c r="M17" s="222">
        <f t="shared" si="4"/>
        <v>559522.81380811369</v>
      </c>
      <c r="N17" s="219">
        <f t="shared" si="5"/>
        <v>2444627.3160624844</v>
      </c>
      <c r="P17" s="272" t="s">
        <v>49</v>
      </c>
      <c r="Q17" s="263">
        <v>10272989.48</v>
      </c>
      <c r="R17" s="263">
        <v>9018342.1300000008</v>
      </c>
      <c r="S17" s="263">
        <v>4532747.80593001</v>
      </c>
      <c r="T17" s="222">
        <v>6900674.8488941686</v>
      </c>
      <c r="U17" s="219">
        <f t="shared" si="6"/>
        <v>30724754.264824178</v>
      </c>
      <c r="W17" s="272" t="s">
        <v>49</v>
      </c>
      <c r="X17" s="280">
        <f t="shared" si="7"/>
        <v>9448371</v>
      </c>
      <c r="Y17" s="280">
        <f t="shared" si="7"/>
        <v>8314232.1929511512</v>
      </c>
      <c r="Z17" s="280">
        <f t="shared" si="7"/>
        <v>4176371.7207244895</v>
      </c>
      <c r="AA17" s="281">
        <f t="shared" si="7"/>
        <v>6341152.0350860553</v>
      </c>
      <c r="AB17" s="282">
        <f t="shared" si="8"/>
        <v>28280126.948761694</v>
      </c>
    </row>
    <row r="18" spans="1:28" ht="13.5" thickBot="1">
      <c r="A18" s="68" t="s">
        <v>13</v>
      </c>
      <c r="B18" s="9">
        <f>VLOOKUP(A18,Seguridad!$A$14:$F$67,6,FALSE)</f>
        <v>1559512.08</v>
      </c>
      <c r="C18" s="9">
        <f>VLOOKUP(A18,Desarrollo!$A$13:$D$69,4,FALSE)</f>
        <v>345676.27</v>
      </c>
      <c r="D18" s="9">
        <f>IFERROR(VLOOKUP(A18,Ultracrecimiento!$A$6:$E$17,5,FALSE),0)</f>
        <v>596319.44380274066</v>
      </c>
      <c r="E18" s="9">
        <f>VLOOKUP(A18,Descentralizados!$A$6:$E$56,5,TRUE)/12</f>
        <v>287237.58339176583</v>
      </c>
      <c r="F18" s="66">
        <f t="shared" si="0"/>
        <v>2788745.377194507</v>
      </c>
      <c r="I18" s="273" t="s">
        <v>150</v>
      </c>
      <c r="J18" s="274">
        <f>SUM(J6:J17)</f>
        <v>21117189.570000004</v>
      </c>
      <c r="K18" s="274">
        <f>SUM(K6:K17)</f>
        <v>9802046.4349896275</v>
      </c>
      <c r="L18" s="274">
        <f>SUM(L6:L17)</f>
        <v>18567662.879887633</v>
      </c>
      <c r="M18" s="275">
        <f>SUM(M6:M17)</f>
        <v>27686071.763725325</v>
      </c>
      <c r="N18" s="270">
        <f>SUM(N6:N17)</f>
        <v>77172970.648602605</v>
      </c>
      <c r="P18" s="273" t="s">
        <v>150</v>
      </c>
      <c r="Q18" s="274">
        <f>SUM(Q6:Q17)</f>
        <v>263310841.60999998</v>
      </c>
      <c r="R18" s="274">
        <f>SUM(R6:R17)</f>
        <v>124714618</v>
      </c>
      <c r="S18" s="274">
        <f>SUM(S6:S17)</f>
        <v>223381775.37879363</v>
      </c>
      <c r="T18" s="275">
        <f>SUM(T6:T17)</f>
        <v>351538553.50463998</v>
      </c>
      <c r="U18" s="270">
        <f>SUM(U6:U17)</f>
        <v>962945788.49343336</v>
      </c>
      <c r="W18" s="273" t="s">
        <v>150</v>
      </c>
      <c r="X18" s="283">
        <f>SUM(X6:X17)</f>
        <v>242193652.03999999</v>
      </c>
      <c r="Y18" s="283">
        <f>SUM(Y6:Y17)</f>
        <v>114912571.56501037</v>
      </c>
      <c r="Z18" s="283">
        <f>SUM(Z6:Z17)</f>
        <v>204814112.49890596</v>
      </c>
      <c r="AA18" s="284">
        <f>SUM(AA6:AA17)</f>
        <v>323852481.74091458</v>
      </c>
      <c r="AB18" s="285">
        <f>SUM(AB6:AB17)</f>
        <v>885772817.84483087</v>
      </c>
    </row>
    <row r="19" spans="1:28">
      <c r="A19" s="68" t="s">
        <v>14</v>
      </c>
      <c r="B19" s="9">
        <f>VLOOKUP(A19,Seguridad!$A$14:$F$67,6,FALSE)</f>
        <v>977002.71</v>
      </c>
      <c r="C19" s="9">
        <f>VLOOKUP(A19,Desarrollo!$A$13:$D$69,4,FALSE)</f>
        <v>994456.8</v>
      </c>
      <c r="D19" s="9">
        <f>IFERROR(VLOOKUP(A19,Ultracrecimiento!$A$6:$E$17,5,FALSE),0)</f>
        <v>0</v>
      </c>
      <c r="E19" s="9">
        <f>VLOOKUP(A19,Descentralizados!$A$6:$E$56,5,TRUE)/12</f>
        <v>1542631.5953047806</v>
      </c>
      <c r="F19" s="66">
        <f t="shared" si="0"/>
        <v>3514091.1053047804</v>
      </c>
      <c r="I19" s="272" t="s">
        <v>1</v>
      </c>
      <c r="J19" s="263">
        <f t="shared" ref="J19:J57" si="9">VLOOKUP(I19,$A$6:$E$56,3,FALSE)</f>
        <v>195612.23</v>
      </c>
      <c r="K19" s="263">
        <f t="shared" ref="K19:K57" si="10">VLOOKUP(I19,$A$6:$E$56,4,FALSE)</f>
        <v>0</v>
      </c>
      <c r="L19" s="263">
        <f t="shared" ref="L19:L57" si="11">VLOOKUP(I19,$A$6:$E$56,5,FALSE)</f>
        <v>143228.49826260723</v>
      </c>
      <c r="M19" s="222">
        <f t="shared" ref="M19:M57" si="12">VLOOKUP(I19,$A$6:$E$56,2,FALSE)</f>
        <v>386377.91135763942</v>
      </c>
      <c r="N19" s="219">
        <f t="shared" si="5"/>
        <v>725218.6396202466</v>
      </c>
      <c r="P19" s="272" t="s">
        <v>1</v>
      </c>
      <c r="Q19" s="263">
        <v>2443293.2200000002</v>
      </c>
      <c r="R19" s="263">
        <v>0</v>
      </c>
      <c r="S19" s="263">
        <v>1718741.9861008578</v>
      </c>
      <c r="T19" s="222">
        <v>4783188.2086414928</v>
      </c>
      <c r="U19" s="219">
        <f t="shared" ref="U19:U57" si="13">SUM(Q19:T19)</f>
        <v>8945223.4147423506</v>
      </c>
      <c r="W19" s="272" t="s">
        <v>1</v>
      </c>
      <c r="X19" s="280">
        <f t="shared" si="7"/>
        <v>2247680.9900000002</v>
      </c>
      <c r="Y19" s="280">
        <f t="shared" si="7"/>
        <v>0</v>
      </c>
      <c r="Z19" s="280">
        <f t="shared" si="7"/>
        <v>1575513.4878382506</v>
      </c>
      <c r="AA19" s="281">
        <f t="shared" si="7"/>
        <v>4396810.2972838534</v>
      </c>
      <c r="AB19" s="282">
        <f t="shared" ref="AB19:AB57" si="14">SUM(X19:AA19)</f>
        <v>8220004.7751221042</v>
      </c>
    </row>
    <row r="20" spans="1:28">
      <c r="A20" s="68" t="s">
        <v>15</v>
      </c>
      <c r="B20" s="9">
        <f>VLOOKUP(A20,Seguridad!$A$14:$F$67,6,FALSE)</f>
        <v>357590.44</v>
      </c>
      <c r="C20" s="9">
        <f>VLOOKUP(A20,Desarrollo!$A$13:$D$69,4,FALSE)</f>
        <v>284209.78000000003</v>
      </c>
      <c r="D20" s="9">
        <f>IFERROR(VLOOKUP(A20,Ultracrecimiento!$A$6:$E$17,5,FALSE),0)</f>
        <v>0</v>
      </c>
      <c r="E20" s="9">
        <f>VLOOKUP(A20,Descentralizados!$A$6:$E$56,5,TRUE)/12</f>
        <v>218983.81602503717</v>
      </c>
      <c r="F20" s="66">
        <f t="shared" si="0"/>
        <v>860784.03602503717</v>
      </c>
      <c r="I20" s="272" t="s">
        <v>2</v>
      </c>
      <c r="J20" s="263">
        <f t="shared" si="9"/>
        <v>266372.24</v>
      </c>
      <c r="K20" s="263">
        <f t="shared" si="10"/>
        <v>0</v>
      </c>
      <c r="L20" s="263">
        <f t="shared" si="11"/>
        <v>241719.38986644254</v>
      </c>
      <c r="M20" s="222">
        <f t="shared" si="12"/>
        <v>393655.03999999998</v>
      </c>
      <c r="N20" s="219">
        <f t="shared" si="5"/>
        <v>901746.66986644245</v>
      </c>
      <c r="P20" s="272" t="s">
        <v>2</v>
      </c>
      <c r="Q20" s="263">
        <v>3334020.9</v>
      </c>
      <c r="R20" s="263">
        <v>0</v>
      </c>
      <c r="S20" s="263">
        <v>2900632.6789315413</v>
      </c>
      <c r="T20" s="222">
        <v>4723833.2856675256</v>
      </c>
      <c r="U20" s="219">
        <f t="shared" si="13"/>
        <v>10958486.864599068</v>
      </c>
      <c r="W20" s="272" t="s">
        <v>2</v>
      </c>
      <c r="X20" s="280">
        <f t="shared" si="7"/>
        <v>3067648.66</v>
      </c>
      <c r="Y20" s="280">
        <f t="shared" si="7"/>
        <v>0</v>
      </c>
      <c r="Z20" s="280">
        <f t="shared" si="7"/>
        <v>2658913.2890650989</v>
      </c>
      <c r="AA20" s="281">
        <f t="shared" si="7"/>
        <v>4330178.2456675256</v>
      </c>
      <c r="AB20" s="282">
        <f t="shared" si="14"/>
        <v>10056740.194732625</v>
      </c>
    </row>
    <row r="21" spans="1:28">
      <c r="A21" s="68" t="s">
        <v>16</v>
      </c>
      <c r="B21" s="9">
        <f>VLOOKUP(A21,Seguridad!$A$14:$F$67,6,FALSE)</f>
        <v>391407.69</v>
      </c>
      <c r="C21" s="9">
        <f>VLOOKUP(A21,Desarrollo!$A$13:$D$69,4,FALSE)</f>
        <v>220262.85</v>
      </c>
      <c r="D21" s="9">
        <f>IFERROR(VLOOKUP(A21,Ultracrecimiento!$A$6:$E$17,5,FALSE),0)</f>
        <v>0</v>
      </c>
      <c r="E21" s="9">
        <f>VLOOKUP(A21,Descentralizados!$A$6:$E$56,5,TRUE)/12</f>
        <v>74715.812159023961</v>
      </c>
      <c r="F21" s="66">
        <f t="shared" si="0"/>
        <v>686386.35215902398</v>
      </c>
      <c r="I21" s="272" t="s">
        <v>3</v>
      </c>
      <c r="J21" s="263">
        <f t="shared" si="9"/>
        <v>272343.25</v>
      </c>
      <c r="K21" s="263">
        <f t="shared" si="10"/>
        <v>0</v>
      </c>
      <c r="L21" s="263">
        <f t="shared" si="11"/>
        <v>173891.59625916352</v>
      </c>
      <c r="M21" s="222">
        <f t="shared" si="12"/>
        <v>358428.73</v>
      </c>
      <c r="N21" s="219">
        <f t="shared" si="5"/>
        <v>804663.57625916344</v>
      </c>
      <c r="P21" s="272" t="s">
        <v>3</v>
      </c>
      <c r="Q21" s="263">
        <v>3421062.17</v>
      </c>
      <c r="R21" s="263">
        <v>0</v>
      </c>
      <c r="S21" s="263">
        <v>2084379.9700768916</v>
      </c>
      <c r="T21" s="222">
        <v>4383432.8024118254</v>
      </c>
      <c r="U21" s="219">
        <f t="shared" si="13"/>
        <v>9888874.9424887169</v>
      </c>
      <c r="W21" s="272" t="s">
        <v>3</v>
      </c>
      <c r="X21" s="280">
        <f t="shared" si="7"/>
        <v>3148718.92</v>
      </c>
      <c r="Y21" s="280">
        <f t="shared" si="7"/>
        <v>0</v>
      </c>
      <c r="Z21" s="280">
        <f t="shared" si="7"/>
        <v>1910488.3738177281</v>
      </c>
      <c r="AA21" s="281">
        <f t="shared" si="7"/>
        <v>4025004.0724118254</v>
      </c>
      <c r="AB21" s="282">
        <f t="shared" si="14"/>
        <v>9084211.3662295528</v>
      </c>
    </row>
    <row r="22" spans="1:28">
      <c r="A22" s="68" t="s">
        <v>17</v>
      </c>
      <c r="B22" s="9">
        <f>VLOOKUP(A22,Seguridad!$A$14:$F$67,6,FALSE)</f>
        <v>1062883.56</v>
      </c>
      <c r="C22" s="9">
        <f>VLOOKUP(A22,Desarrollo!$A$13:$D$69,4,FALSE)</f>
        <v>781235.33</v>
      </c>
      <c r="D22" s="9">
        <f>IFERROR(VLOOKUP(A22,Ultracrecimiento!$A$6:$E$17,5,FALSE),0)</f>
        <v>0</v>
      </c>
      <c r="E22" s="9">
        <f>VLOOKUP(A22,Descentralizados!$A$6:$E$56,5,TRUE)/12</f>
        <v>1147558.9651947313</v>
      </c>
      <c r="F22" s="66">
        <f t="shared" si="0"/>
        <v>2991677.8551947316</v>
      </c>
      <c r="I22" s="272" t="s">
        <v>4</v>
      </c>
      <c r="J22" s="263">
        <f t="shared" si="9"/>
        <v>456863.66</v>
      </c>
      <c r="K22" s="263">
        <f t="shared" si="10"/>
        <v>0</v>
      </c>
      <c r="L22" s="263">
        <f t="shared" si="11"/>
        <v>709853.38470981934</v>
      </c>
      <c r="M22" s="222">
        <f t="shared" si="12"/>
        <v>962751.66</v>
      </c>
      <c r="N22" s="219">
        <f t="shared" si="5"/>
        <v>2129468.7047098195</v>
      </c>
      <c r="P22" s="272" t="s">
        <v>4</v>
      </c>
      <c r="Q22" s="263">
        <v>5826931.5800000001</v>
      </c>
      <c r="R22" s="263">
        <v>0</v>
      </c>
      <c r="S22" s="263">
        <v>8518240.5976785552</v>
      </c>
      <c r="T22" s="222">
        <v>14195098.344623413</v>
      </c>
      <c r="U22" s="219">
        <f t="shared" si="13"/>
        <v>28540270.522301968</v>
      </c>
      <c r="W22" s="272" t="s">
        <v>4</v>
      </c>
      <c r="X22" s="280">
        <f t="shared" si="7"/>
        <v>5370067.9199999999</v>
      </c>
      <c r="Y22" s="280">
        <f t="shared" si="7"/>
        <v>0</v>
      </c>
      <c r="Z22" s="280">
        <f t="shared" si="7"/>
        <v>7808387.212968736</v>
      </c>
      <c r="AA22" s="281">
        <f t="shared" si="7"/>
        <v>13232346.684623413</v>
      </c>
      <c r="AB22" s="282">
        <f t="shared" si="14"/>
        <v>26410801.817592148</v>
      </c>
    </row>
    <row r="23" spans="1:28">
      <c r="A23" s="68" t="s">
        <v>18</v>
      </c>
      <c r="B23" s="9">
        <f>VLOOKUP(A23,Seguridad!$A$14:$F$67,6,FALSE)</f>
        <v>2253724.7618555874</v>
      </c>
      <c r="C23" s="9">
        <f>VLOOKUP(A23,Desarrollo!$A$13:$D$69,4,FALSE)</f>
        <v>1064597.67</v>
      </c>
      <c r="D23" s="9">
        <f>IFERROR(VLOOKUP(A23,Ultracrecimiento!$A$6:$E$17,5,FALSE),0)</f>
        <v>1273215.3718500475</v>
      </c>
      <c r="E23" s="9">
        <f>VLOOKUP(A23,Descentralizados!$A$6:$E$56,5,TRUE)/12</f>
        <v>657493.33114204404</v>
      </c>
      <c r="F23" s="66">
        <f t="shared" si="0"/>
        <v>5249031.1348476782</v>
      </c>
      <c r="I23" s="272" t="s">
        <v>5</v>
      </c>
      <c r="J23" s="263">
        <f t="shared" si="9"/>
        <v>427875</v>
      </c>
      <c r="K23" s="263">
        <f t="shared" si="10"/>
        <v>0</v>
      </c>
      <c r="L23" s="263">
        <f t="shared" si="11"/>
        <v>511469.03484875342</v>
      </c>
      <c r="M23" s="222">
        <f t="shared" si="12"/>
        <v>654918.31999999995</v>
      </c>
      <c r="N23" s="219">
        <f t="shared" si="5"/>
        <v>1594262.3548487532</v>
      </c>
      <c r="P23" s="272" t="s">
        <v>5</v>
      </c>
      <c r="Q23" s="263">
        <v>5441614.9100000001</v>
      </c>
      <c r="R23" s="263">
        <v>0</v>
      </c>
      <c r="S23" s="263">
        <v>6137628.3987900279</v>
      </c>
      <c r="T23" s="222">
        <v>9399517.3429417629</v>
      </c>
      <c r="U23" s="219">
        <f t="shared" si="13"/>
        <v>20978760.651731789</v>
      </c>
      <c r="W23" s="272" t="s">
        <v>5</v>
      </c>
      <c r="X23" s="280">
        <f t="shared" si="7"/>
        <v>5013739.91</v>
      </c>
      <c r="Y23" s="280">
        <f t="shared" si="7"/>
        <v>0</v>
      </c>
      <c r="Z23" s="280">
        <f t="shared" si="7"/>
        <v>5626159.3639412746</v>
      </c>
      <c r="AA23" s="281">
        <f t="shared" si="7"/>
        <v>8744599.0229417626</v>
      </c>
      <c r="AB23" s="282">
        <f t="shared" si="14"/>
        <v>19384498.296883039</v>
      </c>
    </row>
    <row r="24" spans="1:28">
      <c r="A24" s="68" t="s">
        <v>19</v>
      </c>
      <c r="B24" s="9">
        <f>VLOOKUP(A24,Seguridad!$A$14:$F$67,6,FALSE)</f>
        <v>431538.93</v>
      </c>
      <c r="C24" s="9">
        <f>VLOOKUP(A24,Desarrollo!$A$13:$D$69,4,FALSE)</f>
        <v>272154.18</v>
      </c>
      <c r="D24" s="9">
        <f>IFERROR(VLOOKUP(A24,Ultracrecimiento!$A$6:$E$17,5,FALSE),0)</f>
        <v>0</v>
      </c>
      <c r="E24" s="9">
        <f>VLOOKUP(A24,Descentralizados!$A$6:$E$56,5,TRUE)/12</f>
        <v>192846.38868606859</v>
      </c>
      <c r="F24" s="66">
        <f t="shared" si="0"/>
        <v>896539.49868606857</v>
      </c>
      <c r="I24" s="272" t="s">
        <v>7</v>
      </c>
      <c r="J24" s="263">
        <f t="shared" si="9"/>
        <v>540999.93000000005</v>
      </c>
      <c r="K24" s="263">
        <f t="shared" si="10"/>
        <v>0</v>
      </c>
      <c r="L24" s="263">
        <f t="shared" si="11"/>
        <v>685389.59118695778</v>
      </c>
      <c r="M24" s="222">
        <f t="shared" si="12"/>
        <v>600732.23</v>
      </c>
      <c r="N24" s="219">
        <f t="shared" si="5"/>
        <v>1827121.7511869578</v>
      </c>
      <c r="P24" s="272" t="s">
        <v>7</v>
      </c>
      <c r="Q24" s="263">
        <v>6893917.4699999997</v>
      </c>
      <c r="R24" s="263">
        <v>0</v>
      </c>
      <c r="S24" s="263">
        <v>8249514.9753969274</v>
      </c>
      <c r="T24" s="222">
        <v>8793503.5793775618</v>
      </c>
      <c r="U24" s="219">
        <f t="shared" si="13"/>
        <v>23936936.024774488</v>
      </c>
      <c r="W24" s="272" t="s">
        <v>7</v>
      </c>
      <c r="X24" s="280">
        <f t="shared" si="7"/>
        <v>6352917.54</v>
      </c>
      <c r="Y24" s="280">
        <f t="shared" si="7"/>
        <v>0</v>
      </c>
      <c r="Z24" s="280">
        <f t="shared" si="7"/>
        <v>7564125.38420997</v>
      </c>
      <c r="AA24" s="281">
        <f t="shared" si="7"/>
        <v>8192771.3493775614</v>
      </c>
      <c r="AB24" s="282">
        <f t="shared" si="14"/>
        <v>22109814.273587532</v>
      </c>
    </row>
    <row r="25" spans="1:28">
      <c r="A25" s="68" t="s">
        <v>20</v>
      </c>
      <c r="B25" s="9">
        <f>VLOOKUP(A25,Seguridad!$A$14:$F$67,6,FALSE)</f>
        <v>2659883.4031800865</v>
      </c>
      <c r="C25" s="9">
        <f>VLOOKUP(A25,Desarrollo!$A$13:$D$69,4,FALSE)</f>
        <v>1419989.36</v>
      </c>
      <c r="D25" s="9">
        <f>IFERROR(VLOOKUP(A25,Ultracrecimiento!$A$6:$E$17,5,FALSE),0)</f>
        <v>1611791.386021357</v>
      </c>
      <c r="E25" s="9">
        <f>VLOOKUP(A25,Descentralizados!$A$6:$E$56,5,TRUE)/12</f>
        <v>1103426.0111227715</v>
      </c>
      <c r="F25" s="66">
        <f t="shared" si="0"/>
        <v>6795090.160324215</v>
      </c>
      <c r="I25" s="272" t="s">
        <v>8</v>
      </c>
      <c r="J25" s="263">
        <f t="shared" si="9"/>
        <v>228129.93</v>
      </c>
      <c r="K25" s="263">
        <f t="shared" si="10"/>
        <v>0</v>
      </c>
      <c r="L25" s="263">
        <f t="shared" si="11"/>
        <v>247851.58995264347</v>
      </c>
      <c r="M25" s="222">
        <f t="shared" si="12"/>
        <v>398631.32</v>
      </c>
      <c r="N25" s="219">
        <f t="shared" si="5"/>
        <v>874612.8399526435</v>
      </c>
      <c r="P25" s="272" t="s">
        <v>8</v>
      </c>
      <c r="Q25" s="263">
        <v>2870724.84</v>
      </c>
      <c r="R25" s="263">
        <v>0</v>
      </c>
      <c r="S25" s="263">
        <v>2974219.0796211474</v>
      </c>
      <c r="T25" s="222">
        <v>5180272.6433373308</v>
      </c>
      <c r="U25" s="219">
        <f t="shared" si="13"/>
        <v>11025216.562958479</v>
      </c>
      <c r="W25" s="272" t="s">
        <v>8</v>
      </c>
      <c r="X25" s="280">
        <f t="shared" si="7"/>
        <v>2642594.9099999997</v>
      </c>
      <c r="Y25" s="280">
        <f t="shared" si="7"/>
        <v>0</v>
      </c>
      <c r="Z25" s="280">
        <f t="shared" si="7"/>
        <v>2726367.4896685039</v>
      </c>
      <c r="AA25" s="281">
        <f t="shared" si="7"/>
        <v>4781641.3233373305</v>
      </c>
      <c r="AB25" s="282">
        <f t="shared" si="14"/>
        <v>10150603.723005835</v>
      </c>
    </row>
    <row r="26" spans="1:28">
      <c r="A26" s="68" t="s">
        <v>21</v>
      </c>
      <c r="B26" s="9">
        <f>VLOOKUP(A26,Seguridad!$A$14:$F$67,6,FALSE)</f>
        <v>584982.94999999995</v>
      </c>
      <c r="C26" s="9">
        <f>VLOOKUP(A26,Desarrollo!$A$13:$D$69,4,FALSE)</f>
        <v>401792.28</v>
      </c>
      <c r="D26" s="9">
        <f>IFERROR(VLOOKUP(A26,Ultracrecimiento!$A$6:$E$17,5,FALSE),0)</f>
        <v>0</v>
      </c>
      <c r="E26" s="9">
        <f>VLOOKUP(A26,Descentralizados!$A$6:$E$56,5,TRUE)/12</f>
        <v>419650.41339484928</v>
      </c>
      <c r="F26" s="66">
        <f t="shared" si="0"/>
        <v>1406425.6433948493</v>
      </c>
      <c r="I26" s="272" t="s">
        <v>10</v>
      </c>
      <c r="J26" s="263">
        <f t="shared" si="9"/>
        <v>367876.28</v>
      </c>
      <c r="K26" s="263">
        <f t="shared" si="10"/>
        <v>645724.37993805076</v>
      </c>
      <c r="L26" s="263">
        <f t="shared" si="11"/>
        <v>325772.88249590434</v>
      </c>
      <c r="M26" s="222">
        <f t="shared" si="12"/>
        <v>2196813.9700000002</v>
      </c>
      <c r="N26" s="219">
        <f t="shared" si="5"/>
        <v>3536187.5124339554</v>
      </c>
      <c r="P26" s="272" t="s">
        <v>10</v>
      </c>
      <c r="Q26" s="263">
        <v>3644327.85</v>
      </c>
      <c r="R26" s="263">
        <v>6928203.5499999998</v>
      </c>
      <c r="S26" s="263">
        <v>3660359.1323029641</v>
      </c>
      <c r="T26" s="222">
        <v>15368248.397203868</v>
      </c>
      <c r="U26" s="219">
        <f t="shared" si="13"/>
        <v>29601138.929506831</v>
      </c>
      <c r="W26" s="272" t="s">
        <v>10</v>
      </c>
      <c r="X26" s="280">
        <f t="shared" si="7"/>
        <v>3276451.5700000003</v>
      </c>
      <c r="Y26" s="280">
        <f t="shared" si="7"/>
        <v>6282479.1700619487</v>
      </c>
      <c r="Z26" s="280">
        <f t="shared" si="7"/>
        <v>3334586.2498070598</v>
      </c>
      <c r="AA26" s="281">
        <f t="shared" si="7"/>
        <v>13171434.427203868</v>
      </c>
      <c r="AB26" s="282">
        <f t="shared" si="14"/>
        <v>26064951.417072877</v>
      </c>
    </row>
    <row r="27" spans="1:28">
      <c r="A27" s="68" t="s">
        <v>22</v>
      </c>
      <c r="B27" s="9">
        <f>VLOOKUP(A27,Seguridad!$A$14:$F$67,6,FALSE)</f>
        <v>365581.01</v>
      </c>
      <c r="C27" s="9">
        <f>VLOOKUP(A27,Desarrollo!$A$13:$D$69,4,FALSE)</f>
        <v>200087.43</v>
      </c>
      <c r="D27" s="9">
        <f>IFERROR(VLOOKUP(A27,Ultracrecimiento!$A$6:$E$17,5,FALSE),0)</f>
        <v>0</v>
      </c>
      <c r="E27" s="9">
        <f>VLOOKUP(A27,Descentralizados!$A$6:$E$56,5,TRUE)/12</f>
        <v>214938.94040893766</v>
      </c>
      <c r="F27" s="66">
        <f t="shared" si="0"/>
        <v>780607.38040893758</v>
      </c>
      <c r="I27" s="272" t="s">
        <v>11</v>
      </c>
      <c r="J27" s="263">
        <f t="shared" si="9"/>
        <v>285594.27</v>
      </c>
      <c r="K27" s="263">
        <f t="shared" si="10"/>
        <v>0</v>
      </c>
      <c r="L27" s="263">
        <f t="shared" si="11"/>
        <v>307760.28074845381</v>
      </c>
      <c r="M27" s="222">
        <f t="shared" si="12"/>
        <v>464250.35</v>
      </c>
      <c r="N27" s="219">
        <f t="shared" si="5"/>
        <v>1057604.9007484538</v>
      </c>
      <c r="P27" s="272" t="s">
        <v>11</v>
      </c>
      <c r="Q27" s="263">
        <v>3612033.9</v>
      </c>
      <c r="R27" s="263">
        <v>0</v>
      </c>
      <c r="S27" s="263">
        <v>3693123.3659876306</v>
      </c>
      <c r="T27" s="222">
        <v>6302080.6875453042</v>
      </c>
      <c r="U27" s="219">
        <f t="shared" si="13"/>
        <v>13607237.953532934</v>
      </c>
      <c r="W27" s="272" t="s">
        <v>11</v>
      </c>
      <c r="X27" s="280">
        <f t="shared" si="7"/>
        <v>3326439.63</v>
      </c>
      <c r="Y27" s="280">
        <f t="shared" si="7"/>
        <v>0</v>
      </c>
      <c r="Z27" s="280">
        <f t="shared" si="7"/>
        <v>3385363.0852391766</v>
      </c>
      <c r="AA27" s="281">
        <f t="shared" si="7"/>
        <v>5837830.3375453046</v>
      </c>
      <c r="AB27" s="282">
        <f t="shared" si="14"/>
        <v>12549633.05278448</v>
      </c>
    </row>
    <row r="28" spans="1:28">
      <c r="A28" s="68" t="s">
        <v>23</v>
      </c>
      <c r="B28" s="9">
        <f>VLOOKUP(A28,Seguridad!$A$14:$F$67,6,FALSE)</f>
        <v>445379.75</v>
      </c>
      <c r="C28" s="9">
        <f>VLOOKUP(A28,Desarrollo!$A$13:$D$69,4,FALSE)</f>
        <v>359827.78</v>
      </c>
      <c r="D28" s="9">
        <f>IFERROR(VLOOKUP(A28,Ultracrecimiento!$A$6:$E$17,5,FALSE),0)</f>
        <v>0</v>
      </c>
      <c r="E28" s="9">
        <f>VLOOKUP(A28,Descentralizados!$A$6:$E$56,5,TRUE)/12</f>
        <v>340332.44893929956</v>
      </c>
      <c r="F28" s="66">
        <f t="shared" si="0"/>
        <v>1145539.9789392995</v>
      </c>
      <c r="I28" s="272" t="s">
        <v>12</v>
      </c>
      <c r="J28" s="263">
        <f t="shared" si="9"/>
        <v>423555.89</v>
      </c>
      <c r="K28" s="263">
        <f t="shared" si="10"/>
        <v>0</v>
      </c>
      <c r="L28" s="263">
        <f t="shared" si="11"/>
        <v>463594.35675485799</v>
      </c>
      <c r="M28" s="222">
        <f t="shared" si="12"/>
        <v>510445.86</v>
      </c>
      <c r="N28" s="219">
        <f t="shared" si="5"/>
        <v>1397596.106754858</v>
      </c>
      <c r="P28" s="272" t="s">
        <v>12</v>
      </c>
      <c r="Q28" s="263">
        <v>5383135.2000000002</v>
      </c>
      <c r="R28" s="263">
        <v>0</v>
      </c>
      <c r="S28" s="263">
        <v>5567521.0863518687</v>
      </c>
      <c r="T28" s="222">
        <v>7215552.9521146528</v>
      </c>
      <c r="U28" s="219">
        <f t="shared" si="13"/>
        <v>18166209.238466524</v>
      </c>
      <c r="W28" s="272" t="s">
        <v>12</v>
      </c>
      <c r="X28" s="280">
        <f t="shared" si="7"/>
        <v>4959579.3100000005</v>
      </c>
      <c r="Y28" s="280">
        <f t="shared" si="7"/>
        <v>0</v>
      </c>
      <c r="Z28" s="280">
        <f t="shared" si="7"/>
        <v>5103926.7295970106</v>
      </c>
      <c r="AA28" s="281">
        <f t="shared" si="7"/>
        <v>6705107.0921146525</v>
      </c>
      <c r="AB28" s="282">
        <f t="shared" si="14"/>
        <v>16768613.131711666</v>
      </c>
    </row>
    <row r="29" spans="1:28">
      <c r="A29" s="68" t="s">
        <v>24</v>
      </c>
      <c r="B29" s="9">
        <f>VLOOKUP(A29,Seguridad!$A$14:$F$67,6,FALSE)</f>
        <v>2155273.6800000002</v>
      </c>
      <c r="C29" s="9">
        <f>VLOOKUP(A29,Desarrollo!$A$13:$D$69,4,FALSE)</f>
        <v>372523.1</v>
      </c>
      <c r="D29" s="9">
        <f>IFERROR(VLOOKUP(A29,Ultracrecimiento!$A$6:$E$17,5,FALSE),0)</f>
        <v>644695.09214550455</v>
      </c>
      <c r="E29" s="9">
        <f>VLOOKUP(A29,Descentralizados!$A$6:$E$56,5,TRUE)/12</f>
        <v>356899.62988831714</v>
      </c>
      <c r="F29" s="66">
        <f t="shared" si="0"/>
        <v>3529391.5020338218</v>
      </c>
      <c r="I29" s="272" t="s">
        <v>13</v>
      </c>
      <c r="J29" s="263">
        <f t="shared" si="9"/>
        <v>345676.27</v>
      </c>
      <c r="K29" s="263">
        <f t="shared" si="10"/>
        <v>596319.44380274066</v>
      </c>
      <c r="L29" s="263">
        <f t="shared" si="11"/>
        <v>287237.58339176583</v>
      </c>
      <c r="M29" s="222">
        <f t="shared" si="12"/>
        <v>1559512.08</v>
      </c>
      <c r="N29" s="219">
        <f t="shared" si="5"/>
        <v>2788745.3771945066</v>
      </c>
      <c r="P29" s="272" t="s">
        <v>13</v>
      </c>
      <c r="Q29" s="263">
        <v>4021820.05</v>
      </c>
      <c r="R29" s="263">
        <v>7149681.4699999997</v>
      </c>
      <c r="S29" s="263">
        <v>3150866.5058017666</v>
      </c>
      <c r="T29" s="222">
        <v>16676727.674164966</v>
      </c>
      <c r="U29" s="219">
        <f t="shared" si="13"/>
        <v>30999095.699966732</v>
      </c>
      <c r="W29" s="272" t="s">
        <v>13</v>
      </c>
      <c r="X29" s="280">
        <f t="shared" si="7"/>
        <v>3676143.78</v>
      </c>
      <c r="Y29" s="280">
        <f t="shared" si="7"/>
        <v>6553362.0261972593</v>
      </c>
      <c r="Z29" s="280">
        <f t="shared" si="7"/>
        <v>2863628.922410001</v>
      </c>
      <c r="AA29" s="281">
        <f t="shared" si="7"/>
        <v>15117215.594164966</v>
      </c>
      <c r="AB29" s="282">
        <f t="shared" si="14"/>
        <v>28210350.322772227</v>
      </c>
    </row>
    <row r="30" spans="1:28">
      <c r="A30" s="68" t="s">
        <v>25</v>
      </c>
      <c r="B30" s="9">
        <f>VLOOKUP(A30,Seguridad!$A$14:$F$67,6,FALSE)</f>
        <v>3442776.3275405774</v>
      </c>
      <c r="C30" s="9">
        <f>VLOOKUP(A30,Desarrollo!$A$13:$D$69,4,FALSE)</f>
        <v>1955503.09</v>
      </c>
      <c r="D30" s="9">
        <f>IFERROR(VLOOKUP(A30,Ultracrecimiento!$A$6:$E$17,5,FALSE),0)</f>
        <v>0</v>
      </c>
      <c r="E30" s="9">
        <f>VLOOKUP(A30,Descentralizados!$A$6:$E$56,5,TRUE)/12</f>
        <v>1775369.339284166</v>
      </c>
      <c r="F30" s="66">
        <f t="shared" si="0"/>
        <v>7173648.756824743</v>
      </c>
      <c r="I30" s="272" t="s">
        <v>14</v>
      </c>
      <c r="J30" s="263">
        <f t="shared" si="9"/>
        <v>994456.8</v>
      </c>
      <c r="K30" s="263">
        <f t="shared" si="10"/>
        <v>0</v>
      </c>
      <c r="L30" s="263">
        <f t="shared" si="11"/>
        <v>1542631.5953047806</v>
      </c>
      <c r="M30" s="222">
        <f t="shared" si="12"/>
        <v>977002.71</v>
      </c>
      <c r="N30" s="219">
        <f t="shared" si="5"/>
        <v>3514091.1053047804</v>
      </c>
      <c r="P30" s="272" t="s">
        <v>14</v>
      </c>
      <c r="Q30" s="263">
        <v>12654853.73</v>
      </c>
      <c r="R30" s="263">
        <v>0</v>
      </c>
      <c r="S30" s="263">
        <v>18476531.852501161</v>
      </c>
      <c r="T30" s="222">
        <v>14122982.113210045</v>
      </c>
      <c r="U30" s="219">
        <f t="shared" si="13"/>
        <v>45254367.69571121</v>
      </c>
      <c r="W30" s="272" t="s">
        <v>14</v>
      </c>
      <c r="X30" s="280">
        <f t="shared" si="7"/>
        <v>11660396.93</v>
      </c>
      <c r="Y30" s="280">
        <f t="shared" si="7"/>
        <v>0</v>
      </c>
      <c r="Z30" s="280">
        <f t="shared" si="7"/>
        <v>16933900.257196382</v>
      </c>
      <c r="AA30" s="281">
        <f t="shared" si="7"/>
        <v>13145979.403210044</v>
      </c>
      <c r="AB30" s="282">
        <f t="shared" si="14"/>
        <v>41740276.590406425</v>
      </c>
    </row>
    <row r="31" spans="1:28">
      <c r="A31" s="68" t="s">
        <v>26</v>
      </c>
      <c r="B31" s="9">
        <f>VLOOKUP(A31,Seguridad!$A$14:$F$67,6,FALSE)</f>
        <v>368274.26</v>
      </c>
      <c r="C31" s="9">
        <f>VLOOKUP(A31,Desarrollo!$A$13:$D$69,4,FALSE)</f>
        <v>228296.37</v>
      </c>
      <c r="D31" s="9">
        <f>IFERROR(VLOOKUP(A31,Ultracrecimiento!$A$6:$E$17,5,FALSE),0)</f>
        <v>0</v>
      </c>
      <c r="E31" s="9">
        <f>VLOOKUP(A31,Descentralizados!$A$6:$E$56,5,TRUE)/12</f>
        <v>201348.38108117445</v>
      </c>
      <c r="F31" s="66">
        <f t="shared" si="0"/>
        <v>797919.01108117448</v>
      </c>
      <c r="I31" s="272" t="s">
        <v>15</v>
      </c>
      <c r="J31" s="263">
        <f t="shared" si="9"/>
        <v>284209.78000000003</v>
      </c>
      <c r="K31" s="263">
        <f t="shared" si="10"/>
        <v>0</v>
      </c>
      <c r="L31" s="263">
        <f t="shared" si="11"/>
        <v>218983.81602503717</v>
      </c>
      <c r="M31" s="222">
        <f t="shared" si="12"/>
        <v>357590.44</v>
      </c>
      <c r="N31" s="219">
        <f t="shared" si="5"/>
        <v>860784.03602503729</v>
      </c>
      <c r="P31" s="272" t="s">
        <v>15</v>
      </c>
      <c r="Q31" s="263">
        <v>3579153.56</v>
      </c>
      <c r="R31" s="263">
        <v>0</v>
      </c>
      <c r="S31" s="263">
        <v>2627805.8082002969</v>
      </c>
      <c r="T31" s="222">
        <v>4484336.1714675697</v>
      </c>
      <c r="U31" s="219">
        <f t="shared" si="13"/>
        <v>10691295.539667867</v>
      </c>
      <c r="W31" s="272" t="s">
        <v>15</v>
      </c>
      <c r="X31" s="280">
        <f t="shared" si="7"/>
        <v>3294943.7800000003</v>
      </c>
      <c r="Y31" s="280">
        <f t="shared" si="7"/>
        <v>0</v>
      </c>
      <c r="Z31" s="280">
        <f t="shared" si="7"/>
        <v>2408821.9921752596</v>
      </c>
      <c r="AA31" s="281">
        <f t="shared" si="7"/>
        <v>4126745.7314675697</v>
      </c>
      <c r="AB31" s="282">
        <f t="shared" si="14"/>
        <v>9830511.5036428291</v>
      </c>
    </row>
    <row r="32" spans="1:28">
      <c r="A32" s="68" t="s">
        <v>27</v>
      </c>
      <c r="B32" s="9">
        <f>VLOOKUP(A32,Seguridad!$A$14:$F$67,6,FALSE)</f>
        <v>620244.93000000005</v>
      </c>
      <c r="C32" s="9">
        <f>VLOOKUP(A32,Desarrollo!$A$13:$D$69,4,FALSE)</f>
        <v>292020.94</v>
      </c>
      <c r="D32" s="9">
        <f>IFERROR(VLOOKUP(A32,Ultracrecimiento!$A$6:$E$17,5,FALSE),0)</f>
        <v>0</v>
      </c>
      <c r="E32" s="9">
        <f>VLOOKUP(A32,Descentralizados!$A$6:$E$56,5,TRUE)/12</f>
        <v>210306.25401232415</v>
      </c>
      <c r="F32" s="66">
        <f t="shared" si="0"/>
        <v>1122572.1240123243</v>
      </c>
      <c r="I32" s="272" t="s">
        <v>16</v>
      </c>
      <c r="J32" s="263">
        <f t="shared" si="9"/>
        <v>220262.85</v>
      </c>
      <c r="K32" s="263">
        <f t="shared" si="10"/>
        <v>0</v>
      </c>
      <c r="L32" s="263">
        <f t="shared" si="11"/>
        <v>74715.812159023961</v>
      </c>
      <c r="M32" s="222">
        <f t="shared" si="12"/>
        <v>391407.69</v>
      </c>
      <c r="N32" s="219">
        <f t="shared" si="5"/>
        <v>686386.35215902398</v>
      </c>
      <c r="P32" s="272" t="s">
        <v>16</v>
      </c>
      <c r="Q32" s="263">
        <v>2756671.43</v>
      </c>
      <c r="R32" s="263">
        <v>0</v>
      </c>
      <c r="S32" s="263">
        <v>904930.12946649513</v>
      </c>
      <c r="T32" s="222">
        <v>4849072.1731425952</v>
      </c>
      <c r="U32" s="219">
        <f t="shared" si="13"/>
        <v>8510673.7326090895</v>
      </c>
      <c r="W32" s="272" t="s">
        <v>16</v>
      </c>
      <c r="X32" s="280">
        <f t="shared" si="7"/>
        <v>2536408.58</v>
      </c>
      <c r="Y32" s="280">
        <f t="shared" si="7"/>
        <v>0</v>
      </c>
      <c r="Z32" s="280">
        <f t="shared" si="7"/>
        <v>830214.31730747118</v>
      </c>
      <c r="AA32" s="281">
        <f t="shared" si="7"/>
        <v>4457664.4831425948</v>
      </c>
      <c r="AB32" s="282">
        <f t="shared" si="14"/>
        <v>7824287.3804500662</v>
      </c>
    </row>
    <row r="33" spans="1:28">
      <c r="A33" s="68" t="s">
        <v>28</v>
      </c>
      <c r="B33" s="9">
        <f>VLOOKUP(A33,Seguridad!$A$14:$F$67,6,FALSE)</f>
        <v>358054.18</v>
      </c>
      <c r="C33" s="9">
        <f>VLOOKUP(A33,Desarrollo!$A$13:$D$69,4,FALSE)</f>
        <v>253082.89</v>
      </c>
      <c r="D33" s="9">
        <f>IFERROR(VLOOKUP(A33,Ultracrecimiento!$A$6:$E$17,5,FALSE),0)</f>
        <v>0</v>
      </c>
      <c r="E33" s="9">
        <f>VLOOKUP(A33,Descentralizados!$A$6:$E$56,5,TRUE)/12</f>
        <v>184361.89560164956</v>
      </c>
      <c r="F33" s="66">
        <f t="shared" si="0"/>
        <v>795498.9656016496</v>
      </c>
      <c r="I33" s="272" t="s">
        <v>17</v>
      </c>
      <c r="J33" s="263">
        <f t="shared" si="9"/>
        <v>781235.33</v>
      </c>
      <c r="K33" s="263">
        <f t="shared" si="10"/>
        <v>0</v>
      </c>
      <c r="L33" s="263">
        <f t="shared" si="11"/>
        <v>1147558.9651947313</v>
      </c>
      <c r="M33" s="222">
        <f t="shared" si="12"/>
        <v>1062883.56</v>
      </c>
      <c r="N33" s="219">
        <f t="shared" si="5"/>
        <v>2991677.8551947311</v>
      </c>
      <c r="P33" s="272" t="s">
        <v>17</v>
      </c>
      <c r="Q33" s="263">
        <v>9990382.3499999996</v>
      </c>
      <c r="R33" s="263">
        <v>0</v>
      </c>
      <c r="S33" s="263">
        <v>13746468.436023457</v>
      </c>
      <c r="T33" s="222">
        <v>16206339.909596281</v>
      </c>
      <c r="U33" s="219">
        <f t="shared" si="13"/>
        <v>39943190.69561974</v>
      </c>
      <c r="W33" s="272" t="s">
        <v>17</v>
      </c>
      <c r="X33" s="280">
        <f t="shared" si="7"/>
        <v>9209147.0199999996</v>
      </c>
      <c r="Y33" s="280">
        <f t="shared" si="7"/>
        <v>0</v>
      </c>
      <c r="Z33" s="280">
        <f t="shared" si="7"/>
        <v>12598909.470828725</v>
      </c>
      <c r="AA33" s="281">
        <f t="shared" si="7"/>
        <v>15143456.349596281</v>
      </c>
      <c r="AB33" s="282">
        <f t="shared" si="14"/>
        <v>36951512.840425</v>
      </c>
    </row>
    <row r="34" spans="1:28">
      <c r="A34" s="68" t="s">
        <v>29</v>
      </c>
      <c r="B34" s="9">
        <f>VLOOKUP(A34,Seguridad!$A$14:$F$67,6,FALSE)</f>
        <v>458649.81</v>
      </c>
      <c r="C34" s="9">
        <f>VLOOKUP(A34,Desarrollo!$A$13:$D$69,4,FALSE)</f>
        <v>260525.77</v>
      </c>
      <c r="D34" s="9">
        <f>IFERROR(VLOOKUP(A34,Ultracrecimiento!$A$6:$E$17,5,FALSE),0)</f>
        <v>0</v>
      </c>
      <c r="E34" s="9">
        <f>VLOOKUP(A34,Descentralizados!$A$6:$E$56,5,TRUE)/12</f>
        <v>153121.62531019375</v>
      </c>
      <c r="F34" s="66">
        <f t="shared" si="0"/>
        <v>872297.20531019371</v>
      </c>
      <c r="I34" s="272" t="s">
        <v>19</v>
      </c>
      <c r="J34" s="263">
        <f t="shared" si="9"/>
        <v>272154.18</v>
      </c>
      <c r="K34" s="263">
        <f t="shared" si="10"/>
        <v>0</v>
      </c>
      <c r="L34" s="263">
        <f t="shared" si="11"/>
        <v>192846.38868606859</v>
      </c>
      <c r="M34" s="222">
        <f t="shared" si="12"/>
        <v>431538.93</v>
      </c>
      <c r="N34" s="219">
        <f t="shared" si="5"/>
        <v>896539.49868606857</v>
      </c>
      <c r="P34" s="272" t="s">
        <v>19</v>
      </c>
      <c r="Q34" s="263">
        <v>3428899.93</v>
      </c>
      <c r="R34" s="263">
        <v>0</v>
      </c>
      <c r="S34" s="263">
        <v>2314156.6694885492</v>
      </c>
      <c r="T34" s="222">
        <v>5626028.1148718223</v>
      </c>
      <c r="U34" s="219">
        <f t="shared" si="13"/>
        <v>11369084.714360371</v>
      </c>
      <c r="W34" s="272" t="s">
        <v>19</v>
      </c>
      <c r="X34" s="280">
        <f t="shared" si="7"/>
        <v>3156745.75</v>
      </c>
      <c r="Y34" s="280">
        <f t="shared" si="7"/>
        <v>0</v>
      </c>
      <c r="Z34" s="280">
        <f t="shared" si="7"/>
        <v>2121310.2808024809</v>
      </c>
      <c r="AA34" s="281">
        <f t="shared" si="7"/>
        <v>5194489.1848718226</v>
      </c>
      <c r="AB34" s="282">
        <f t="shared" si="14"/>
        <v>10472545.215674303</v>
      </c>
    </row>
    <row r="35" spans="1:28">
      <c r="A35" s="68" t="s">
        <v>30</v>
      </c>
      <c r="B35" s="9">
        <f>VLOOKUP(A35,Seguridad!$A$14:$F$67,6,FALSE)</f>
        <v>392156.81</v>
      </c>
      <c r="C35" s="9">
        <f>VLOOKUP(A35,Desarrollo!$A$13:$D$69,4,FALSE)</f>
        <v>273727.01</v>
      </c>
      <c r="D35" s="9">
        <f>IFERROR(VLOOKUP(A35,Ultracrecimiento!$A$6:$E$17,5,FALSE),0)</f>
        <v>0</v>
      </c>
      <c r="E35" s="9">
        <f>VLOOKUP(A35,Descentralizados!$A$6:$E$56,5,TRUE)/12</f>
        <v>178350.28225100864</v>
      </c>
      <c r="F35" s="66">
        <f t="shared" si="0"/>
        <v>844234.10225100874</v>
      </c>
      <c r="I35" s="272" t="s">
        <v>21</v>
      </c>
      <c r="J35" s="263">
        <f t="shared" si="9"/>
        <v>401792.28</v>
      </c>
      <c r="K35" s="263">
        <f t="shared" si="10"/>
        <v>0</v>
      </c>
      <c r="L35" s="263">
        <f t="shared" si="11"/>
        <v>419650.41339484928</v>
      </c>
      <c r="M35" s="222">
        <f t="shared" si="12"/>
        <v>584982.94999999995</v>
      </c>
      <c r="N35" s="219">
        <f t="shared" si="5"/>
        <v>1406425.6433948493</v>
      </c>
      <c r="P35" s="272" t="s">
        <v>21</v>
      </c>
      <c r="Q35" s="263">
        <v>5110801.75</v>
      </c>
      <c r="R35" s="263">
        <v>0</v>
      </c>
      <c r="S35" s="263">
        <v>5084065.160310776</v>
      </c>
      <c r="T35" s="222">
        <v>8390780.4269991964</v>
      </c>
      <c r="U35" s="219">
        <f t="shared" si="13"/>
        <v>18585647.337309971</v>
      </c>
      <c r="W35" s="272" t="s">
        <v>21</v>
      </c>
      <c r="X35" s="280">
        <f t="shared" si="7"/>
        <v>4709009.47</v>
      </c>
      <c r="Y35" s="280">
        <f t="shared" si="7"/>
        <v>0</v>
      </c>
      <c r="Z35" s="280">
        <f t="shared" si="7"/>
        <v>4664414.7469159272</v>
      </c>
      <c r="AA35" s="281">
        <f t="shared" si="7"/>
        <v>7805797.4769991962</v>
      </c>
      <c r="AB35" s="282">
        <f t="shared" si="14"/>
        <v>17179221.693915125</v>
      </c>
    </row>
    <row r="36" spans="1:28">
      <c r="A36" s="68" t="s">
        <v>31</v>
      </c>
      <c r="B36" s="9">
        <f>VLOOKUP(A36,Seguridad!$A$14:$F$67,6,FALSE)</f>
        <v>2613034.5645643072</v>
      </c>
      <c r="C36" s="9">
        <f>VLOOKUP(A36,Desarrollo!$A$13:$D$69,4,FALSE)</f>
        <v>1147850.27</v>
      </c>
      <c r="D36" s="9">
        <f>IFERROR(VLOOKUP(A36,Ultracrecimiento!$A$6:$E$17,5,FALSE),0)</f>
        <v>1415871.5802274845</v>
      </c>
      <c r="E36" s="9">
        <f>VLOOKUP(A36,Descentralizados!$A$6:$E$56,5,TRUE)/12</f>
        <v>761955.68367224419</v>
      </c>
      <c r="F36" s="66">
        <f t="shared" si="0"/>
        <v>5938712.0984640364</v>
      </c>
      <c r="I36" s="272" t="s">
        <v>22</v>
      </c>
      <c r="J36" s="263">
        <f t="shared" si="9"/>
        <v>200087.43</v>
      </c>
      <c r="K36" s="263">
        <f t="shared" si="10"/>
        <v>0</v>
      </c>
      <c r="L36" s="263">
        <f t="shared" si="11"/>
        <v>214938.94040893766</v>
      </c>
      <c r="M36" s="222">
        <f t="shared" si="12"/>
        <v>365581.01</v>
      </c>
      <c r="N36" s="219">
        <f t="shared" si="5"/>
        <v>780607.38040893769</v>
      </c>
      <c r="P36" s="272" t="s">
        <v>22</v>
      </c>
      <c r="Q36" s="263">
        <v>2489961.59</v>
      </c>
      <c r="R36" s="263">
        <v>0</v>
      </c>
      <c r="S36" s="263">
        <v>2579267.2832715013</v>
      </c>
      <c r="T36" s="222">
        <v>4309832.6979241073</v>
      </c>
      <c r="U36" s="219">
        <f t="shared" si="13"/>
        <v>9379061.571195608</v>
      </c>
      <c r="W36" s="272" t="s">
        <v>22</v>
      </c>
      <c r="X36" s="280">
        <f t="shared" si="7"/>
        <v>2289874.1599999997</v>
      </c>
      <c r="Y36" s="280">
        <f t="shared" si="7"/>
        <v>0</v>
      </c>
      <c r="Z36" s="280">
        <f t="shared" si="7"/>
        <v>2364328.3428625637</v>
      </c>
      <c r="AA36" s="281">
        <f t="shared" si="7"/>
        <v>3944251.6879241075</v>
      </c>
      <c r="AB36" s="282">
        <f t="shared" si="14"/>
        <v>8598454.1907866709</v>
      </c>
    </row>
    <row r="37" spans="1:28">
      <c r="A37" s="68" t="s">
        <v>32</v>
      </c>
      <c r="B37" s="9">
        <f>VLOOKUP(A37,Seguridad!$A$14:$F$67,6,FALSE)</f>
        <v>428774.33</v>
      </c>
      <c r="C37" s="9">
        <f>VLOOKUP(A37,Desarrollo!$A$13:$D$69,4,FALSE)</f>
        <v>334254.59999999998</v>
      </c>
      <c r="D37" s="9">
        <f>IFERROR(VLOOKUP(A37,Ultracrecimiento!$A$6:$E$17,5,FALSE),0)</f>
        <v>0</v>
      </c>
      <c r="E37" s="9">
        <f>VLOOKUP(A37,Descentralizados!$A$6:$E$56,5,TRUE)/12</f>
        <v>406614.37476631813</v>
      </c>
      <c r="F37" s="66">
        <f t="shared" si="0"/>
        <v>1169643.3047663181</v>
      </c>
      <c r="I37" s="272" t="s">
        <v>23</v>
      </c>
      <c r="J37" s="263">
        <f t="shared" si="9"/>
        <v>359827.78</v>
      </c>
      <c r="K37" s="263">
        <f t="shared" si="10"/>
        <v>0</v>
      </c>
      <c r="L37" s="263">
        <f t="shared" si="11"/>
        <v>340332.44893929956</v>
      </c>
      <c r="M37" s="222">
        <f t="shared" si="12"/>
        <v>445379.75</v>
      </c>
      <c r="N37" s="219">
        <f t="shared" si="5"/>
        <v>1145539.9789392995</v>
      </c>
      <c r="P37" s="272" t="s">
        <v>23</v>
      </c>
      <c r="Q37" s="263">
        <v>4542437.33</v>
      </c>
      <c r="R37" s="263">
        <v>0</v>
      </c>
      <c r="S37" s="263">
        <v>4075084.6434160983</v>
      </c>
      <c r="T37" s="222">
        <v>5783912.209982574</v>
      </c>
      <c r="U37" s="219">
        <f t="shared" si="13"/>
        <v>14401434.183398671</v>
      </c>
      <c r="W37" s="272" t="s">
        <v>23</v>
      </c>
      <c r="X37" s="280">
        <f t="shared" si="7"/>
        <v>4182609.55</v>
      </c>
      <c r="Y37" s="280">
        <f t="shared" si="7"/>
        <v>0</v>
      </c>
      <c r="Z37" s="280">
        <f t="shared" si="7"/>
        <v>3734752.1944767986</v>
      </c>
      <c r="AA37" s="281">
        <f t="shared" si="7"/>
        <v>5338532.459982574</v>
      </c>
      <c r="AB37" s="282">
        <f t="shared" si="14"/>
        <v>13255894.204459373</v>
      </c>
    </row>
    <row r="38" spans="1:28">
      <c r="A38" s="68" t="s">
        <v>33</v>
      </c>
      <c r="B38" s="9">
        <f>VLOOKUP(A38,Seguridad!$A$14:$F$67,6,FALSE)</f>
        <v>1843445.05</v>
      </c>
      <c r="C38" s="9">
        <f>VLOOKUP(A38,Desarrollo!$A$13:$D$69,4,FALSE)</f>
        <v>765021.97</v>
      </c>
      <c r="D38" s="9">
        <f>IFERROR(VLOOKUP(A38,Ultracrecimiento!$A$6:$E$17,5,FALSE),0)</f>
        <v>0</v>
      </c>
      <c r="E38" s="9">
        <f>VLOOKUP(A38,Descentralizados!$A$6:$E$56,5,TRUE)/12</f>
        <v>1180575.9284750337</v>
      </c>
      <c r="F38" s="66">
        <f t="shared" si="0"/>
        <v>3789042.948475034</v>
      </c>
      <c r="I38" s="272" t="s">
        <v>24</v>
      </c>
      <c r="J38" s="263">
        <f t="shared" si="9"/>
        <v>372523.1</v>
      </c>
      <c r="K38" s="263">
        <f t="shared" si="10"/>
        <v>644695.09214550455</v>
      </c>
      <c r="L38" s="263">
        <f t="shared" si="11"/>
        <v>356899.62988831714</v>
      </c>
      <c r="M38" s="222">
        <f t="shared" si="12"/>
        <v>2155273.6800000002</v>
      </c>
      <c r="N38" s="219">
        <f t="shared" si="5"/>
        <v>3529391.5020338218</v>
      </c>
      <c r="P38" s="272" t="s">
        <v>24</v>
      </c>
      <c r="Q38" s="263">
        <v>4272366.3099999996</v>
      </c>
      <c r="R38" s="263">
        <v>7698938.29</v>
      </c>
      <c r="S38" s="263">
        <v>4282795.5591065371</v>
      </c>
      <c r="T38" s="222">
        <v>23971150.933050621</v>
      </c>
      <c r="U38" s="219">
        <f t="shared" si="13"/>
        <v>40225251.092157155</v>
      </c>
      <c r="W38" s="272" t="s">
        <v>24</v>
      </c>
      <c r="X38" s="280">
        <f t="shared" si="7"/>
        <v>3899843.2099999995</v>
      </c>
      <c r="Y38" s="280">
        <f t="shared" si="7"/>
        <v>7054243.1978544956</v>
      </c>
      <c r="Z38" s="280">
        <f t="shared" si="7"/>
        <v>3925895.9292182201</v>
      </c>
      <c r="AA38" s="281">
        <f t="shared" si="7"/>
        <v>21815877.253050622</v>
      </c>
      <c r="AB38" s="282">
        <f t="shared" si="14"/>
        <v>36695859.59012334</v>
      </c>
    </row>
    <row r="39" spans="1:28">
      <c r="A39" s="68" t="s">
        <v>34</v>
      </c>
      <c r="B39" s="9">
        <f>VLOOKUP(A39,Seguridad!$A$14:$F$67,6,FALSE)</f>
        <v>424636.36</v>
      </c>
      <c r="C39" s="9">
        <f>VLOOKUP(A39,Desarrollo!$A$13:$D$69,4,FALSE)</f>
        <v>321630.75</v>
      </c>
      <c r="D39" s="9">
        <f>IFERROR(VLOOKUP(A39,Ultracrecimiento!$A$6:$E$17,5,FALSE),0)</f>
        <v>0</v>
      </c>
      <c r="E39" s="9">
        <f>VLOOKUP(A39,Descentralizados!$A$6:$E$56,5,TRUE)/12</f>
        <v>264613.6527674587</v>
      </c>
      <c r="F39" s="66">
        <f t="shared" si="0"/>
        <v>1010880.7627674587</v>
      </c>
      <c r="I39" s="272" t="s">
        <v>26</v>
      </c>
      <c r="J39" s="263">
        <f t="shared" si="9"/>
        <v>228296.37</v>
      </c>
      <c r="K39" s="263">
        <f t="shared" si="10"/>
        <v>0</v>
      </c>
      <c r="L39" s="263">
        <f t="shared" si="11"/>
        <v>201348.38108117445</v>
      </c>
      <c r="M39" s="222">
        <f t="shared" si="12"/>
        <v>368274.26</v>
      </c>
      <c r="N39" s="219">
        <f t="shared" si="5"/>
        <v>797919.01108117448</v>
      </c>
      <c r="P39" s="272" t="s">
        <v>26</v>
      </c>
      <c r="Q39" s="263">
        <v>2859897.23</v>
      </c>
      <c r="R39" s="263">
        <v>0</v>
      </c>
      <c r="S39" s="263">
        <v>2416180.5686493949</v>
      </c>
      <c r="T39" s="222">
        <v>4523510.420630387</v>
      </c>
      <c r="U39" s="219">
        <f t="shared" si="13"/>
        <v>9799588.219279781</v>
      </c>
      <c r="W39" s="272" t="s">
        <v>26</v>
      </c>
      <c r="X39" s="280">
        <f t="shared" si="7"/>
        <v>2631600.86</v>
      </c>
      <c r="Y39" s="280">
        <f t="shared" si="7"/>
        <v>0</v>
      </c>
      <c r="Z39" s="280">
        <f t="shared" si="7"/>
        <v>2214832.1875682203</v>
      </c>
      <c r="AA39" s="281">
        <f t="shared" si="7"/>
        <v>4155236.1606303873</v>
      </c>
      <c r="AB39" s="282">
        <f t="shared" si="14"/>
        <v>9001669.208198607</v>
      </c>
    </row>
    <row r="40" spans="1:28">
      <c r="A40" s="68" t="s">
        <v>35</v>
      </c>
      <c r="B40" s="9">
        <f>VLOOKUP(A40,Seguridad!$A$14:$F$67,6,FALSE)</f>
        <v>359784.28</v>
      </c>
      <c r="C40" s="9">
        <f>VLOOKUP(A40,Desarrollo!$A$13:$D$69,4,FALSE)</f>
        <v>312888.82</v>
      </c>
      <c r="D40" s="9">
        <f>IFERROR(VLOOKUP(A40,Ultracrecimiento!$A$6:$E$17,5,FALSE),0)</f>
        <v>0</v>
      </c>
      <c r="E40" s="9">
        <f>VLOOKUP(A40,Descentralizados!$A$6:$E$56,5,TRUE)/12</f>
        <v>258289.40990648934</v>
      </c>
      <c r="F40" s="66">
        <f t="shared" si="0"/>
        <v>930962.5099064894</v>
      </c>
      <c r="I40" s="272" t="s">
        <v>27</v>
      </c>
      <c r="J40" s="263">
        <f t="shared" si="9"/>
        <v>292020.94</v>
      </c>
      <c r="K40" s="263">
        <f t="shared" si="10"/>
        <v>0</v>
      </c>
      <c r="L40" s="263">
        <f t="shared" si="11"/>
        <v>210306.25401232415</v>
      </c>
      <c r="M40" s="222">
        <f t="shared" si="12"/>
        <v>620244.93000000005</v>
      </c>
      <c r="N40" s="219">
        <f t="shared" si="5"/>
        <v>1122572.1240123243</v>
      </c>
      <c r="P40" s="272" t="s">
        <v>27</v>
      </c>
      <c r="Q40" s="263">
        <v>3663423.1</v>
      </c>
      <c r="R40" s="263">
        <v>0</v>
      </c>
      <c r="S40" s="263">
        <v>2514627.6235656175</v>
      </c>
      <c r="T40" s="222">
        <v>8106173.5713390261</v>
      </c>
      <c r="U40" s="219">
        <f t="shared" si="13"/>
        <v>14284224.294904644</v>
      </c>
      <c r="W40" s="272" t="s">
        <v>27</v>
      </c>
      <c r="X40" s="280">
        <f t="shared" si="7"/>
        <v>3371402.16</v>
      </c>
      <c r="Y40" s="280">
        <f t="shared" si="7"/>
        <v>0</v>
      </c>
      <c r="Z40" s="280">
        <f t="shared" si="7"/>
        <v>2304321.3695532931</v>
      </c>
      <c r="AA40" s="281">
        <f t="shared" si="7"/>
        <v>7485928.6413390264</v>
      </c>
      <c r="AB40" s="282">
        <f t="shared" si="14"/>
        <v>13161652.170892321</v>
      </c>
    </row>
    <row r="41" spans="1:28">
      <c r="A41" s="68" t="s">
        <v>36</v>
      </c>
      <c r="B41" s="9">
        <f>VLOOKUP(A41,Seguridad!$A$14:$F$67,6,FALSE)</f>
        <v>469815.21</v>
      </c>
      <c r="C41" s="9">
        <f>VLOOKUP(A41,Desarrollo!$A$13:$D$69,4,FALSE)</f>
        <v>313028.75</v>
      </c>
      <c r="D41" s="9">
        <f>IFERROR(VLOOKUP(A41,Ultracrecimiento!$A$6:$E$17,5,FALSE),0)</f>
        <v>0</v>
      </c>
      <c r="E41" s="9">
        <f>VLOOKUP(A41,Descentralizados!$A$6:$E$56,5,TRUE)/12</f>
        <v>251399.98200117677</v>
      </c>
      <c r="F41" s="66">
        <f t="shared" si="0"/>
        <v>1034243.9420011768</v>
      </c>
      <c r="I41" s="272" t="s">
        <v>28</v>
      </c>
      <c r="J41" s="263">
        <f t="shared" si="9"/>
        <v>253082.89</v>
      </c>
      <c r="K41" s="263">
        <f t="shared" si="10"/>
        <v>0</v>
      </c>
      <c r="L41" s="263">
        <f t="shared" si="11"/>
        <v>184361.89560164956</v>
      </c>
      <c r="M41" s="222">
        <f t="shared" si="12"/>
        <v>358054.18</v>
      </c>
      <c r="N41" s="219">
        <f t="shared" si="5"/>
        <v>795498.9656016496</v>
      </c>
      <c r="P41" s="272" t="s">
        <v>28</v>
      </c>
      <c r="Q41" s="263">
        <v>3180167.38</v>
      </c>
      <c r="R41" s="263">
        <v>0</v>
      </c>
      <c r="S41" s="263">
        <v>2212342.7648131964</v>
      </c>
      <c r="T41" s="222">
        <v>4448426.443068319</v>
      </c>
      <c r="U41" s="219">
        <f t="shared" si="13"/>
        <v>9840936.5878815167</v>
      </c>
      <c r="W41" s="272" t="s">
        <v>28</v>
      </c>
      <c r="X41" s="280">
        <f t="shared" si="7"/>
        <v>2927084.4899999998</v>
      </c>
      <c r="Y41" s="280">
        <f t="shared" si="7"/>
        <v>0</v>
      </c>
      <c r="Z41" s="280">
        <f t="shared" si="7"/>
        <v>2027980.8692115468</v>
      </c>
      <c r="AA41" s="281">
        <f t="shared" si="7"/>
        <v>4090372.2630683188</v>
      </c>
      <c r="AB41" s="282">
        <f t="shared" si="14"/>
        <v>9045437.6222798657</v>
      </c>
    </row>
    <row r="42" spans="1:28">
      <c r="A42" s="68" t="s">
        <v>37</v>
      </c>
      <c r="B42" s="9">
        <f>VLOOKUP(A42,Seguridad!$A$14:$F$67,6,FALSE)</f>
        <v>441206.1</v>
      </c>
      <c r="C42" s="9">
        <f>VLOOKUP(A42,Desarrollo!$A$13:$D$69,4,FALSE)</f>
        <v>349444.12</v>
      </c>
      <c r="D42" s="9">
        <f>IFERROR(VLOOKUP(A42,Ultracrecimiento!$A$6:$E$17,5,FALSE),0)</f>
        <v>0</v>
      </c>
      <c r="E42" s="9">
        <f>VLOOKUP(A42,Descentralizados!$A$6:$E$56,5,TRUE)/12</f>
        <v>318581.70918618486</v>
      </c>
      <c r="F42" s="66">
        <f t="shared" si="0"/>
        <v>1109231.9291861849</v>
      </c>
      <c r="I42" s="272" t="s">
        <v>29</v>
      </c>
      <c r="J42" s="263">
        <f t="shared" si="9"/>
        <v>260525.77</v>
      </c>
      <c r="K42" s="263">
        <f t="shared" si="10"/>
        <v>0</v>
      </c>
      <c r="L42" s="263">
        <f t="shared" si="11"/>
        <v>153121.62531019375</v>
      </c>
      <c r="M42" s="222">
        <f t="shared" si="12"/>
        <v>458649.81</v>
      </c>
      <c r="N42" s="219">
        <f t="shared" si="5"/>
        <v>872297.20531019382</v>
      </c>
      <c r="P42" s="272" t="s">
        <v>29</v>
      </c>
      <c r="Q42" s="263">
        <v>3282604.13</v>
      </c>
      <c r="R42" s="263">
        <v>0</v>
      </c>
      <c r="S42" s="263">
        <v>1838584.382485369</v>
      </c>
      <c r="T42" s="222">
        <v>6053977.1095141228</v>
      </c>
      <c r="U42" s="219">
        <f t="shared" si="13"/>
        <v>11175165.621999491</v>
      </c>
      <c r="W42" s="272" t="s">
        <v>29</v>
      </c>
      <c r="X42" s="280">
        <f t="shared" si="7"/>
        <v>3022078.36</v>
      </c>
      <c r="Y42" s="280">
        <f t="shared" si="7"/>
        <v>0</v>
      </c>
      <c r="Z42" s="280">
        <f t="shared" si="7"/>
        <v>1685462.7571751752</v>
      </c>
      <c r="AA42" s="281">
        <f t="shared" si="7"/>
        <v>5595327.2995141232</v>
      </c>
      <c r="AB42" s="282">
        <f t="shared" si="14"/>
        <v>10302868.416689299</v>
      </c>
    </row>
    <row r="43" spans="1:28">
      <c r="A43" s="68" t="s">
        <v>38</v>
      </c>
      <c r="B43" s="9">
        <f>VLOOKUP(A43,Seguridad!$A$14:$F$67,6,FALSE)</f>
        <v>1535986.26</v>
      </c>
      <c r="C43" s="9">
        <f>VLOOKUP(A43,Desarrollo!$A$13:$D$69,4,FALSE)</f>
        <v>593659.65</v>
      </c>
      <c r="D43" s="9">
        <f>IFERROR(VLOOKUP(A43,Ultracrecimiento!$A$6:$E$17,5,FALSE),0)</f>
        <v>0</v>
      </c>
      <c r="E43" s="9">
        <f>VLOOKUP(A43,Descentralizados!$A$6:$E$56,5,TRUE)/12</f>
        <v>1492133.0810552647</v>
      </c>
      <c r="F43" s="66">
        <f t="shared" si="0"/>
        <v>3621778.9910552651</v>
      </c>
      <c r="I43" s="272" t="s">
        <v>30</v>
      </c>
      <c r="J43" s="263">
        <f t="shared" si="9"/>
        <v>273727.01</v>
      </c>
      <c r="K43" s="263">
        <f t="shared" si="10"/>
        <v>0</v>
      </c>
      <c r="L43" s="263">
        <f t="shared" si="11"/>
        <v>178350.28225100864</v>
      </c>
      <c r="M43" s="222">
        <f t="shared" si="12"/>
        <v>392156.81</v>
      </c>
      <c r="N43" s="219">
        <f t="shared" si="5"/>
        <v>844234.10225100862</v>
      </c>
      <c r="P43" s="272" t="s">
        <v>30</v>
      </c>
      <c r="Q43" s="263">
        <v>3449773.37</v>
      </c>
      <c r="R43" s="263">
        <v>0</v>
      </c>
      <c r="S43" s="263">
        <v>2135349.105516287</v>
      </c>
      <c r="T43" s="222">
        <v>5059782.1497001778</v>
      </c>
      <c r="U43" s="219">
        <f t="shared" si="13"/>
        <v>10644904.625216465</v>
      </c>
      <c r="W43" s="272" t="s">
        <v>30</v>
      </c>
      <c r="X43" s="280">
        <f t="shared" si="7"/>
        <v>3176046.3600000003</v>
      </c>
      <c r="Y43" s="280">
        <f t="shared" si="7"/>
        <v>0</v>
      </c>
      <c r="Z43" s="280">
        <f t="shared" si="7"/>
        <v>1956998.8232652785</v>
      </c>
      <c r="AA43" s="281">
        <f t="shared" si="7"/>
        <v>4667625.3397001782</v>
      </c>
      <c r="AB43" s="282">
        <f t="shared" si="14"/>
        <v>9800670.5229654573</v>
      </c>
    </row>
    <row r="44" spans="1:28">
      <c r="A44" s="68" t="s">
        <v>39</v>
      </c>
      <c r="B44" s="9">
        <f>VLOOKUP(A44,Seguridad!$A$14:$F$67,6,FALSE)</f>
        <v>5859436.6816103319</v>
      </c>
      <c r="C44" s="9">
        <f>VLOOKUP(A44,Desarrollo!$A$13:$D$69,4,FALSE)</f>
        <v>5300130.49</v>
      </c>
      <c r="D44" s="9">
        <f>IFERROR(VLOOKUP(A44,Ultracrecimiento!$A$6:$E$17,5,FALSE),0)</f>
        <v>0</v>
      </c>
      <c r="E44" s="9">
        <f>VLOOKUP(A44,Descentralizados!$A$6:$E$56,5,TRUE)/12</f>
        <v>5972087.2592750229</v>
      </c>
      <c r="F44" s="66">
        <f t="shared" si="0"/>
        <v>17131654.430885356</v>
      </c>
      <c r="I44" s="272" t="s">
        <v>32</v>
      </c>
      <c r="J44" s="263">
        <f t="shared" si="9"/>
        <v>334254.59999999998</v>
      </c>
      <c r="K44" s="263">
        <f t="shared" si="10"/>
        <v>0</v>
      </c>
      <c r="L44" s="263">
        <f t="shared" si="11"/>
        <v>406614.37476631813</v>
      </c>
      <c r="M44" s="222">
        <f t="shared" si="12"/>
        <v>428774.33</v>
      </c>
      <c r="N44" s="219">
        <f t="shared" si="5"/>
        <v>1169643.3047663181</v>
      </c>
      <c r="P44" s="272" t="s">
        <v>32</v>
      </c>
      <c r="Q44" s="263">
        <v>4217740.58</v>
      </c>
      <c r="R44" s="263">
        <v>0</v>
      </c>
      <c r="S44" s="263">
        <v>4879372.4781305455</v>
      </c>
      <c r="T44" s="222">
        <v>5554505.4326881915</v>
      </c>
      <c r="U44" s="219">
        <f t="shared" si="13"/>
        <v>14651618.490818737</v>
      </c>
      <c r="W44" s="272" t="s">
        <v>32</v>
      </c>
      <c r="X44" s="280">
        <f t="shared" si="7"/>
        <v>3883485.98</v>
      </c>
      <c r="Y44" s="280">
        <f t="shared" si="7"/>
        <v>0</v>
      </c>
      <c r="Z44" s="280">
        <f t="shared" si="7"/>
        <v>4472758.1033642273</v>
      </c>
      <c r="AA44" s="281">
        <f t="shared" si="7"/>
        <v>5125731.1026881915</v>
      </c>
      <c r="AB44" s="282">
        <f t="shared" si="14"/>
        <v>13481975.186052419</v>
      </c>
    </row>
    <row r="45" spans="1:28">
      <c r="A45" s="68" t="s">
        <v>40</v>
      </c>
      <c r="B45" s="9">
        <f>VLOOKUP(A45,Seguridad!$A$14:$F$67,6,FALSE)</f>
        <v>349492.84</v>
      </c>
      <c r="C45" s="9">
        <f>VLOOKUP(A45,Desarrollo!$A$13:$D$69,4,FALSE)</f>
        <v>215857.46</v>
      </c>
      <c r="D45" s="9">
        <f>IFERROR(VLOOKUP(A45,Ultracrecimiento!$A$6:$E$17,5,FALSE),0)</f>
        <v>0</v>
      </c>
      <c r="E45" s="9">
        <f>VLOOKUP(A45,Descentralizados!$A$6:$E$56,5,TRUE)/12</f>
        <v>296299.24716636958</v>
      </c>
      <c r="F45" s="66">
        <f t="shared" si="0"/>
        <v>861649.54716636962</v>
      </c>
      <c r="I45" s="272" t="s">
        <v>33</v>
      </c>
      <c r="J45" s="263">
        <f t="shared" si="9"/>
        <v>765021.97</v>
      </c>
      <c r="K45" s="263">
        <f t="shared" si="10"/>
        <v>0</v>
      </c>
      <c r="L45" s="263">
        <f t="shared" si="11"/>
        <v>1180575.9284750337</v>
      </c>
      <c r="M45" s="222">
        <f t="shared" si="12"/>
        <v>1843445.05</v>
      </c>
      <c r="N45" s="219">
        <f t="shared" si="5"/>
        <v>3789042.948475034</v>
      </c>
      <c r="P45" s="272" t="s">
        <v>33</v>
      </c>
      <c r="Q45" s="263">
        <v>9783762.1400000006</v>
      </c>
      <c r="R45" s="263">
        <v>0</v>
      </c>
      <c r="S45" s="263">
        <v>14166911.147800267</v>
      </c>
      <c r="T45" s="222">
        <v>27698343.32120087</v>
      </c>
      <c r="U45" s="219">
        <f t="shared" si="13"/>
        <v>51649016.609001137</v>
      </c>
      <c r="W45" s="272" t="s">
        <v>33</v>
      </c>
      <c r="X45" s="280">
        <f t="shared" si="7"/>
        <v>9018740.1699999999</v>
      </c>
      <c r="Y45" s="280">
        <f t="shared" si="7"/>
        <v>0</v>
      </c>
      <c r="Z45" s="280">
        <f t="shared" si="7"/>
        <v>12986335.219325233</v>
      </c>
      <c r="AA45" s="281">
        <f t="shared" si="7"/>
        <v>25854898.271200869</v>
      </c>
      <c r="AB45" s="282">
        <f t="shared" si="14"/>
        <v>47859973.660526097</v>
      </c>
    </row>
    <row r="46" spans="1:28">
      <c r="A46" s="68" t="s">
        <v>41</v>
      </c>
      <c r="B46" s="9">
        <f>VLOOKUP(A46,Seguridad!$A$14:$F$67,6,FALSE)</f>
        <v>2966370.58</v>
      </c>
      <c r="C46" s="9">
        <f>VLOOKUP(A46,Desarrollo!$A$13:$D$69,4,FALSE)</f>
        <v>471750.40000000002</v>
      </c>
      <c r="D46" s="9">
        <f>IFERROR(VLOOKUP(A46,Ultracrecimiento!$A$6:$E$17,5,FALSE),0)</f>
        <v>733090.86235929187</v>
      </c>
      <c r="E46" s="9">
        <f>VLOOKUP(A46,Descentralizados!$A$6:$E$56,5,TRUE)/12</f>
        <v>506080.04448088742</v>
      </c>
      <c r="F46" s="66">
        <f t="shared" si="0"/>
        <v>4677291.8868401796</v>
      </c>
      <c r="I46" s="272" t="s">
        <v>34</v>
      </c>
      <c r="J46" s="263">
        <f t="shared" si="9"/>
        <v>321630.75</v>
      </c>
      <c r="K46" s="263">
        <f t="shared" si="10"/>
        <v>0</v>
      </c>
      <c r="L46" s="263">
        <f t="shared" si="11"/>
        <v>264613.6527674587</v>
      </c>
      <c r="M46" s="222">
        <f t="shared" si="12"/>
        <v>424636.36</v>
      </c>
      <c r="N46" s="219">
        <f t="shared" si="5"/>
        <v>1010880.7627674587</v>
      </c>
      <c r="P46" s="272" t="s">
        <v>34</v>
      </c>
      <c r="Q46" s="263">
        <v>4067941.47</v>
      </c>
      <c r="R46" s="263">
        <v>0</v>
      </c>
      <c r="S46" s="263">
        <v>3232742.8847484374</v>
      </c>
      <c r="T46" s="222">
        <v>5670841.0817171661</v>
      </c>
      <c r="U46" s="219">
        <f t="shared" si="13"/>
        <v>12971525.436465602</v>
      </c>
      <c r="W46" s="272" t="s">
        <v>34</v>
      </c>
      <c r="X46" s="280">
        <f t="shared" si="7"/>
        <v>3746310.72</v>
      </c>
      <c r="Y46" s="280">
        <f t="shared" si="7"/>
        <v>0</v>
      </c>
      <c r="Z46" s="280">
        <f t="shared" si="7"/>
        <v>2968129.2319809785</v>
      </c>
      <c r="AA46" s="281">
        <f t="shared" si="7"/>
        <v>5246204.7217171658</v>
      </c>
      <c r="AB46" s="282">
        <f t="shared" si="14"/>
        <v>11960644.673698144</v>
      </c>
    </row>
    <row r="47" spans="1:28">
      <c r="A47" s="68" t="s">
        <v>42</v>
      </c>
      <c r="B47" s="9">
        <f>VLOOKUP(A47,Seguridad!$A$14:$F$67,6,FALSE)</f>
        <v>429452.11</v>
      </c>
      <c r="C47" s="9">
        <f>VLOOKUP(A47,Desarrollo!$A$13:$D$69,4,FALSE)</f>
        <v>247492.08</v>
      </c>
      <c r="D47" s="9">
        <f>IFERROR(VLOOKUP(A47,Ultracrecimiento!$A$6:$E$17,5,FALSE),0)</f>
        <v>0</v>
      </c>
      <c r="E47" s="9">
        <f>VLOOKUP(A47,Descentralizados!$A$6:$E$56,5,TRUE)/12</f>
        <v>170664.01485201481</v>
      </c>
      <c r="F47" s="66">
        <f t="shared" si="0"/>
        <v>847608.20485201478</v>
      </c>
      <c r="I47" s="272" t="s">
        <v>35</v>
      </c>
      <c r="J47" s="263">
        <f t="shared" si="9"/>
        <v>312888.82</v>
      </c>
      <c r="K47" s="263">
        <f t="shared" si="10"/>
        <v>0</v>
      </c>
      <c r="L47" s="263">
        <f t="shared" si="11"/>
        <v>258289.40990648934</v>
      </c>
      <c r="M47" s="222">
        <f t="shared" si="12"/>
        <v>359784.28</v>
      </c>
      <c r="N47" s="219">
        <f t="shared" si="5"/>
        <v>930962.5099064894</v>
      </c>
      <c r="P47" s="272" t="s">
        <v>35</v>
      </c>
      <c r="Q47" s="263">
        <v>3929934.02</v>
      </c>
      <c r="R47" s="263">
        <v>0</v>
      </c>
      <c r="S47" s="263">
        <v>3099472.9192519151</v>
      </c>
      <c r="T47" s="222">
        <v>4283419.7572006918</v>
      </c>
      <c r="U47" s="219">
        <f t="shared" si="13"/>
        <v>11312826.696452606</v>
      </c>
      <c r="W47" s="272" t="s">
        <v>35</v>
      </c>
      <c r="X47" s="280">
        <f t="shared" si="7"/>
        <v>3617045.2</v>
      </c>
      <c r="Y47" s="280">
        <f t="shared" si="7"/>
        <v>0</v>
      </c>
      <c r="Z47" s="280">
        <f t="shared" si="7"/>
        <v>2841183.5093454258</v>
      </c>
      <c r="AA47" s="281">
        <f t="shared" si="7"/>
        <v>3923635.4772006916</v>
      </c>
      <c r="AB47" s="282">
        <f t="shared" si="14"/>
        <v>10381864.186546117</v>
      </c>
    </row>
    <row r="48" spans="1:28">
      <c r="A48" s="68" t="s">
        <v>43</v>
      </c>
      <c r="B48" s="9">
        <f>VLOOKUP(A48,Seguridad!$A$14:$F$67,6,FALSE)</f>
        <v>375729.76</v>
      </c>
      <c r="C48" s="9">
        <f>VLOOKUP(A48,Desarrollo!$A$13:$D$69,4,FALSE)</f>
        <v>293362.27</v>
      </c>
      <c r="D48" s="9">
        <f>IFERROR(VLOOKUP(A48,Ultracrecimiento!$A$6:$E$17,5,FALSE),0)</f>
        <v>0</v>
      </c>
      <c r="E48" s="9">
        <f>VLOOKUP(A48,Descentralizados!$A$6:$E$56,5,TRUE)/12</f>
        <v>215238.04648679288</v>
      </c>
      <c r="F48" s="66">
        <f t="shared" si="0"/>
        <v>884330.07648679288</v>
      </c>
      <c r="I48" s="272" t="s">
        <v>36</v>
      </c>
      <c r="J48" s="263">
        <f t="shared" si="9"/>
        <v>313028.75</v>
      </c>
      <c r="K48" s="263">
        <f t="shared" si="10"/>
        <v>0</v>
      </c>
      <c r="L48" s="263">
        <f t="shared" si="11"/>
        <v>251399.98200117677</v>
      </c>
      <c r="M48" s="222">
        <f t="shared" si="12"/>
        <v>469815.21</v>
      </c>
      <c r="N48" s="219">
        <f t="shared" si="5"/>
        <v>1034243.9420011768</v>
      </c>
      <c r="P48" s="272" t="s">
        <v>36</v>
      </c>
      <c r="Q48" s="263">
        <v>3942363.2</v>
      </c>
      <c r="R48" s="263">
        <v>0</v>
      </c>
      <c r="S48" s="263">
        <v>3009811.9212916601</v>
      </c>
      <c r="T48" s="222">
        <v>6076235.2056293599</v>
      </c>
      <c r="U48" s="219">
        <f t="shared" si="13"/>
        <v>13028410.32692102</v>
      </c>
      <c r="W48" s="272" t="s">
        <v>36</v>
      </c>
      <c r="X48" s="280">
        <f t="shared" si="7"/>
        <v>3629334.45</v>
      </c>
      <c r="Y48" s="280">
        <f t="shared" si="7"/>
        <v>0</v>
      </c>
      <c r="Z48" s="280">
        <f t="shared" si="7"/>
        <v>2758411.9392904835</v>
      </c>
      <c r="AA48" s="281">
        <f t="shared" si="7"/>
        <v>5606419.99562936</v>
      </c>
      <c r="AB48" s="282">
        <f t="shared" si="14"/>
        <v>11994166.384919845</v>
      </c>
    </row>
    <row r="49" spans="1:28">
      <c r="A49" s="68" t="s">
        <v>44</v>
      </c>
      <c r="B49" s="9">
        <f>VLOOKUP(A49,Seguridad!$A$14:$F$67,6,FALSE)</f>
        <v>952406.72</v>
      </c>
      <c r="C49" s="9">
        <f>VLOOKUP(A49,Desarrollo!$A$13:$D$69,4,FALSE)</f>
        <v>391221.37</v>
      </c>
      <c r="D49" s="9">
        <f>IFERROR(VLOOKUP(A49,Ultracrecimiento!$A$6:$E$17,5,FALSE),0)</f>
        <v>0</v>
      </c>
      <c r="E49" s="9">
        <f>VLOOKUP(A49,Descentralizados!$A$6:$E$56,5,TRUE)/12</f>
        <v>387676.73059520521</v>
      </c>
      <c r="F49" s="66">
        <f t="shared" si="0"/>
        <v>1731304.8205952051</v>
      </c>
      <c r="I49" s="272" t="s">
        <v>37</v>
      </c>
      <c r="J49" s="263">
        <f t="shared" si="9"/>
        <v>349444.12</v>
      </c>
      <c r="K49" s="263">
        <f t="shared" si="10"/>
        <v>0</v>
      </c>
      <c r="L49" s="263">
        <f t="shared" si="11"/>
        <v>318581.70918618486</v>
      </c>
      <c r="M49" s="222">
        <f t="shared" si="12"/>
        <v>441206.1</v>
      </c>
      <c r="N49" s="219">
        <f t="shared" si="5"/>
        <v>1109231.9291861849</v>
      </c>
      <c r="P49" s="272" t="s">
        <v>37</v>
      </c>
      <c r="Q49" s="263">
        <v>4401463.3600000003</v>
      </c>
      <c r="R49" s="263">
        <v>0</v>
      </c>
      <c r="S49" s="263">
        <v>3824822.6770570739</v>
      </c>
      <c r="T49" s="222">
        <v>5580621.5987967364</v>
      </c>
      <c r="U49" s="219">
        <f t="shared" si="13"/>
        <v>13806907.63585381</v>
      </c>
      <c r="W49" s="272" t="s">
        <v>37</v>
      </c>
      <c r="X49" s="280">
        <f t="shared" si="7"/>
        <v>4052019.24</v>
      </c>
      <c r="Y49" s="280">
        <f t="shared" si="7"/>
        <v>0</v>
      </c>
      <c r="Z49" s="280">
        <f t="shared" si="7"/>
        <v>3506240.9678708892</v>
      </c>
      <c r="AA49" s="281">
        <f t="shared" si="7"/>
        <v>5139415.4987967368</v>
      </c>
      <c r="AB49" s="282">
        <f t="shared" si="14"/>
        <v>12697675.706667626</v>
      </c>
    </row>
    <row r="50" spans="1:28">
      <c r="A50" s="68" t="s">
        <v>45</v>
      </c>
      <c r="B50" s="9">
        <f>VLOOKUP(A50,Seguridad!$A$14:$F$67,6,FALSE)</f>
        <v>752826.24678397458</v>
      </c>
      <c r="C50" s="9">
        <f>VLOOKUP(A50,Desarrollo!$A$13:$D$69,4,FALSE)</f>
        <v>705121.5</v>
      </c>
      <c r="D50" s="9">
        <f>IFERROR(VLOOKUP(A50,Ultracrecimiento!$A$6:$E$17,5,FALSE),0)</f>
        <v>669365.06284908508</v>
      </c>
      <c r="E50" s="9">
        <f>VLOOKUP(A50,Descentralizados!$A$6:$E$56,5,TRUE)/12</f>
        <v>206435.57797285033</v>
      </c>
      <c r="F50" s="66">
        <f t="shared" si="0"/>
        <v>2333748.3876059097</v>
      </c>
      <c r="I50" s="272" t="s">
        <v>38</v>
      </c>
      <c r="J50" s="263">
        <f t="shared" si="9"/>
        <v>593659.65</v>
      </c>
      <c r="K50" s="263">
        <f t="shared" si="10"/>
        <v>0</v>
      </c>
      <c r="L50" s="263">
        <f t="shared" si="11"/>
        <v>1492133.0810552647</v>
      </c>
      <c r="M50" s="222">
        <f t="shared" si="12"/>
        <v>1535986.26</v>
      </c>
      <c r="N50" s="219">
        <f t="shared" si="5"/>
        <v>3621778.9910552651</v>
      </c>
      <c r="P50" s="272" t="s">
        <v>38</v>
      </c>
      <c r="Q50" s="263">
        <v>7532728.4699999997</v>
      </c>
      <c r="R50" s="263">
        <v>0</v>
      </c>
      <c r="S50" s="263">
        <v>17905596.968442116</v>
      </c>
      <c r="T50" s="222">
        <v>22052503.047917143</v>
      </c>
      <c r="U50" s="219">
        <f t="shared" si="13"/>
        <v>47490828.486359254</v>
      </c>
      <c r="W50" s="272" t="s">
        <v>38</v>
      </c>
      <c r="X50" s="280">
        <f t="shared" si="7"/>
        <v>6939068.8199999994</v>
      </c>
      <c r="Y50" s="280">
        <f t="shared" si="7"/>
        <v>0</v>
      </c>
      <c r="Z50" s="280">
        <f t="shared" si="7"/>
        <v>16413463.887386851</v>
      </c>
      <c r="AA50" s="281">
        <f t="shared" si="7"/>
        <v>20516516.787917141</v>
      </c>
      <c r="AB50" s="282">
        <f t="shared" si="14"/>
        <v>43869049.495303988</v>
      </c>
    </row>
    <row r="51" spans="1:28">
      <c r="A51" s="68" t="s">
        <v>46</v>
      </c>
      <c r="B51" s="9">
        <f>VLOOKUP(A51,Seguridad!$A$14:$F$67,6,FALSE)</f>
        <v>2326217.1752926358</v>
      </c>
      <c r="C51" s="9">
        <f>VLOOKUP(A51,Desarrollo!$A$13:$D$69,4,FALSE)</f>
        <v>1695503.54</v>
      </c>
      <c r="D51" s="9">
        <f>IFERROR(VLOOKUP(A51,Ultracrecimiento!$A$6:$E$17,5,FALSE),0)</f>
        <v>0</v>
      </c>
      <c r="E51" s="9">
        <f>VLOOKUP(A51,Descentralizados!$A$6:$E$56,5,TRUE)/12</f>
        <v>1449131.2715002755</v>
      </c>
      <c r="F51" s="66">
        <f t="shared" si="0"/>
        <v>5470851.9867929108</v>
      </c>
      <c r="I51" s="272" t="s">
        <v>40</v>
      </c>
      <c r="J51" s="263">
        <f t="shared" si="9"/>
        <v>215857.46</v>
      </c>
      <c r="K51" s="263">
        <f t="shared" si="10"/>
        <v>0</v>
      </c>
      <c r="L51" s="263">
        <f t="shared" si="11"/>
        <v>296299.24716636958</v>
      </c>
      <c r="M51" s="222">
        <f t="shared" si="12"/>
        <v>349492.84</v>
      </c>
      <c r="N51" s="219">
        <f t="shared" si="5"/>
        <v>861649.54716636962</v>
      </c>
      <c r="P51" s="272" t="s">
        <v>40</v>
      </c>
      <c r="Q51" s="263">
        <v>2704054.81</v>
      </c>
      <c r="R51" s="263">
        <v>0</v>
      </c>
      <c r="S51" s="263">
        <v>3555590.9773309566</v>
      </c>
      <c r="T51" s="222">
        <v>4288168.1510386094</v>
      </c>
      <c r="U51" s="219">
        <f t="shared" si="13"/>
        <v>10547813.938369567</v>
      </c>
      <c r="W51" s="272" t="s">
        <v>40</v>
      </c>
      <c r="X51" s="280">
        <f t="shared" si="7"/>
        <v>2488197.35</v>
      </c>
      <c r="Y51" s="280">
        <f t="shared" si="7"/>
        <v>0</v>
      </c>
      <c r="Z51" s="280">
        <f t="shared" si="7"/>
        <v>3259291.730164587</v>
      </c>
      <c r="AA51" s="281">
        <f t="shared" si="7"/>
        <v>3938675.3110386096</v>
      </c>
      <c r="AB51" s="282">
        <f t="shared" si="14"/>
        <v>9686164.3912031967</v>
      </c>
    </row>
    <row r="52" spans="1:28">
      <c r="A52" s="68" t="s">
        <v>47</v>
      </c>
      <c r="B52" s="9">
        <f>VLOOKUP(A52,Seguridad!$A$14:$F$67,6,FALSE)</f>
        <v>972338.92167274968</v>
      </c>
      <c r="C52" s="9">
        <f>VLOOKUP(A52,Desarrollo!$A$13:$D$69,4,FALSE)</f>
        <v>3174252.14</v>
      </c>
      <c r="D52" s="9">
        <f>IFERROR(VLOOKUP(A52,Ultracrecimiento!$A$6:$E$17,5,FALSE),0)</f>
        <v>0</v>
      </c>
      <c r="E52" s="9">
        <f>VLOOKUP(A52,Descentralizados!$A$6:$E$56,5,TRUE)/12</f>
        <v>3304611.7261564187</v>
      </c>
      <c r="F52" s="66">
        <f t="shared" si="0"/>
        <v>7451202.7878291681</v>
      </c>
      <c r="I52" s="272" t="s">
        <v>41</v>
      </c>
      <c r="J52" s="263">
        <f t="shared" si="9"/>
        <v>471750.40000000002</v>
      </c>
      <c r="K52" s="263">
        <f t="shared" si="10"/>
        <v>733090.86235929187</v>
      </c>
      <c r="L52" s="263">
        <f t="shared" si="11"/>
        <v>506080.04448088742</v>
      </c>
      <c r="M52" s="222">
        <f t="shared" si="12"/>
        <v>2966370.58</v>
      </c>
      <c r="N52" s="219">
        <f t="shared" si="5"/>
        <v>4677291.8868401796</v>
      </c>
      <c r="P52" s="272" t="s">
        <v>41</v>
      </c>
      <c r="Q52" s="263">
        <v>5162583.18</v>
      </c>
      <c r="R52" s="263">
        <v>8397289.0500000007</v>
      </c>
      <c r="S52" s="263">
        <v>5175989.3842794793</v>
      </c>
      <c r="T52" s="222">
        <v>29869249.628973708</v>
      </c>
      <c r="U52" s="219">
        <f t="shared" si="13"/>
        <v>48605111.243253186</v>
      </c>
      <c r="W52" s="272" t="s">
        <v>41</v>
      </c>
      <c r="X52" s="280">
        <f t="shared" si="7"/>
        <v>4690832.7799999993</v>
      </c>
      <c r="Y52" s="280">
        <f t="shared" si="7"/>
        <v>7664198.1876407089</v>
      </c>
      <c r="Z52" s="280">
        <f t="shared" si="7"/>
        <v>4669909.339798592</v>
      </c>
      <c r="AA52" s="281">
        <f t="shared" si="7"/>
        <v>26902879.048973709</v>
      </c>
      <c r="AB52" s="282">
        <f t="shared" si="14"/>
        <v>43927819.356413007</v>
      </c>
    </row>
    <row r="53" spans="1:28">
      <c r="A53" s="68" t="s">
        <v>48</v>
      </c>
      <c r="B53" s="9">
        <f>VLOOKUP(A53,Seguridad!$A$14:$F$67,6,FALSE)</f>
        <v>1814327.1354450742</v>
      </c>
      <c r="C53" s="9">
        <f>VLOOKUP(A53,Desarrollo!$A$13:$D$69,4,FALSE)</f>
        <v>1191007.08</v>
      </c>
      <c r="D53" s="9">
        <f>IFERROR(VLOOKUP(A53,Ultracrecimiento!$A$6:$E$17,5,FALSE),0)</f>
        <v>1253641.6024098762</v>
      </c>
      <c r="E53" s="9">
        <f>VLOOKUP(A53,Descentralizados!$A$6:$E$56,5,TRUE)/12</f>
        <v>816107.30012516642</v>
      </c>
      <c r="F53" s="66">
        <f t="shared" si="0"/>
        <v>5075083.117980117</v>
      </c>
      <c r="I53" s="272" t="s">
        <v>42</v>
      </c>
      <c r="J53" s="263">
        <f t="shared" si="9"/>
        <v>247492.08</v>
      </c>
      <c r="K53" s="263">
        <f t="shared" si="10"/>
        <v>0</v>
      </c>
      <c r="L53" s="263">
        <f t="shared" si="11"/>
        <v>170664.01485201481</v>
      </c>
      <c r="M53" s="222">
        <f t="shared" si="12"/>
        <v>429452.11</v>
      </c>
      <c r="N53" s="219">
        <f t="shared" si="5"/>
        <v>847608.20485201478</v>
      </c>
      <c r="P53" s="272" t="s">
        <v>42</v>
      </c>
      <c r="Q53" s="263">
        <v>3098262.64</v>
      </c>
      <c r="R53" s="263">
        <v>0</v>
      </c>
      <c r="S53" s="263">
        <v>2047968.1588161183</v>
      </c>
      <c r="T53" s="222">
        <v>5326285.7538532885</v>
      </c>
      <c r="U53" s="219">
        <f t="shared" si="13"/>
        <v>10472516.552669406</v>
      </c>
      <c r="W53" s="272" t="s">
        <v>42</v>
      </c>
      <c r="X53" s="280">
        <f t="shared" si="7"/>
        <v>2850770.56</v>
      </c>
      <c r="Y53" s="280">
        <f t="shared" si="7"/>
        <v>0</v>
      </c>
      <c r="Z53" s="280">
        <f t="shared" si="7"/>
        <v>1877304.1439641034</v>
      </c>
      <c r="AA53" s="281">
        <f t="shared" si="7"/>
        <v>4896833.6438532881</v>
      </c>
      <c r="AB53" s="282">
        <f t="shared" si="14"/>
        <v>9624908.3478173912</v>
      </c>
    </row>
    <row r="54" spans="1:28">
      <c r="A54" s="68" t="s">
        <v>49</v>
      </c>
      <c r="B54" s="9">
        <f>VLOOKUP(A54,Seguridad!$A$14:$F$67,6,FALSE)</f>
        <v>559522.81380811369</v>
      </c>
      <c r="C54" s="9">
        <f>VLOOKUP(A54,Desarrollo!$A$13:$D$69,4,FALSE)</f>
        <v>824618.48</v>
      </c>
      <c r="D54" s="9">
        <f>IFERROR(VLOOKUP(A54,Ultracrecimiento!$A$6:$E$17,5,FALSE),0)</f>
        <v>704109.93704885</v>
      </c>
      <c r="E54" s="9">
        <f>VLOOKUP(A54,Descentralizados!$A$6:$E$56,5,TRUE)/12</f>
        <v>356376.0852055205</v>
      </c>
      <c r="F54" s="66">
        <f t="shared" si="0"/>
        <v>2444627.3160624844</v>
      </c>
      <c r="I54" s="272" t="s">
        <v>43</v>
      </c>
      <c r="J54" s="263">
        <f t="shared" si="9"/>
        <v>293362.27</v>
      </c>
      <c r="K54" s="263">
        <f t="shared" si="10"/>
        <v>0</v>
      </c>
      <c r="L54" s="263">
        <f t="shared" si="11"/>
        <v>215238.04648679288</v>
      </c>
      <c r="M54" s="222">
        <f t="shared" si="12"/>
        <v>375729.76</v>
      </c>
      <c r="N54" s="219">
        <f t="shared" si="5"/>
        <v>884330.07648679288</v>
      </c>
      <c r="P54" s="272" t="s">
        <v>43</v>
      </c>
      <c r="Q54" s="263">
        <v>3697671.94</v>
      </c>
      <c r="R54" s="263">
        <v>0</v>
      </c>
      <c r="S54" s="263">
        <v>2575427.3718657605</v>
      </c>
      <c r="T54" s="222">
        <v>4783484.9832563614</v>
      </c>
      <c r="U54" s="219">
        <f t="shared" si="13"/>
        <v>11056584.295122121</v>
      </c>
      <c r="W54" s="272" t="s">
        <v>43</v>
      </c>
      <c r="X54" s="280">
        <f t="shared" si="7"/>
        <v>3404309.67</v>
      </c>
      <c r="Y54" s="280">
        <f t="shared" si="7"/>
        <v>0</v>
      </c>
      <c r="Z54" s="280">
        <f t="shared" si="7"/>
        <v>2360189.3253789674</v>
      </c>
      <c r="AA54" s="281">
        <f t="shared" si="7"/>
        <v>4407755.2232563617</v>
      </c>
      <c r="AB54" s="282">
        <f t="shared" si="14"/>
        <v>10172254.218635328</v>
      </c>
    </row>
    <row r="55" spans="1:28">
      <c r="A55" s="68" t="s">
        <v>50</v>
      </c>
      <c r="B55" s="9">
        <f>VLOOKUP(A55,Seguridad!$A$14:$F$67,6,FALSE)</f>
        <v>361014.97</v>
      </c>
      <c r="C55" s="9">
        <f>VLOOKUP(A55,Desarrollo!$A$13:$D$69,4,FALSE)</f>
        <v>241398.44</v>
      </c>
      <c r="D55" s="9">
        <f>IFERROR(VLOOKUP(A55,Ultracrecimiento!$A$6:$E$17,5,FALSE),0)</f>
        <v>0</v>
      </c>
      <c r="E55" s="9">
        <f>VLOOKUP(A55,Descentralizados!$A$6:$E$56,5,TRUE)/12</f>
        <v>128262.3735957062</v>
      </c>
      <c r="F55" s="66">
        <f t="shared" si="0"/>
        <v>730675.7835957061</v>
      </c>
      <c r="I55" s="272" t="s">
        <v>44</v>
      </c>
      <c r="J55" s="263">
        <f t="shared" si="9"/>
        <v>391221.37</v>
      </c>
      <c r="K55" s="263">
        <f t="shared" si="10"/>
        <v>0</v>
      </c>
      <c r="L55" s="263">
        <f t="shared" si="11"/>
        <v>387676.73059520521</v>
      </c>
      <c r="M55" s="222">
        <f t="shared" si="12"/>
        <v>952406.72</v>
      </c>
      <c r="N55" s="219">
        <f t="shared" si="5"/>
        <v>1731304.8205952053</v>
      </c>
      <c r="P55" s="272" t="s">
        <v>44</v>
      </c>
      <c r="Q55" s="263">
        <v>5020702.67</v>
      </c>
      <c r="R55" s="263">
        <v>0</v>
      </c>
      <c r="S55" s="263">
        <v>4924118.101341052</v>
      </c>
      <c r="T55" s="222">
        <v>14522440.744824842</v>
      </c>
      <c r="U55" s="219">
        <f t="shared" si="13"/>
        <v>24467261.516165894</v>
      </c>
      <c r="W55" s="272" t="s">
        <v>44</v>
      </c>
      <c r="X55" s="280">
        <f t="shared" si="7"/>
        <v>4629481.3</v>
      </c>
      <c r="Y55" s="280">
        <f t="shared" si="7"/>
        <v>0</v>
      </c>
      <c r="Z55" s="280">
        <f t="shared" si="7"/>
        <v>4536441.370745847</v>
      </c>
      <c r="AA55" s="281">
        <f t="shared" si="7"/>
        <v>13570034.024824841</v>
      </c>
      <c r="AB55" s="282">
        <f t="shared" si="14"/>
        <v>22735956.695570685</v>
      </c>
    </row>
    <row r="56" spans="1:28">
      <c r="A56" s="68" t="s">
        <v>51</v>
      </c>
      <c r="B56" s="9">
        <f>VLOOKUP(A56,Seguridad!$A$14:$F$67,6,FALSE)</f>
        <v>397061.74</v>
      </c>
      <c r="C56" s="9">
        <f>VLOOKUP(A56,Desarrollo!$A$13:$D$69,4,FALSE)</f>
        <v>222014.27</v>
      </c>
      <c r="D56" s="9">
        <f>IFERROR(VLOOKUP(A56,Ultracrecimiento!$A$6:$E$17,5,FALSE),0)</f>
        <v>0</v>
      </c>
      <c r="E56" s="9">
        <f>VLOOKUP(A56,Descentralizados!$A$6:$E$56,5,TRUE)/12</f>
        <v>295638.69233756658</v>
      </c>
      <c r="F56" s="66">
        <f t="shared" si="0"/>
        <v>914714.70233756653</v>
      </c>
      <c r="I56" s="272" t="s">
        <v>50</v>
      </c>
      <c r="J56" s="263">
        <f t="shared" si="9"/>
        <v>241398.44</v>
      </c>
      <c r="K56" s="263">
        <f t="shared" si="10"/>
        <v>0</v>
      </c>
      <c r="L56" s="263">
        <f t="shared" si="11"/>
        <v>128262.3735957062</v>
      </c>
      <c r="M56" s="222">
        <f t="shared" si="12"/>
        <v>361014.97</v>
      </c>
      <c r="N56" s="219">
        <f t="shared" si="5"/>
        <v>730675.7835957061</v>
      </c>
      <c r="P56" s="272" t="s">
        <v>50</v>
      </c>
      <c r="Q56" s="263">
        <v>3030910.95</v>
      </c>
      <c r="R56" s="263">
        <v>0</v>
      </c>
      <c r="S56" s="263">
        <v>1539148.4687656499</v>
      </c>
      <c r="T56" s="222">
        <v>4484336.1714675697</v>
      </c>
      <c r="U56" s="219">
        <f t="shared" si="13"/>
        <v>9054395.5902332198</v>
      </c>
      <c r="W56" s="272" t="s">
        <v>50</v>
      </c>
      <c r="X56" s="280">
        <f t="shared" si="7"/>
        <v>2789512.5100000002</v>
      </c>
      <c r="Y56" s="280">
        <f t="shared" si="7"/>
        <v>0</v>
      </c>
      <c r="Z56" s="280">
        <f t="shared" si="7"/>
        <v>1410886.0951699438</v>
      </c>
      <c r="AA56" s="281">
        <f t="shared" si="7"/>
        <v>4123321.2014675699</v>
      </c>
      <c r="AB56" s="282">
        <f t="shared" si="14"/>
        <v>8323719.8066375144</v>
      </c>
    </row>
    <row r="57" spans="1:28" ht="13.5" thickBot="1">
      <c r="A57" s="69" t="s">
        <v>52</v>
      </c>
      <c r="B57" s="12">
        <f>SUM(B6:B56)</f>
        <v>56476786.255082943</v>
      </c>
      <c r="C57" s="12">
        <f>SUM(C6:C56)</f>
        <v>35195315.979999989</v>
      </c>
      <c r="D57" s="12">
        <f>SUM(D6:D56)</f>
        <v>12421876.213235216</v>
      </c>
      <c r="E57" s="12">
        <f>SUM(E6:E56)</f>
        <v>34273544.804294854</v>
      </c>
      <c r="F57" s="20">
        <f>SUM(F6:F56)</f>
        <v>138367523.25261304</v>
      </c>
      <c r="I57" s="272" t="s">
        <v>51</v>
      </c>
      <c r="J57" s="263">
        <f t="shared" si="9"/>
        <v>222014.27</v>
      </c>
      <c r="K57" s="263">
        <f t="shared" si="10"/>
        <v>0</v>
      </c>
      <c r="L57" s="263">
        <f t="shared" si="11"/>
        <v>295638.69233756658</v>
      </c>
      <c r="M57" s="222">
        <f t="shared" si="12"/>
        <v>397061.74</v>
      </c>
      <c r="N57" s="219">
        <f t="shared" si="5"/>
        <v>914714.70233756653</v>
      </c>
      <c r="P57" s="272" t="s">
        <v>51</v>
      </c>
      <c r="Q57" s="263">
        <v>2796166.36</v>
      </c>
      <c r="R57" s="263">
        <v>0</v>
      </c>
      <c r="S57" s="263">
        <v>3547664.2987005324</v>
      </c>
      <c r="T57" s="222">
        <v>5210840.4286689237</v>
      </c>
      <c r="U57" s="219">
        <f t="shared" si="13"/>
        <v>11554671.087369457</v>
      </c>
      <c r="W57" s="272" t="s">
        <v>51</v>
      </c>
      <c r="X57" s="280">
        <f t="shared" si="7"/>
        <v>2574152.09</v>
      </c>
      <c r="Y57" s="280">
        <f t="shared" si="7"/>
        <v>0</v>
      </c>
      <c r="Z57" s="280">
        <f t="shared" si="7"/>
        <v>3252025.6063629659</v>
      </c>
      <c r="AA57" s="281">
        <f t="shared" si="7"/>
        <v>4813778.6886689235</v>
      </c>
      <c r="AB57" s="282">
        <f t="shared" si="14"/>
        <v>10639956.38503189</v>
      </c>
    </row>
    <row r="58" spans="1:28" ht="14.25" thickTop="1" thickBot="1">
      <c r="I58" s="273" t="s">
        <v>150</v>
      </c>
      <c r="J58" s="274">
        <f>SUM(J19:J57)</f>
        <v>14078126.41</v>
      </c>
      <c r="K58" s="274">
        <f>SUM(K19:K57)</f>
        <v>2619829.7782455878</v>
      </c>
      <c r="L58" s="274">
        <f>SUM(L19:L57)</f>
        <v>15705881.924407234</v>
      </c>
      <c r="M58" s="275">
        <f>SUM(M19:M57)</f>
        <v>28790714.491357639</v>
      </c>
      <c r="N58" s="270">
        <f>SUM(N19:N57)</f>
        <v>61194552.60401047</v>
      </c>
      <c r="P58" s="273" t="s">
        <v>150</v>
      </c>
      <c r="Q58" s="274">
        <f>SUM(Q19:Q57)</f>
        <v>175540561.06999999</v>
      </c>
      <c r="R58" s="274">
        <f>SUM(R19:R57)</f>
        <v>30174112.359999999</v>
      </c>
      <c r="S58" s="274">
        <f>SUM(S19:S57)</f>
        <v>187348055.52167648</v>
      </c>
      <c r="T58" s="275">
        <f>SUM(T19:T57)</f>
        <v>358359035.66975993</v>
      </c>
      <c r="U58" s="270">
        <f>SUM(U19:U57)</f>
        <v>751421764.62143636</v>
      </c>
      <c r="W58" s="273" t="s">
        <v>150</v>
      </c>
      <c r="X58" s="283">
        <f>SUM(X19:X57)</f>
        <v>161462434.65999997</v>
      </c>
      <c r="Y58" s="283">
        <f>SUM(Y19:Y57)</f>
        <v>27554282.581754413</v>
      </c>
      <c r="Z58" s="283">
        <f>SUM(Z19:Z57)</f>
        <v>171642173.59726924</v>
      </c>
      <c r="AA58" s="284">
        <f>SUM(AA19:AA57)</f>
        <v>329568321.17840242</v>
      </c>
      <c r="AB58" s="285">
        <f>SUM(AB19:AB57)</f>
        <v>690227212.01742601</v>
      </c>
    </row>
    <row r="59" spans="1:28" ht="13.5" thickBot="1">
      <c r="I59" s="273" t="s">
        <v>52</v>
      </c>
      <c r="J59" s="274">
        <f>J58+J18</f>
        <v>35195315.980000004</v>
      </c>
      <c r="K59" s="274">
        <f>K58+K18</f>
        <v>12421876.213235214</v>
      </c>
      <c r="L59" s="274">
        <f>L58+L18</f>
        <v>34273544.804294869</v>
      </c>
      <c r="M59" s="275">
        <f>M58+M18</f>
        <v>56476786.255082965</v>
      </c>
      <c r="N59" s="270">
        <f>N58+N18</f>
        <v>138367523.25261307</v>
      </c>
      <c r="P59" s="273" t="s">
        <v>52</v>
      </c>
      <c r="Q59" s="274">
        <f>Q58+Q18</f>
        <v>438851402.67999995</v>
      </c>
      <c r="R59" s="274">
        <f>R58+R18</f>
        <v>154888730.36000001</v>
      </c>
      <c r="S59" s="274">
        <f>S58+S18</f>
        <v>410729830.90047014</v>
      </c>
      <c r="T59" s="275">
        <f>T58+T18</f>
        <v>709897589.17439985</v>
      </c>
      <c r="U59" s="270">
        <f>U58+U18</f>
        <v>1714367553.1148696</v>
      </c>
      <c r="W59" s="273" t="s">
        <v>52</v>
      </c>
      <c r="X59" s="283">
        <f>X58+X18</f>
        <v>403656086.69999993</v>
      </c>
      <c r="Y59" s="283">
        <f>Y58+Y18</f>
        <v>142466854.14676479</v>
      </c>
      <c r="Z59" s="283">
        <f>Z58+Z18</f>
        <v>376456286.09617519</v>
      </c>
      <c r="AA59" s="284">
        <f>AA58+AA18</f>
        <v>653420802.91931701</v>
      </c>
      <c r="AB59" s="285">
        <f>AB58+AB18</f>
        <v>1576000029.862257</v>
      </c>
    </row>
  </sheetData>
  <mergeCells count="16">
    <mergeCell ref="A1:F1"/>
    <mergeCell ref="I1:N1"/>
    <mergeCell ref="P1:U1"/>
    <mergeCell ref="W1:AB1"/>
    <mergeCell ref="A2:F2"/>
    <mergeCell ref="I2:N2"/>
    <mergeCell ref="P2:U2"/>
    <mergeCell ref="W2:AB2"/>
    <mergeCell ref="A3:F3"/>
    <mergeCell ref="I3:N3"/>
    <mergeCell ref="P3:U3"/>
    <mergeCell ref="W3:AB3"/>
    <mergeCell ref="A4:F4"/>
    <mergeCell ref="I4:N4"/>
    <mergeCell ref="P4:U4"/>
    <mergeCell ref="W4:AB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Q61"/>
  <sheetViews>
    <sheetView zoomScale="85" zoomScaleNormal="85" workbookViewId="0">
      <pane xSplit="1" ySplit="4" topLeftCell="AL38" activePane="bottomRight" state="frozen"/>
      <selection pane="topRight" activeCell="B1" sqref="B1"/>
      <selection pane="bottomLeft" activeCell="A5" sqref="A5"/>
      <selection pane="bottomRight" activeCell="AR55" sqref="AR55"/>
    </sheetView>
  </sheetViews>
  <sheetFormatPr baseColWidth="10" defaultColWidth="11.42578125" defaultRowHeight="12.75"/>
  <cols>
    <col min="1" max="1" width="34" style="1" customWidth="1"/>
    <col min="2" max="2" width="16.140625" style="94" customWidth="1"/>
    <col min="3" max="3" width="18.85546875" style="94" customWidth="1"/>
    <col min="4" max="4" width="16.140625" style="94" customWidth="1"/>
    <col min="5" max="7" width="15" style="1" customWidth="1"/>
    <col min="8" max="8" width="18.7109375" style="1" customWidth="1"/>
    <col min="9" max="10" width="17.42578125" style="1" customWidth="1"/>
    <col min="11" max="26" width="16.7109375" style="1" customWidth="1"/>
    <col min="27" max="27" width="22.42578125" style="1" bestFit="1" customWidth="1"/>
    <col min="28" max="42" width="16.7109375" style="1" customWidth="1"/>
    <col min="43" max="43" width="23.85546875" style="1" bestFit="1" customWidth="1"/>
    <col min="44" max="16384" width="11.42578125" style="1"/>
  </cols>
  <sheetData>
    <row r="1" spans="1:43" ht="15">
      <c r="A1" s="168">
        <v>1</v>
      </c>
      <c r="B1" s="168">
        <v>2</v>
      </c>
      <c r="C1" s="168"/>
      <c r="D1" s="168">
        <v>3</v>
      </c>
      <c r="E1" s="168">
        <v>4</v>
      </c>
      <c r="F1" s="168">
        <v>5</v>
      </c>
      <c r="G1" s="168">
        <v>6</v>
      </c>
      <c r="H1" s="168">
        <v>7</v>
      </c>
      <c r="I1" s="168">
        <v>8</v>
      </c>
      <c r="J1" s="168">
        <v>9</v>
      </c>
      <c r="K1" s="168">
        <v>10</v>
      </c>
      <c r="L1" s="168">
        <v>11</v>
      </c>
      <c r="M1" s="168">
        <v>12</v>
      </c>
      <c r="N1" s="168">
        <v>13</v>
      </c>
      <c r="O1" s="168">
        <v>14</v>
      </c>
      <c r="P1" s="168">
        <v>15</v>
      </c>
      <c r="Q1" s="168">
        <v>16</v>
      </c>
      <c r="R1" s="168">
        <v>17</v>
      </c>
      <c r="S1" s="168">
        <v>18</v>
      </c>
      <c r="T1" s="168">
        <v>19</v>
      </c>
      <c r="U1" s="168">
        <v>20</v>
      </c>
      <c r="V1" s="168">
        <v>21</v>
      </c>
      <c r="W1" s="168">
        <v>22</v>
      </c>
      <c r="X1" s="168">
        <v>23</v>
      </c>
      <c r="Y1" s="168">
        <v>24</v>
      </c>
      <c r="Z1" s="168">
        <v>25</v>
      </c>
      <c r="AA1" s="168">
        <v>26</v>
      </c>
      <c r="AB1" s="168">
        <v>27</v>
      </c>
      <c r="AC1" s="168">
        <v>28</v>
      </c>
      <c r="AD1" s="168">
        <v>29</v>
      </c>
      <c r="AE1" s="168">
        <v>30</v>
      </c>
      <c r="AF1" s="168">
        <v>31</v>
      </c>
      <c r="AG1" s="168">
        <v>32</v>
      </c>
      <c r="AH1" s="168">
        <v>33</v>
      </c>
      <c r="AI1" s="168">
        <v>34</v>
      </c>
      <c r="AJ1" s="168">
        <v>35</v>
      </c>
      <c r="AK1" s="168">
        <v>36</v>
      </c>
      <c r="AL1" s="168">
        <v>37</v>
      </c>
      <c r="AM1" s="168">
        <v>38</v>
      </c>
      <c r="AN1" s="168">
        <v>39</v>
      </c>
      <c r="AO1" s="168">
        <v>40</v>
      </c>
      <c r="AP1" s="168">
        <v>41</v>
      </c>
      <c r="AQ1" s="168">
        <v>42</v>
      </c>
    </row>
    <row r="2" spans="1:43">
      <c r="A2" s="334" t="s">
        <v>62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B2" s="72"/>
      <c r="AC2" s="72"/>
      <c r="AD2" s="72"/>
      <c r="AE2" s="72"/>
      <c r="AF2" s="72"/>
      <c r="AG2" s="72"/>
      <c r="AH2" s="72"/>
      <c r="AI2" s="72"/>
      <c r="AJ2" s="92"/>
      <c r="AK2" s="92"/>
      <c r="AL2" s="92"/>
      <c r="AM2" s="92"/>
      <c r="AN2" s="92"/>
      <c r="AO2" s="92"/>
      <c r="AP2" s="92"/>
      <c r="AQ2" s="92"/>
    </row>
    <row r="3" spans="1:43" s="34" customFormat="1" ht="21" customHeight="1" thickBot="1">
      <c r="B3" s="94"/>
      <c r="C3" s="94"/>
      <c r="D3" s="94"/>
      <c r="E3" s="335" t="s">
        <v>78</v>
      </c>
      <c r="F3" s="335"/>
      <c r="G3" s="335"/>
      <c r="H3" s="335"/>
      <c r="I3" s="335"/>
      <c r="J3" s="335"/>
      <c r="K3" s="337" t="s">
        <v>79</v>
      </c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40"/>
      <c r="X3" s="336" t="s">
        <v>89</v>
      </c>
      <c r="Y3" s="336"/>
      <c r="Z3" s="336"/>
      <c r="AA3" s="41" t="s">
        <v>202</v>
      </c>
      <c r="AB3" s="333" t="s">
        <v>118</v>
      </c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  <c r="AO3" s="333"/>
      <c r="AP3" s="332" t="s">
        <v>116</v>
      </c>
      <c r="AQ3" s="332"/>
    </row>
    <row r="4" spans="1:43" ht="60" customHeight="1" thickTop="1">
      <c r="A4" s="15" t="s">
        <v>65</v>
      </c>
      <c r="B4" s="95" t="s">
        <v>110</v>
      </c>
      <c r="C4" s="245" t="s">
        <v>177</v>
      </c>
      <c r="D4" s="95" t="s">
        <v>111</v>
      </c>
      <c r="E4" s="76" t="s">
        <v>64</v>
      </c>
      <c r="F4" s="75" t="s">
        <v>63</v>
      </c>
      <c r="G4" s="75" t="s">
        <v>198</v>
      </c>
      <c r="H4" s="75" t="s">
        <v>199</v>
      </c>
      <c r="I4" s="16" t="s">
        <v>66</v>
      </c>
      <c r="J4" s="16" t="s">
        <v>67</v>
      </c>
      <c r="K4" s="28" t="s">
        <v>81</v>
      </c>
      <c r="L4" s="16" t="s">
        <v>83</v>
      </c>
      <c r="M4" s="16" t="s">
        <v>82</v>
      </c>
      <c r="N4" s="16" t="s">
        <v>80</v>
      </c>
      <c r="O4" s="16" t="s">
        <v>98</v>
      </c>
      <c r="P4" s="16" t="s">
        <v>84</v>
      </c>
      <c r="Q4" s="16" t="s">
        <v>85</v>
      </c>
      <c r="R4" s="16" t="s">
        <v>86</v>
      </c>
      <c r="S4" s="16" t="s">
        <v>87</v>
      </c>
      <c r="T4" s="16" t="s">
        <v>99</v>
      </c>
      <c r="U4" s="16" t="s">
        <v>90</v>
      </c>
      <c r="V4" s="16" t="s">
        <v>91</v>
      </c>
      <c r="W4" s="16" t="s">
        <v>100</v>
      </c>
      <c r="X4" s="79" t="s">
        <v>88</v>
      </c>
      <c r="Y4" s="88" t="s">
        <v>201</v>
      </c>
      <c r="Z4" s="80" t="s">
        <v>103</v>
      </c>
      <c r="AA4" s="31" t="s">
        <v>200</v>
      </c>
      <c r="AB4" s="89" t="s">
        <v>93</v>
      </c>
      <c r="AC4" s="85" t="s">
        <v>92</v>
      </c>
      <c r="AD4" s="86" t="s">
        <v>94</v>
      </c>
      <c r="AE4" s="86" t="s">
        <v>95</v>
      </c>
      <c r="AF4" s="85" t="s">
        <v>96</v>
      </c>
      <c r="AG4" s="85" t="s">
        <v>101</v>
      </c>
      <c r="AH4" s="85" t="s">
        <v>97</v>
      </c>
      <c r="AI4" s="85" t="s">
        <v>102</v>
      </c>
      <c r="AJ4" s="85" t="s">
        <v>152</v>
      </c>
      <c r="AK4" s="85" t="s">
        <v>153</v>
      </c>
      <c r="AL4" s="85" t="s">
        <v>154</v>
      </c>
      <c r="AM4" s="85" t="s">
        <v>155</v>
      </c>
      <c r="AN4" s="85" t="s">
        <v>136</v>
      </c>
      <c r="AO4" s="85" t="s">
        <v>137</v>
      </c>
      <c r="AP4" s="100" t="s">
        <v>122</v>
      </c>
      <c r="AQ4" s="87" t="s">
        <v>124</v>
      </c>
    </row>
    <row r="5" spans="1:43">
      <c r="A5" s="343" t="s">
        <v>1</v>
      </c>
      <c r="B5" s="96" t="s">
        <v>112</v>
      </c>
      <c r="C5" s="96" t="s">
        <v>112</v>
      </c>
      <c r="D5" s="96" t="s">
        <v>113</v>
      </c>
      <c r="E5" s="77">
        <v>121403</v>
      </c>
      <c r="F5" s="18">
        <v>501046</v>
      </c>
      <c r="G5" s="18">
        <v>110684</v>
      </c>
      <c r="H5" s="18">
        <v>558823</v>
      </c>
      <c r="I5" s="14">
        <f t="shared" ref="I5:I36" si="0">G5/H5</f>
        <v>0.19806629290490907</v>
      </c>
      <c r="J5" s="14">
        <f t="shared" ref="J5:J36" si="1">(G5-E5)/E5</f>
        <v>-8.8292711053268871E-2</v>
      </c>
      <c r="K5" s="29">
        <v>334</v>
      </c>
      <c r="L5" s="30">
        <v>78</v>
      </c>
      <c r="M5" s="30">
        <v>539</v>
      </c>
      <c r="N5" s="30">
        <v>28</v>
      </c>
      <c r="O5" s="61">
        <f t="shared" ref="O5:O36" si="2">0.25*(K5/$K$56)+0.25*(L5/$L$56)+0.25*(M5/$M$56)+0.25*(N5/$N$56)</f>
        <v>9.9915696601149016E-4</v>
      </c>
      <c r="P5" s="30">
        <v>194.999999997044</v>
      </c>
      <c r="Q5" s="30">
        <v>51</v>
      </c>
      <c r="R5" s="30">
        <v>69</v>
      </c>
      <c r="S5" s="30">
        <v>52</v>
      </c>
      <c r="T5" s="61">
        <f t="shared" ref="T5:T36" si="3">0.25*(P5/$P$56)+0.25*(Q5/$Q$56)+0.25*(R5/$R$56)+0.25*(S5/$S$56)</f>
        <v>1.4146606123147524E-3</v>
      </c>
      <c r="U5" s="14">
        <f>IFERROR((T5-O5)/O5,0)</f>
        <v>0.415854225549666</v>
      </c>
      <c r="V5" s="14">
        <f>IF(U5&lt;0,U5*-1,0)</f>
        <v>0</v>
      </c>
      <c r="W5" s="14">
        <f t="shared" ref="W5:W36" si="4">IFERROR(V5/$V$56,0)</f>
        <v>0</v>
      </c>
      <c r="X5" s="81">
        <v>47.45</v>
      </c>
      <c r="Y5" s="18">
        <v>2974</v>
      </c>
      <c r="Z5" s="82">
        <v>2911</v>
      </c>
      <c r="AA5" s="74">
        <v>1718741.9791512869</v>
      </c>
      <c r="AB5" s="90">
        <f>(G5/F5)*G5</f>
        <v>24450.744753974686</v>
      </c>
      <c r="AC5" s="36">
        <f t="shared" ref="AC5:AC36" si="5">AB5/$AB$56</f>
        <v>1.4058873788201115E-5</v>
      </c>
      <c r="AD5" s="32">
        <f>0.85*Y5/$Y$56</f>
        <v>4.3701708825155477E-4</v>
      </c>
      <c r="AE5" s="32">
        <f>0.15*X5/$X$56</f>
        <v>1.1082971790469467E-4</v>
      </c>
      <c r="AF5" s="36">
        <f>AD5+AE5</f>
        <v>5.4784680615624945E-4</v>
      </c>
      <c r="AG5" s="32">
        <f>0.85*T5</f>
        <v>1.2024615204675394E-3</v>
      </c>
      <c r="AH5" s="32">
        <f>0.15*W5</f>
        <v>0</v>
      </c>
      <c r="AI5" s="36">
        <f>AH5+AG5</f>
        <v>1.2024615204675394E-3</v>
      </c>
      <c r="AJ5" s="129">
        <f>IF('Datos Mun'!B5="AMM",Y5,0)</f>
        <v>0</v>
      </c>
      <c r="AK5" s="36">
        <f>AJ5/$AJ$56</f>
        <v>0</v>
      </c>
      <c r="AL5" s="129">
        <f>IF('Datos Mun'!B5="AMM",0,Y5)</f>
        <v>2974</v>
      </c>
      <c r="AM5" s="36">
        <f>AL5/$AL$56</f>
        <v>3.3592259548210087E-3</v>
      </c>
      <c r="AN5" s="129">
        <f>IF(D5="Zona de Crec",Y5,0)</f>
        <v>0</v>
      </c>
      <c r="AO5" s="36">
        <f>AN5/$AN$56</f>
        <v>0</v>
      </c>
      <c r="AP5" s="101">
        <f>IF('Datos Mun'!B5="AMM",'Art 14 F I'!F7,'Art 14 F I'!M7)</f>
        <v>2.1860281821536225E-3</v>
      </c>
      <c r="AQ5" s="38">
        <f>IF('Datos Mun'!D5="Zona de Crec",'Art 14 F I'!T7,0)</f>
        <v>0</v>
      </c>
    </row>
    <row r="6" spans="1:43">
      <c r="A6" s="17" t="s">
        <v>2</v>
      </c>
      <c r="B6" s="96" t="s">
        <v>112</v>
      </c>
      <c r="C6" s="96" t="s">
        <v>112</v>
      </c>
      <c r="D6" s="96" t="s">
        <v>113</v>
      </c>
      <c r="E6" s="77">
        <v>836482</v>
      </c>
      <c r="F6" s="18">
        <v>2275034</v>
      </c>
      <c r="G6" s="18">
        <v>953414</v>
      </c>
      <c r="H6" s="18">
        <v>2588435</v>
      </c>
      <c r="I6" s="14">
        <f t="shared" si="0"/>
        <v>0.368336079522955</v>
      </c>
      <c r="J6" s="14">
        <f t="shared" si="1"/>
        <v>0.13979021664542693</v>
      </c>
      <c r="K6" s="8">
        <v>768</v>
      </c>
      <c r="L6" s="9">
        <v>191</v>
      </c>
      <c r="M6" s="9">
        <v>961</v>
      </c>
      <c r="N6" s="9">
        <v>102</v>
      </c>
      <c r="O6" s="14">
        <f t="shared" si="2"/>
        <v>2.3625109877890441E-3</v>
      </c>
      <c r="P6" s="9">
        <v>468.99999999269994</v>
      </c>
      <c r="Q6" s="9">
        <v>120</v>
      </c>
      <c r="R6" s="9">
        <v>175</v>
      </c>
      <c r="S6" s="9">
        <v>44</v>
      </c>
      <c r="T6" s="14">
        <f t="shared" si="3"/>
        <v>1.9352079794187835E-3</v>
      </c>
      <c r="U6" s="14">
        <f t="shared" ref="U6:U55" si="6">IFERROR((T6-O6)/O6,0)</f>
        <v>-0.1808681570493571</v>
      </c>
      <c r="V6" s="14">
        <f t="shared" ref="V6:V55" si="7">IF(U6&lt;0,U6*-1,0)</f>
        <v>0.1808681570493571</v>
      </c>
      <c r="W6" s="14">
        <f t="shared" si="4"/>
        <v>3.3703048799913031E-2</v>
      </c>
      <c r="X6" s="81">
        <v>978.99</v>
      </c>
      <c r="Y6" s="18">
        <v>3382</v>
      </c>
      <c r="Z6" s="82">
        <v>2627</v>
      </c>
      <c r="AA6" s="74">
        <v>2900632.6783973104</v>
      </c>
      <c r="AB6" s="90">
        <f t="shared" ref="AB6:AB55" si="8">(G6/F6)*G6</f>
        <v>399553.70134951826</v>
      </c>
      <c r="AC6" s="36">
        <f t="shared" si="5"/>
        <v>2.297384032839466E-4</v>
      </c>
      <c r="AD6" s="32">
        <f t="shared" ref="AD6:AD55" si="9">0.85*Y6/$Y$56</f>
        <v>4.9697101293435045E-4</v>
      </c>
      <c r="AE6" s="32">
        <f t="shared" ref="AE6:AE55" si="10">0.15*X6/$X$56</f>
        <v>2.2866424769550481E-3</v>
      </c>
      <c r="AF6" s="36">
        <f t="shared" ref="AF6:AF55" si="11">AD6+AE6</f>
        <v>2.7836134898893985E-3</v>
      </c>
      <c r="AG6" s="32">
        <f t="shared" ref="AG6:AG55" si="12">0.85*T6</f>
        <v>1.644926782505966E-3</v>
      </c>
      <c r="AH6" s="32">
        <f t="shared" ref="AH6:AH55" si="13">0.15*W6</f>
        <v>5.0554573199869546E-3</v>
      </c>
      <c r="AI6" s="36">
        <f t="shared" ref="AI6:AI55" si="14">AH6+AG6</f>
        <v>6.7003841024929206E-3</v>
      </c>
      <c r="AJ6" s="129">
        <f>IF('Datos Mun'!B6="AMM",Y6,0)</f>
        <v>0</v>
      </c>
      <c r="AK6" s="36">
        <f t="shared" ref="AK6:AK55" si="15">AJ6/$AJ$56</f>
        <v>0</v>
      </c>
      <c r="AL6" s="129">
        <f>IF('Datos Mun'!B6="AMM",0,Y6)</f>
        <v>3382</v>
      </c>
      <c r="AM6" s="36">
        <f t="shared" ref="AM6:AM55" si="16">AL6/$AL$56</f>
        <v>3.8200747071972601E-3</v>
      </c>
      <c r="AN6" s="129">
        <f t="shared" ref="AN6:AN55" si="17">IF(D6="Zona de Crec",Y6,0)</f>
        <v>0</v>
      </c>
      <c r="AO6" s="36">
        <f t="shared" ref="AO6:AO55" si="18">AN6/$AN$56</f>
        <v>0</v>
      </c>
      <c r="AP6" s="101">
        <f>IF('Datos Mun'!B6="AMM",'Art 14 F I'!F8,'Art 14 F I'!M8)</f>
        <v>1.2222445217130456E-2</v>
      </c>
      <c r="AQ6" s="38">
        <f>IF('Datos Mun'!D6="Zona de Crec",'Art 14 F I'!T8,0)</f>
        <v>0</v>
      </c>
    </row>
    <row r="7" spans="1:43">
      <c r="A7" s="17" t="s">
        <v>3</v>
      </c>
      <c r="B7" s="96" t="s">
        <v>112</v>
      </c>
      <c r="C7" s="96" t="s">
        <v>112</v>
      </c>
      <c r="D7" s="96" t="s">
        <v>113</v>
      </c>
      <c r="E7" s="77">
        <v>248385</v>
      </c>
      <c r="F7" s="18">
        <v>1068579</v>
      </c>
      <c r="G7" s="18">
        <v>293401</v>
      </c>
      <c r="H7" s="18">
        <v>1115974</v>
      </c>
      <c r="I7" s="14">
        <f t="shared" si="0"/>
        <v>0.26291024701292326</v>
      </c>
      <c r="J7" s="14">
        <f t="shared" si="1"/>
        <v>0.18123477665720555</v>
      </c>
      <c r="K7" s="8">
        <v>363</v>
      </c>
      <c r="L7" s="9">
        <v>91</v>
      </c>
      <c r="M7" s="9">
        <v>728</v>
      </c>
      <c r="N7" s="9">
        <v>81</v>
      </c>
      <c r="O7" s="14">
        <f t="shared" si="2"/>
        <v>1.5329909308086662E-3</v>
      </c>
      <c r="P7" s="9">
        <v>209.00000000199</v>
      </c>
      <c r="Q7" s="9">
        <v>60</v>
      </c>
      <c r="R7" s="9">
        <v>193</v>
      </c>
      <c r="S7" s="9">
        <v>19</v>
      </c>
      <c r="T7" s="14">
        <f t="shared" si="3"/>
        <v>1.107137155609233E-3</v>
      </c>
      <c r="U7" s="14">
        <f t="shared" si="6"/>
        <v>-0.27779275574369616</v>
      </c>
      <c r="V7" s="14">
        <f t="shared" si="7"/>
        <v>0.27779275574369616</v>
      </c>
      <c r="W7" s="14">
        <f t="shared" si="4"/>
        <v>5.1764019470476444E-2</v>
      </c>
      <c r="X7" s="81">
        <v>696.75</v>
      </c>
      <c r="Y7" s="18">
        <v>1407</v>
      </c>
      <c r="Z7" s="82">
        <v>1485</v>
      </c>
      <c r="AA7" s="74">
        <v>2086699.1551099622</v>
      </c>
      <c r="AB7" s="90">
        <f t="shared" si="8"/>
        <v>80559.459619737987</v>
      </c>
      <c r="AC7" s="36">
        <f t="shared" si="5"/>
        <v>4.6320686205497701E-5</v>
      </c>
      <c r="AD7" s="32">
        <f t="shared" si="9"/>
        <v>2.0675287261934686E-4</v>
      </c>
      <c r="AE7" s="32">
        <f t="shared" si="10"/>
        <v>1.6274100305605059E-3</v>
      </c>
      <c r="AF7" s="36">
        <f t="shared" si="11"/>
        <v>1.8341629031798528E-3</v>
      </c>
      <c r="AG7" s="32">
        <f t="shared" si="12"/>
        <v>9.4106658226784804E-4</v>
      </c>
      <c r="AH7" s="32">
        <f t="shared" si="13"/>
        <v>7.7646029205714661E-3</v>
      </c>
      <c r="AI7" s="36">
        <f t="shared" si="14"/>
        <v>8.7056695028393145E-3</v>
      </c>
      <c r="AJ7" s="129">
        <f>IF('Datos Mun'!B7="AMM",Y7,0)</f>
        <v>0</v>
      </c>
      <c r="AK7" s="36">
        <f t="shared" si="15"/>
        <v>0</v>
      </c>
      <c r="AL7" s="129">
        <f>IF('Datos Mun'!B7="AMM",0,Y7)</f>
        <v>1407</v>
      </c>
      <c r="AM7" s="36">
        <f t="shared" si="16"/>
        <v>1.5892504769445728E-3</v>
      </c>
      <c r="AN7" s="129">
        <f t="shared" si="17"/>
        <v>0</v>
      </c>
      <c r="AO7" s="36">
        <f t="shared" si="18"/>
        <v>0</v>
      </c>
      <c r="AP7" s="101">
        <f>IF('Datos Mun'!B7="AMM",'Art 14 F I'!F9,'Art 14 F I'!M9)</f>
        <v>1.3069358160479475E-2</v>
      </c>
      <c r="AQ7" s="38">
        <f>IF('Datos Mun'!D7="Zona de Crec",'Art 14 F I'!T9,0)</f>
        <v>0</v>
      </c>
    </row>
    <row r="8" spans="1:43">
      <c r="A8" s="17" t="s">
        <v>4</v>
      </c>
      <c r="B8" s="96" t="s">
        <v>112</v>
      </c>
      <c r="C8" s="96" t="s">
        <v>112</v>
      </c>
      <c r="D8" s="96" t="s">
        <v>113</v>
      </c>
      <c r="E8" s="77">
        <v>15242673</v>
      </c>
      <c r="F8" s="18">
        <v>34304269</v>
      </c>
      <c r="G8" s="18">
        <v>18200124</v>
      </c>
      <c r="H8" s="18">
        <v>37146815</v>
      </c>
      <c r="I8" s="14">
        <f t="shared" si="0"/>
        <v>0.48995113039973953</v>
      </c>
      <c r="J8" s="14">
        <f t="shared" si="1"/>
        <v>0.19402443390342364</v>
      </c>
      <c r="K8" s="8">
        <v>3420</v>
      </c>
      <c r="L8" s="9">
        <v>773</v>
      </c>
      <c r="M8" s="9">
        <v>6993</v>
      </c>
      <c r="N8" s="9">
        <v>216</v>
      </c>
      <c r="O8" s="14">
        <f t="shared" si="2"/>
        <v>1.080919807213418E-2</v>
      </c>
      <c r="P8" s="9">
        <v>2055.0000000045479</v>
      </c>
      <c r="Q8" s="9">
        <v>629</v>
      </c>
      <c r="R8" s="9">
        <v>1238</v>
      </c>
      <c r="S8" s="9">
        <v>59</v>
      </c>
      <c r="T8" s="14">
        <f t="shared" si="3"/>
        <v>7.3516705304182165E-3</v>
      </c>
      <c r="U8" s="14">
        <f t="shared" si="6"/>
        <v>-0.31986901513345156</v>
      </c>
      <c r="V8" s="14">
        <f t="shared" si="7"/>
        <v>0.31986901513345156</v>
      </c>
      <c r="W8" s="14">
        <f t="shared" si="4"/>
        <v>5.9604527422043294E-2</v>
      </c>
      <c r="X8" s="81">
        <v>190.52</v>
      </c>
      <c r="Y8" s="18">
        <v>35289</v>
      </c>
      <c r="Z8" s="82">
        <v>37797</v>
      </c>
      <c r="AA8" s="74">
        <v>8518240.6165178325</v>
      </c>
      <c r="AB8" s="90">
        <f t="shared" si="8"/>
        <v>9656072.6484326478</v>
      </c>
      <c r="AC8" s="36">
        <f t="shared" si="5"/>
        <v>5.5521215414899589E-3</v>
      </c>
      <c r="AD8" s="32">
        <f t="shared" si="9"/>
        <v>5.1855736473803348E-3</v>
      </c>
      <c r="AE8" s="32">
        <f t="shared" si="10"/>
        <v>4.4500058704325448E-4</v>
      </c>
      <c r="AF8" s="36">
        <f t="shared" si="11"/>
        <v>5.6305742344235892E-3</v>
      </c>
      <c r="AG8" s="32">
        <f t="shared" si="12"/>
        <v>6.2489199508554841E-3</v>
      </c>
      <c r="AH8" s="32">
        <f t="shared" si="13"/>
        <v>8.9406791133064944E-3</v>
      </c>
      <c r="AI8" s="36">
        <f t="shared" si="14"/>
        <v>1.5189599064161979E-2</v>
      </c>
      <c r="AJ8" s="129">
        <f>IF('Datos Mun'!B8="AMM",Y8,0)</f>
        <v>0</v>
      </c>
      <c r="AK8" s="36">
        <f t="shared" si="15"/>
        <v>0</v>
      </c>
      <c r="AL8" s="129">
        <f>IF('Datos Mun'!B8="AMM",0,Y8)</f>
        <v>35289</v>
      </c>
      <c r="AM8" s="36">
        <f t="shared" si="16"/>
        <v>3.9860028486778269E-2</v>
      </c>
      <c r="AN8" s="129">
        <f t="shared" si="17"/>
        <v>0</v>
      </c>
      <c r="AO8" s="36">
        <f t="shared" si="18"/>
        <v>0</v>
      </c>
      <c r="AP8" s="101">
        <f>IF('Datos Mun'!B8="AMM",'Art 14 F I'!F10,'Art 14 F I'!M10)</f>
        <v>3.9241256592739984E-2</v>
      </c>
      <c r="AQ8" s="38">
        <f>IF('Datos Mun'!D8="Zona de Crec",'Art 14 F I'!T10,0)</f>
        <v>0</v>
      </c>
    </row>
    <row r="9" spans="1:43">
      <c r="A9" s="17" t="s">
        <v>5</v>
      </c>
      <c r="B9" s="96" t="s">
        <v>112</v>
      </c>
      <c r="C9" s="96" t="s">
        <v>112</v>
      </c>
      <c r="D9" s="96" t="s">
        <v>113</v>
      </c>
      <c r="E9" s="77">
        <v>2322895</v>
      </c>
      <c r="F9" s="18">
        <v>10108332</v>
      </c>
      <c r="G9" s="18">
        <v>1756976</v>
      </c>
      <c r="H9" s="18">
        <v>10240869</v>
      </c>
      <c r="I9" s="14">
        <f t="shared" si="0"/>
        <v>0.1715651279202966</v>
      </c>
      <c r="J9" s="14">
        <f t="shared" si="1"/>
        <v>-0.24362659526151634</v>
      </c>
      <c r="K9" s="8">
        <v>3207</v>
      </c>
      <c r="L9" s="9">
        <v>706</v>
      </c>
      <c r="M9" s="9">
        <v>5696</v>
      </c>
      <c r="N9" s="9">
        <v>1464</v>
      </c>
      <c r="O9" s="14">
        <f t="shared" si="2"/>
        <v>1.749446911165152E-2</v>
      </c>
      <c r="P9" s="9">
        <v>2802.0000000077798</v>
      </c>
      <c r="Q9" s="9">
        <v>510</v>
      </c>
      <c r="R9" s="9">
        <v>1865</v>
      </c>
      <c r="S9" s="9">
        <v>534</v>
      </c>
      <c r="T9" s="14">
        <f t="shared" si="3"/>
        <v>1.7457626250445064E-2</v>
      </c>
      <c r="U9" s="14">
        <f t="shared" si="6"/>
        <v>-2.1059719486953626E-3</v>
      </c>
      <c r="V9" s="14">
        <f t="shared" si="7"/>
        <v>2.1059719486953626E-3</v>
      </c>
      <c r="W9" s="14">
        <f t="shared" si="4"/>
        <v>3.9242770267603632E-4</v>
      </c>
      <c r="X9" s="81">
        <v>4572.87</v>
      </c>
      <c r="Y9" s="18">
        <v>18030</v>
      </c>
      <c r="Z9" s="82">
        <v>19844</v>
      </c>
      <c r="AA9" s="74">
        <v>6137628.4181850413</v>
      </c>
      <c r="AB9" s="90">
        <f t="shared" si="8"/>
        <v>305388.13570587116</v>
      </c>
      <c r="AC9" s="36">
        <f t="shared" si="5"/>
        <v>1.7559437552939751E-4</v>
      </c>
      <c r="AD9" s="32">
        <f t="shared" si="9"/>
        <v>2.6494344657617798E-3</v>
      </c>
      <c r="AE9" s="32">
        <f t="shared" si="10"/>
        <v>1.0680925018226366E-2</v>
      </c>
      <c r="AF9" s="36">
        <f t="shared" si="11"/>
        <v>1.3330359483988145E-2</v>
      </c>
      <c r="AG9" s="32">
        <f t="shared" si="12"/>
        <v>1.4838982312878304E-2</v>
      </c>
      <c r="AH9" s="32">
        <f t="shared" si="13"/>
        <v>5.8864155401405446E-5</v>
      </c>
      <c r="AI9" s="36">
        <f t="shared" si="14"/>
        <v>1.4897846468279709E-2</v>
      </c>
      <c r="AJ9" s="129">
        <f>IF('Datos Mun'!B9="AMM",Y9,0)</f>
        <v>0</v>
      </c>
      <c r="AK9" s="36">
        <f t="shared" si="15"/>
        <v>0</v>
      </c>
      <c r="AL9" s="129">
        <f>IF('Datos Mun'!B9="AMM",0,Y9)</f>
        <v>18030</v>
      </c>
      <c r="AM9" s="36">
        <f t="shared" si="16"/>
        <v>2.0365448542509344E-2</v>
      </c>
      <c r="AN9" s="129">
        <f t="shared" si="17"/>
        <v>0</v>
      </c>
      <c r="AO9" s="36">
        <f t="shared" si="18"/>
        <v>0</v>
      </c>
      <c r="AP9" s="101">
        <f>IF('Datos Mun'!B9="AMM",'Art 14 F I'!F11,'Art 14 F I'!M11)</f>
        <v>3.5129580676251028E-2</v>
      </c>
      <c r="AQ9" s="38">
        <f>IF('Datos Mun'!D9="Zona de Crec",'Art 14 F I'!T11,0)</f>
        <v>0</v>
      </c>
    </row>
    <row r="10" spans="1:43" s="362" customFormat="1">
      <c r="A10" s="346" t="s">
        <v>6</v>
      </c>
      <c r="B10" s="347" t="s">
        <v>114</v>
      </c>
      <c r="C10" s="347" t="s">
        <v>114</v>
      </c>
      <c r="D10" s="347" t="s">
        <v>115</v>
      </c>
      <c r="E10" s="348">
        <v>263928665.28</v>
      </c>
      <c r="F10" s="349">
        <v>653982108</v>
      </c>
      <c r="G10" s="349">
        <v>292840828.44000006</v>
      </c>
      <c r="H10" s="349">
        <v>679461530</v>
      </c>
      <c r="I10" s="350">
        <f t="shared" si="0"/>
        <v>0.43098956380944786</v>
      </c>
      <c r="J10" s="350">
        <f t="shared" si="1"/>
        <v>0.10954536950098752</v>
      </c>
      <c r="K10" s="351">
        <v>27572</v>
      </c>
      <c r="L10" s="352">
        <v>4134</v>
      </c>
      <c r="M10" s="352">
        <v>4960</v>
      </c>
      <c r="N10" s="352">
        <v>1244</v>
      </c>
      <c r="O10" s="350">
        <f t="shared" si="2"/>
        <v>3.9529532272485512E-2</v>
      </c>
      <c r="P10" s="352">
        <v>34239.000000084088</v>
      </c>
      <c r="Q10" s="352">
        <v>3826</v>
      </c>
      <c r="R10" s="352">
        <v>1071</v>
      </c>
      <c r="S10" s="352">
        <v>267</v>
      </c>
      <c r="T10" s="350">
        <f t="shared" si="3"/>
        <v>4.7025042297749592E-2</v>
      </c>
      <c r="U10" s="350">
        <f t="shared" si="6"/>
        <v>0.18961797912497236</v>
      </c>
      <c r="V10" s="350">
        <f t="shared" si="7"/>
        <v>0</v>
      </c>
      <c r="W10" s="350">
        <f t="shared" si="4"/>
        <v>0</v>
      </c>
      <c r="X10" s="353">
        <v>238.03</v>
      </c>
      <c r="Y10" s="349">
        <v>656464</v>
      </c>
      <c r="Z10" s="354">
        <v>654249</v>
      </c>
      <c r="AA10" s="355">
        <v>19810827.893906925</v>
      </c>
      <c r="AB10" s="356">
        <f t="shared" si="8"/>
        <v>131128588.61488232</v>
      </c>
      <c r="AC10" s="357">
        <f t="shared" si="5"/>
        <v>7.5397305722636337E-2</v>
      </c>
      <c r="AD10" s="358">
        <f t="shared" si="9"/>
        <v>9.6464689247467608E-2</v>
      </c>
      <c r="AE10" s="358">
        <f t="shared" si="10"/>
        <v>5.5597044789998872E-4</v>
      </c>
      <c r="AF10" s="357">
        <f t="shared" si="11"/>
        <v>9.7020659695367592E-2</v>
      </c>
      <c r="AG10" s="358">
        <f t="shared" si="12"/>
        <v>3.9971285953087153E-2</v>
      </c>
      <c r="AH10" s="358">
        <f t="shared" si="13"/>
        <v>0</v>
      </c>
      <c r="AI10" s="357">
        <f t="shared" si="14"/>
        <v>3.9971285953087153E-2</v>
      </c>
      <c r="AJ10" s="359">
        <f>IF('Datos Mun'!B10="AMM",Y10,0)</f>
        <v>656464</v>
      </c>
      <c r="AK10" s="357">
        <f t="shared" si="15"/>
        <v>0.13399633689240861</v>
      </c>
      <c r="AL10" s="359">
        <f>IF('Datos Mun'!B10="AMM",0,Y10)</f>
        <v>0</v>
      </c>
      <c r="AM10" s="357">
        <f t="shared" si="16"/>
        <v>0</v>
      </c>
      <c r="AN10" s="359">
        <f t="shared" si="17"/>
        <v>656464</v>
      </c>
      <c r="AO10" s="357">
        <f t="shared" si="18"/>
        <v>0.21943487323890931</v>
      </c>
      <c r="AP10" s="360">
        <f>IF('Datos Mun'!B10="AMM",'Art 14 F I'!F12,'Art 14 F I'!M12)</f>
        <v>9.0315507352483462E-2</v>
      </c>
      <c r="AQ10" s="361">
        <f>IF('Datos Mun'!D10="Zona de Crec",'Art 14 F I'!T12,0)</f>
        <v>0.2585515258771991</v>
      </c>
    </row>
    <row r="11" spans="1:43">
      <c r="A11" s="17" t="s">
        <v>7</v>
      </c>
      <c r="B11" s="96" t="s">
        <v>112</v>
      </c>
      <c r="C11" s="96" t="s">
        <v>112</v>
      </c>
      <c r="D11" s="96" t="s">
        <v>113</v>
      </c>
      <c r="E11" s="77">
        <v>282007</v>
      </c>
      <c r="F11" s="18">
        <v>1436942</v>
      </c>
      <c r="G11" s="18">
        <v>785811.45</v>
      </c>
      <c r="H11" s="18">
        <v>1835394</v>
      </c>
      <c r="I11" s="14">
        <f t="shared" si="0"/>
        <v>0.42814319432230896</v>
      </c>
      <c r="J11" s="14">
        <f t="shared" si="1"/>
        <v>1.7864962571851051</v>
      </c>
      <c r="K11" s="8">
        <v>3888</v>
      </c>
      <c r="L11" s="9">
        <v>1372</v>
      </c>
      <c r="M11" s="9">
        <v>11340</v>
      </c>
      <c r="N11" s="9">
        <v>3122</v>
      </c>
      <c r="O11" s="14">
        <f t="shared" si="2"/>
        <v>3.4598234920911047E-2</v>
      </c>
      <c r="P11" s="9">
        <v>3560.0000000065597</v>
      </c>
      <c r="Q11" s="9">
        <v>1140</v>
      </c>
      <c r="R11" s="9">
        <v>7405</v>
      </c>
      <c r="S11" s="9">
        <v>920</v>
      </c>
      <c r="T11" s="14">
        <f t="shared" si="3"/>
        <v>3.8484178834662916E-2</v>
      </c>
      <c r="U11" s="14">
        <f t="shared" si="6"/>
        <v>0.11231624742229894</v>
      </c>
      <c r="V11" s="14">
        <f t="shared" si="7"/>
        <v>0</v>
      </c>
      <c r="W11" s="14">
        <f t="shared" si="4"/>
        <v>0</v>
      </c>
      <c r="X11" s="81">
        <v>2664.8</v>
      </c>
      <c r="Y11" s="18">
        <v>14992</v>
      </c>
      <c r="Z11" s="82">
        <v>17586</v>
      </c>
      <c r="AA11" s="74">
        <v>8224675.0942434939</v>
      </c>
      <c r="AB11" s="90">
        <f t="shared" si="8"/>
        <v>429731.77410855994</v>
      </c>
      <c r="AC11" s="36">
        <f t="shared" si="5"/>
        <v>2.4709041936196599E-4</v>
      </c>
      <c r="AD11" s="32">
        <f t="shared" si="9"/>
        <v>2.2030128403050801E-3</v>
      </c>
      <c r="AE11" s="32">
        <f t="shared" si="10"/>
        <v>6.224215643254591E-3</v>
      </c>
      <c r="AF11" s="36">
        <f t="shared" si="11"/>
        <v>8.4272284835596716E-3</v>
      </c>
      <c r="AG11" s="32">
        <f t="shared" si="12"/>
        <v>3.2711552009463477E-2</v>
      </c>
      <c r="AH11" s="32">
        <f t="shared" si="13"/>
        <v>0</v>
      </c>
      <c r="AI11" s="36">
        <f t="shared" si="14"/>
        <v>3.2711552009463477E-2</v>
      </c>
      <c r="AJ11" s="129">
        <f>IF('Datos Mun'!B11="AMM",Y11,0)</f>
        <v>0</v>
      </c>
      <c r="AK11" s="36">
        <f t="shared" si="15"/>
        <v>0</v>
      </c>
      <c r="AL11" s="129">
        <f>IF('Datos Mun'!B11="AMM",0,Y11)</f>
        <v>14992</v>
      </c>
      <c r="AM11" s="36">
        <f t="shared" si="16"/>
        <v>1.6933932587315591E-2</v>
      </c>
      <c r="AN11" s="129">
        <f t="shared" si="17"/>
        <v>0</v>
      </c>
      <c r="AO11" s="36">
        <f t="shared" si="18"/>
        <v>0</v>
      </c>
      <c r="AP11" s="101">
        <f>IF('Datos Mun'!B11="AMM",'Art 14 F I'!F13,'Art 14 F I'!M13)</f>
        <v>5.1174928268323594E-2</v>
      </c>
      <c r="AQ11" s="38">
        <f>IF('Datos Mun'!D11="Zona de Crec",'Art 14 F I'!T13,0)</f>
        <v>0</v>
      </c>
    </row>
    <row r="12" spans="1:43">
      <c r="A12" s="17" t="s">
        <v>8</v>
      </c>
      <c r="B12" s="96" t="s">
        <v>112</v>
      </c>
      <c r="C12" s="96" t="s">
        <v>112</v>
      </c>
      <c r="D12" s="96" t="s">
        <v>113</v>
      </c>
      <c r="E12" s="77">
        <v>721021</v>
      </c>
      <c r="F12" s="18">
        <v>2146802</v>
      </c>
      <c r="G12" s="18">
        <v>927656</v>
      </c>
      <c r="H12" s="18">
        <v>2443492</v>
      </c>
      <c r="I12" s="14">
        <f t="shared" si="0"/>
        <v>0.37964355929955979</v>
      </c>
      <c r="J12" s="14">
        <f t="shared" si="1"/>
        <v>0.2865866597505482</v>
      </c>
      <c r="K12" s="8">
        <v>739</v>
      </c>
      <c r="L12" s="9">
        <v>153</v>
      </c>
      <c r="M12" s="9">
        <v>789</v>
      </c>
      <c r="N12" s="9">
        <v>57</v>
      </c>
      <c r="O12" s="14">
        <f t="shared" si="2"/>
        <v>1.8214399438062257E-3</v>
      </c>
      <c r="P12" s="9">
        <v>518.99999999744</v>
      </c>
      <c r="Q12" s="9">
        <v>104</v>
      </c>
      <c r="R12" s="9">
        <v>89</v>
      </c>
      <c r="S12" s="9">
        <v>41</v>
      </c>
      <c r="T12" s="14">
        <f t="shared" si="3"/>
        <v>1.6906448867138209E-3</v>
      </c>
      <c r="U12" s="14">
        <f t="shared" si="6"/>
        <v>-7.1808602604313709E-2</v>
      </c>
      <c r="V12" s="14">
        <f t="shared" si="7"/>
        <v>7.1808602604313709E-2</v>
      </c>
      <c r="W12" s="14">
        <f t="shared" si="4"/>
        <v>1.3380845347842557E-2</v>
      </c>
      <c r="X12" s="81">
        <v>465.62</v>
      </c>
      <c r="Y12" s="18">
        <v>3661</v>
      </c>
      <c r="Z12" s="82">
        <v>4330</v>
      </c>
      <c r="AA12" s="74">
        <v>2974219.0794317215</v>
      </c>
      <c r="AB12" s="90">
        <f t="shared" si="8"/>
        <v>400850.03383451293</v>
      </c>
      <c r="AC12" s="36">
        <f t="shared" si="5"/>
        <v>2.304837783216997E-4</v>
      </c>
      <c r="AD12" s="32">
        <f t="shared" si="9"/>
        <v>5.3796891731302686E-4</v>
      </c>
      <c r="AE12" s="32">
        <f t="shared" si="10"/>
        <v>1.0875560221450776E-3</v>
      </c>
      <c r="AF12" s="36">
        <f t="shared" si="11"/>
        <v>1.6255249394581043E-3</v>
      </c>
      <c r="AG12" s="32">
        <f t="shared" si="12"/>
        <v>1.4370481537067476E-3</v>
      </c>
      <c r="AH12" s="32">
        <f t="shared" si="13"/>
        <v>2.0071268021763836E-3</v>
      </c>
      <c r="AI12" s="36">
        <f t="shared" si="14"/>
        <v>3.4441749558831313E-3</v>
      </c>
      <c r="AJ12" s="129">
        <f>IF('Datos Mun'!B12="AMM",Y12,0)</f>
        <v>0</v>
      </c>
      <c r="AK12" s="36">
        <f t="shared" si="15"/>
        <v>0</v>
      </c>
      <c r="AL12" s="129">
        <f>IF('Datos Mun'!B12="AMM",0,Y12)</f>
        <v>3661</v>
      </c>
      <c r="AM12" s="36">
        <f t="shared" si="16"/>
        <v>4.1352139275721966E-3</v>
      </c>
      <c r="AN12" s="129">
        <f t="shared" si="17"/>
        <v>0</v>
      </c>
      <c r="AO12" s="36">
        <f t="shared" si="18"/>
        <v>0</v>
      </c>
      <c r="AP12" s="101">
        <f>IF('Datos Mun'!B12="AMM",'Art 14 F I'!F14,'Art 14 F I'!M14)</f>
        <v>6.7982555426688079E-3</v>
      </c>
      <c r="AQ12" s="38">
        <f>IF('Datos Mun'!D12="Zona de Crec",'Art 14 F I'!T14,0)</f>
        <v>0</v>
      </c>
    </row>
    <row r="13" spans="1:43">
      <c r="A13" s="345" t="s">
        <v>9</v>
      </c>
      <c r="B13" s="96" t="s">
        <v>114</v>
      </c>
      <c r="C13" s="96" t="s">
        <v>112</v>
      </c>
      <c r="D13" s="96" t="s">
        <v>115</v>
      </c>
      <c r="E13" s="77">
        <v>28310880.329999998</v>
      </c>
      <c r="F13" s="18">
        <v>98384121</v>
      </c>
      <c r="G13" s="18">
        <v>28519495.5</v>
      </c>
      <c r="H13" s="18">
        <v>96076042</v>
      </c>
      <c r="I13" s="14">
        <f t="shared" si="0"/>
        <v>0.29684294758936886</v>
      </c>
      <c r="J13" s="14">
        <f t="shared" si="1"/>
        <v>7.36872776714541E-3</v>
      </c>
      <c r="K13" s="8">
        <v>6662</v>
      </c>
      <c r="L13" s="9">
        <v>2055</v>
      </c>
      <c r="M13" s="9">
        <v>14558</v>
      </c>
      <c r="N13" s="9">
        <v>683</v>
      </c>
      <c r="O13" s="14">
        <f t="shared" si="2"/>
        <v>2.4992050690700995E-2</v>
      </c>
      <c r="P13" s="9">
        <v>5056.9999999440479</v>
      </c>
      <c r="Q13" s="9">
        <v>1587</v>
      </c>
      <c r="R13" s="9">
        <v>3489</v>
      </c>
      <c r="S13" s="9">
        <v>461</v>
      </c>
      <c r="T13" s="14">
        <f t="shared" si="3"/>
        <v>2.4875384301981683E-2</v>
      </c>
      <c r="U13" s="14">
        <f t="shared" si="6"/>
        <v>-4.6681398882853836E-3</v>
      </c>
      <c r="V13" s="14">
        <f t="shared" si="7"/>
        <v>4.6681398882853836E-3</v>
      </c>
      <c r="W13" s="14">
        <f t="shared" si="4"/>
        <v>8.6986315903450563E-4</v>
      </c>
      <c r="X13" s="81">
        <v>1140.97</v>
      </c>
      <c r="Y13" s="18">
        <v>122337</v>
      </c>
      <c r="Z13" s="82">
        <v>103732</v>
      </c>
      <c r="AA13" s="74">
        <v>6080772.1412531286</v>
      </c>
      <c r="AB13" s="90">
        <f t="shared" si="8"/>
        <v>8267204.2531591067</v>
      </c>
      <c r="AC13" s="36">
        <f t="shared" si="5"/>
        <v>4.7535395075256146E-3</v>
      </c>
      <c r="AD13" s="32">
        <f t="shared" si="9"/>
        <v>1.7976919813527389E-2</v>
      </c>
      <c r="AE13" s="32">
        <f t="shared" si="10"/>
        <v>2.6649817331447726E-3</v>
      </c>
      <c r="AF13" s="36">
        <f t="shared" si="11"/>
        <v>2.0641901546672163E-2</v>
      </c>
      <c r="AG13" s="32">
        <f t="shared" si="12"/>
        <v>2.114407665668443E-2</v>
      </c>
      <c r="AH13" s="32">
        <f t="shared" si="13"/>
        <v>1.3047947385517585E-4</v>
      </c>
      <c r="AI13" s="36">
        <f t="shared" si="14"/>
        <v>2.1274556130539607E-2</v>
      </c>
      <c r="AJ13" s="129">
        <f>IF('Datos Mun'!B13="AMM",Y13,0)</f>
        <v>122337</v>
      </c>
      <c r="AK13" s="36">
        <f t="shared" si="15"/>
        <v>2.4971224418104562E-2</v>
      </c>
      <c r="AL13" s="129">
        <f>IF('Datos Mun'!B13="AMM",0,Y13)</f>
        <v>0</v>
      </c>
      <c r="AM13" s="36">
        <f t="shared" si="16"/>
        <v>0</v>
      </c>
      <c r="AN13" s="129">
        <f t="shared" si="17"/>
        <v>122337</v>
      </c>
      <c r="AO13" s="36">
        <f t="shared" si="18"/>
        <v>4.0893337772411664E-2</v>
      </c>
      <c r="AP13" s="101">
        <f>IF('Datos Mun'!B13="AMM",'Art 14 F I'!F15,'Art 14 F I'!M15)</f>
        <v>1.6138150624972362E-2</v>
      </c>
      <c r="AQ13" s="38">
        <f>IF('Datos Mun'!D13="Zona de Crec",'Art 14 F I'!T15,0)</f>
        <v>4.6199634937974389E-2</v>
      </c>
    </row>
    <row r="14" spans="1:43">
      <c r="A14" s="17" t="s">
        <v>10</v>
      </c>
      <c r="B14" s="96" t="s">
        <v>112</v>
      </c>
      <c r="C14" s="96" t="s">
        <v>112</v>
      </c>
      <c r="D14" s="96" t="s">
        <v>115</v>
      </c>
      <c r="E14" s="77">
        <v>4203660</v>
      </c>
      <c r="F14" s="18">
        <v>21304607</v>
      </c>
      <c r="G14" s="18">
        <v>6103961.7199999997</v>
      </c>
      <c r="H14" s="18">
        <v>25918809</v>
      </c>
      <c r="I14" s="14">
        <f t="shared" si="0"/>
        <v>0.23550317146131211</v>
      </c>
      <c r="J14" s="14">
        <f t="shared" si="1"/>
        <v>0.45205885347530478</v>
      </c>
      <c r="K14" s="8">
        <v>981</v>
      </c>
      <c r="L14" s="9">
        <v>219</v>
      </c>
      <c r="M14" s="9">
        <v>1075</v>
      </c>
      <c r="N14" s="9">
        <v>108</v>
      </c>
      <c r="O14" s="14">
        <f t="shared" si="2"/>
        <v>2.6902734400869759E-3</v>
      </c>
      <c r="P14" s="9">
        <v>716.99999998365001</v>
      </c>
      <c r="Q14" s="9">
        <v>253</v>
      </c>
      <c r="R14" s="9">
        <v>273</v>
      </c>
      <c r="S14" s="9">
        <v>153</v>
      </c>
      <c r="T14" s="14">
        <f t="shared" si="3"/>
        <v>4.7685085778216962E-3</v>
      </c>
      <c r="U14" s="14">
        <f t="shared" si="6"/>
        <v>0.77249959307762084</v>
      </c>
      <c r="V14" s="14">
        <f t="shared" si="7"/>
        <v>0</v>
      </c>
      <c r="W14" s="14">
        <f t="shared" si="4"/>
        <v>0</v>
      </c>
      <c r="X14" s="81">
        <v>102.38</v>
      </c>
      <c r="Y14" s="18">
        <v>104478</v>
      </c>
      <c r="Z14" s="82">
        <v>45792</v>
      </c>
      <c r="AA14" s="74">
        <v>3660359.1184544452</v>
      </c>
      <c r="AB14" s="90">
        <f t="shared" si="8"/>
        <v>1748839.9893612377</v>
      </c>
      <c r="AC14" s="36">
        <f t="shared" si="5"/>
        <v>1.0055612184243113E-3</v>
      </c>
      <c r="AD14" s="32">
        <f t="shared" si="9"/>
        <v>1.5352613095610606E-2</v>
      </c>
      <c r="AE14" s="32">
        <f t="shared" si="10"/>
        <v>2.3913059049699976E-4</v>
      </c>
      <c r="AF14" s="36">
        <f t="shared" si="11"/>
        <v>1.5591743686107605E-2</v>
      </c>
      <c r="AG14" s="32">
        <f t="shared" si="12"/>
        <v>4.0532322911484417E-3</v>
      </c>
      <c r="AH14" s="32">
        <f t="shared" si="13"/>
        <v>0</v>
      </c>
      <c r="AI14" s="36">
        <f t="shared" si="14"/>
        <v>4.0532322911484417E-3</v>
      </c>
      <c r="AJ14" s="129">
        <f>IF('Datos Mun'!B14="AMM",Y14,0)</f>
        <v>0</v>
      </c>
      <c r="AK14" s="36">
        <f t="shared" si="15"/>
        <v>0</v>
      </c>
      <c r="AL14" s="129">
        <f>IF('Datos Mun'!B14="AMM",0,Y14)</f>
        <v>104478</v>
      </c>
      <c r="AM14" s="36">
        <f t="shared" si="16"/>
        <v>0.11801116654599508</v>
      </c>
      <c r="AN14" s="129">
        <f t="shared" si="17"/>
        <v>104478</v>
      </c>
      <c r="AO14" s="36">
        <f t="shared" si="18"/>
        <v>3.4923646515657776E-2</v>
      </c>
      <c r="AP14" s="101">
        <f>IF('Datos Mun'!B14="AMM",'Art 14 F I'!F16,'Art 14 F I'!M16)</f>
        <v>2.6619516062828589E-2</v>
      </c>
      <c r="AQ14" s="38">
        <f>IF('Datos Mun'!D14="Zona de Crec",'Art 14 F I'!T16,0)</f>
        <v>1.9456146062062165E-2</v>
      </c>
    </row>
    <row r="15" spans="1:43">
      <c r="A15" s="17" t="s">
        <v>11</v>
      </c>
      <c r="B15" s="96" t="s">
        <v>112</v>
      </c>
      <c r="C15" s="96" t="s">
        <v>112</v>
      </c>
      <c r="D15" s="96" t="s">
        <v>113</v>
      </c>
      <c r="E15" s="77">
        <v>3866062</v>
      </c>
      <c r="F15" s="18">
        <v>2970608</v>
      </c>
      <c r="G15" s="18">
        <v>826855</v>
      </c>
      <c r="H15" s="18">
        <v>2065528</v>
      </c>
      <c r="I15" s="14">
        <f t="shared" si="0"/>
        <v>0.40031168785898813</v>
      </c>
      <c r="J15" s="14">
        <f t="shared" si="1"/>
        <v>-0.78612474399013776</v>
      </c>
      <c r="K15" s="8">
        <v>1343</v>
      </c>
      <c r="L15" s="9">
        <v>344</v>
      </c>
      <c r="M15" s="9">
        <v>1532</v>
      </c>
      <c r="N15" s="9">
        <v>359</v>
      </c>
      <c r="O15" s="14">
        <f t="shared" si="2"/>
        <v>5.2022887779602407E-3</v>
      </c>
      <c r="P15" s="9">
        <v>655.00000000354908</v>
      </c>
      <c r="Q15" s="9">
        <v>319</v>
      </c>
      <c r="R15" s="9">
        <v>345</v>
      </c>
      <c r="S15" s="9">
        <v>110</v>
      </c>
      <c r="T15" s="14">
        <f t="shared" si="3"/>
        <v>4.3080466935839033E-3</v>
      </c>
      <c r="U15" s="14">
        <f t="shared" si="6"/>
        <v>-0.17189397254624528</v>
      </c>
      <c r="V15" s="14">
        <f t="shared" si="7"/>
        <v>0.17189397254624528</v>
      </c>
      <c r="W15" s="14">
        <f t="shared" si="4"/>
        <v>3.2030795468082691E-2</v>
      </c>
      <c r="X15" s="81">
        <v>1006.89</v>
      </c>
      <c r="Y15" s="18">
        <v>7340</v>
      </c>
      <c r="Z15" s="82">
        <v>8312</v>
      </c>
      <c r="AA15" s="74">
        <v>3693123.3689814457</v>
      </c>
      <c r="AB15" s="90">
        <f t="shared" si="8"/>
        <v>230151.26567524223</v>
      </c>
      <c r="AC15" s="36">
        <f t="shared" si="5"/>
        <v>1.3233411206409112E-4</v>
      </c>
      <c r="AD15" s="32">
        <f t="shared" si="9"/>
        <v>1.0785828607150006E-3</v>
      </c>
      <c r="AE15" s="32">
        <f t="shared" si="10"/>
        <v>2.3518089496534882E-3</v>
      </c>
      <c r="AF15" s="36">
        <f t="shared" si="11"/>
        <v>3.430391810368489E-3</v>
      </c>
      <c r="AG15" s="32">
        <f t="shared" si="12"/>
        <v>3.6618396895463177E-3</v>
      </c>
      <c r="AH15" s="32">
        <f t="shared" si="13"/>
        <v>4.8046193202124039E-3</v>
      </c>
      <c r="AI15" s="36">
        <f t="shared" si="14"/>
        <v>8.4664590097587207E-3</v>
      </c>
      <c r="AJ15" s="129">
        <f>IF('Datos Mun'!B15="AMM",Y15,0)</f>
        <v>0</v>
      </c>
      <c r="AK15" s="36">
        <f t="shared" si="15"/>
        <v>0</v>
      </c>
      <c r="AL15" s="129">
        <f>IF('Datos Mun'!B15="AMM",0,Y15)</f>
        <v>7340</v>
      </c>
      <c r="AM15" s="36">
        <f t="shared" si="16"/>
        <v>8.2907594177492275E-3</v>
      </c>
      <c r="AN15" s="129">
        <f t="shared" si="17"/>
        <v>0</v>
      </c>
      <c r="AO15" s="36">
        <f t="shared" si="18"/>
        <v>0</v>
      </c>
      <c r="AP15" s="101">
        <f>IF('Datos Mun'!B15="AMM",'Art 14 F I'!F17,'Art 14 F I'!M17)</f>
        <v>1.4948849296699891E-2</v>
      </c>
      <c r="AQ15" s="38">
        <f>IF('Datos Mun'!D15="Zona de Crec",'Art 14 F I'!T17,0)</f>
        <v>0</v>
      </c>
    </row>
    <row r="16" spans="1:43">
      <c r="A16" s="17" t="s">
        <v>12</v>
      </c>
      <c r="B16" s="96" t="s">
        <v>112</v>
      </c>
      <c r="C16" s="96" t="s">
        <v>112</v>
      </c>
      <c r="D16" s="96" t="s">
        <v>113</v>
      </c>
      <c r="E16" s="77">
        <v>1407462</v>
      </c>
      <c r="F16" s="18">
        <v>4274726</v>
      </c>
      <c r="G16" s="18">
        <v>1648610</v>
      </c>
      <c r="H16" s="18">
        <v>4522487</v>
      </c>
      <c r="I16" s="14">
        <f t="shared" si="0"/>
        <v>0.36453615013155372</v>
      </c>
      <c r="J16" s="14">
        <f t="shared" si="1"/>
        <v>0.17133535399179517</v>
      </c>
      <c r="K16" s="8">
        <v>2046</v>
      </c>
      <c r="L16" s="9">
        <v>494</v>
      </c>
      <c r="M16" s="9">
        <v>4758</v>
      </c>
      <c r="N16" s="9">
        <v>898</v>
      </c>
      <c r="O16" s="14">
        <f t="shared" si="2"/>
        <v>1.1896172975626618E-2</v>
      </c>
      <c r="P16" s="9">
        <v>787.99999998764804</v>
      </c>
      <c r="Q16" s="9">
        <v>378</v>
      </c>
      <c r="R16" s="9">
        <v>1925</v>
      </c>
      <c r="S16" s="9">
        <v>123</v>
      </c>
      <c r="T16" s="14">
        <f t="shared" si="3"/>
        <v>8.0591670203057422E-3</v>
      </c>
      <c r="U16" s="14">
        <f t="shared" si="6"/>
        <v>-0.32254120406472697</v>
      </c>
      <c r="V16" s="14">
        <f t="shared" si="7"/>
        <v>0.32254120406472697</v>
      </c>
      <c r="W16" s="14">
        <f t="shared" si="4"/>
        <v>6.0102464236475396E-2</v>
      </c>
      <c r="X16" s="81">
        <v>4292.05</v>
      </c>
      <c r="Y16" s="18">
        <v>9930</v>
      </c>
      <c r="Z16" s="82">
        <v>11856</v>
      </c>
      <c r="AA16" s="74">
        <v>5563132.2810582956</v>
      </c>
      <c r="AB16" s="90">
        <f t="shared" si="8"/>
        <v>635810.32611212984</v>
      </c>
      <c r="AC16" s="36">
        <f t="shared" si="5"/>
        <v>3.6558302080317396E-4</v>
      </c>
      <c r="AD16" s="32">
        <f t="shared" si="9"/>
        <v>1.4591727257356889E-3</v>
      </c>
      <c r="AE16" s="32">
        <f t="shared" si="10"/>
        <v>1.002500928836343E-2</v>
      </c>
      <c r="AF16" s="36">
        <f t="shared" si="11"/>
        <v>1.1484182014099118E-2</v>
      </c>
      <c r="AG16" s="32">
        <f t="shared" si="12"/>
        <v>6.8502919672598804E-3</v>
      </c>
      <c r="AH16" s="32">
        <f t="shared" si="13"/>
        <v>9.0153696354713098E-3</v>
      </c>
      <c r="AI16" s="36">
        <f t="shared" si="14"/>
        <v>1.5865661602731191E-2</v>
      </c>
      <c r="AJ16" s="129">
        <f>IF('Datos Mun'!B16="AMM",Y16,0)</f>
        <v>0</v>
      </c>
      <c r="AK16" s="36">
        <f t="shared" si="15"/>
        <v>0</v>
      </c>
      <c r="AL16" s="129">
        <f>IF('Datos Mun'!B16="AMM",0,Y16)</f>
        <v>9930</v>
      </c>
      <c r="AM16" s="36">
        <f t="shared" si="16"/>
        <v>1.1216245370333765E-2</v>
      </c>
      <c r="AN16" s="129">
        <f t="shared" si="17"/>
        <v>0</v>
      </c>
      <c r="AO16" s="36">
        <f t="shared" si="18"/>
        <v>0</v>
      </c>
      <c r="AP16" s="101">
        <f>IF('Datos Mun'!B16="AMM",'Art 14 F I'!F18,'Art 14 F I'!M18)</f>
        <v>3.4516969463730778E-2</v>
      </c>
      <c r="AQ16" s="38">
        <f>IF('Datos Mun'!D16="Zona de Crec",'Art 14 F I'!T18,0)</f>
        <v>0</v>
      </c>
    </row>
    <row r="17" spans="1:43">
      <c r="A17" s="17" t="s">
        <v>13</v>
      </c>
      <c r="B17" s="96" t="s">
        <v>112</v>
      </c>
      <c r="C17" s="96" t="s">
        <v>112</v>
      </c>
      <c r="D17" s="96" t="s">
        <v>115</v>
      </c>
      <c r="E17" s="77">
        <v>12855566</v>
      </c>
      <c r="F17" s="18">
        <v>41956827</v>
      </c>
      <c r="G17" s="18">
        <v>14225141</v>
      </c>
      <c r="H17" s="18">
        <v>45557174</v>
      </c>
      <c r="I17" s="14">
        <f t="shared" si="0"/>
        <v>0.31224809949800664</v>
      </c>
      <c r="J17" s="14">
        <f t="shared" si="1"/>
        <v>0.10653556599530507</v>
      </c>
      <c r="K17" s="8">
        <v>1162</v>
      </c>
      <c r="L17" s="9">
        <v>349</v>
      </c>
      <c r="M17" s="9">
        <v>489</v>
      </c>
      <c r="N17" s="9">
        <v>43</v>
      </c>
      <c r="O17" s="14">
        <f t="shared" si="2"/>
        <v>2.3119536336203231E-3</v>
      </c>
      <c r="P17" s="9">
        <v>2032.9999999577099</v>
      </c>
      <c r="Q17" s="9">
        <v>358</v>
      </c>
      <c r="R17" s="9">
        <v>131</v>
      </c>
      <c r="S17" s="9">
        <v>31</v>
      </c>
      <c r="T17" s="14">
        <f t="shared" si="3"/>
        <v>3.6514914876276086E-3</v>
      </c>
      <c r="U17" s="14">
        <f t="shared" si="6"/>
        <v>0.57939650455259473</v>
      </c>
      <c r="V17" s="14">
        <f t="shared" si="7"/>
        <v>0</v>
      </c>
      <c r="W17" s="14">
        <f t="shared" si="4"/>
        <v>0</v>
      </c>
      <c r="X17" s="81">
        <v>146.56</v>
      </c>
      <c r="Y17" s="18">
        <v>68747</v>
      </c>
      <c r="Z17" s="82">
        <v>49098</v>
      </c>
      <c r="AA17" s="74">
        <v>3096584.7941487241</v>
      </c>
      <c r="AB17" s="90">
        <f t="shared" si="8"/>
        <v>4822925.1575644892</v>
      </c>
      <c r="AC17" s="36">
        <f t="shared" si="5"/>
        <v>2.7731219135612153E-3</v>
      </c>
      <c r="AD17" s="32">
        <f t="shared" si="9"/>
        <v>1.010208936315724E-2</v>
      </c>
      <c r="AE17" s="32">
        <f t="shared" si="10"/>
        <v>3.4232251751553313E-4</v>
      </c>
      <c r="AF17" s="36">
        <f t="shared" si="11"/>
        <v>1.0444411880672773E-2</v>
      </c>
      <c r="AG17" s="32">
        <f t="shared" si="12"/>
        <v>3.1037677644834673E-3</v>
      </c>
      <c r="AH17" s="32">
        <f t="shared" si="13"/>
        <v>0</v>
      </c>
      <c r="AI17" s="36">
        <f t="shared" si="14"/>
        <v>3.1037677644834673E-3</v>
      </c>
      <c r="AJ17" s="129">
        <f>IF('Datos Mun'!B17="AMM",Y17,0)</f>
        <v>0</v>
      </c>
      <c r="AK17" s="36">
        <f t="shared" si="15"/>
        <v>0</v>
      </c>
      <c r="AL17" s="129">
        <f>IF('Datos Mun'!B17="AMM",0,Y17)</f>
        <v>68747</v>
      </c>
      <c r="AM17" s="36">
        <f t="shared" si="16"/>
        <v>7.7651885244142529E-2</v>
      </c>
      <c r="AN17" s="129">
        <f t="shared" si="17"/>
        <v>68747</v>
      </c>
      <c r="AO17" s="36">
        <f t="shared" si="18"/>
        <v>2.2979918518845358E-2</v>
      </c>
      <c r="AP17" s="101">
        <f>IF('Datos Mun'!B17="AMM",'Art 14 F I'!F19,'Art 14 F I'!M19)</f>
        <v>2.3470724163302033E-2</v>
      </c>
      <c r="AQ17" s="38">
        <f>IF('Datos Mun'!D17="Zona de Crec",'Art 14 F I'!T19,0)</f>
        <v>1.7154700950451934E-2</v>
      </c>
    </row>
    <row r="18" spans="1:43">
      <c r="A18" s="17" t="s">
        <v>14</v>
      </c>
      <c r="B18" s="96" t="s">
        <v>112</v>
      </c>
      <c r="C18" s="96" t="s">
        <v>112</v>
      </c>
      <c r="D18" s="96" t="s">
        <v>113</v>
      </c>
      <c r="E18" s="77">
        <v>602897</v>
      </c>
      <c r="F18" s="18">
        <v>6139487</v>
      </c>
      <c r="G18" s="18">
        <v>766514</v>
      </c>
      <c r="H18" s="18">
        <v>6492908</v>
      </c>
      <c r="I18" s="14">
        <f t="shared" si="0"/>
        <v>0.11805403680446419</v>
      </c>
      <c r="J18" s="14">
        <f t="shared" si="1"/>
        <v>0.27138466437882425</v>
      </c>
      <c r="K18" s="8">
        <v>7369</v>
      </c>
      <c r="L18" s="9">
        <v>3474</v>
      </c>
      <c r="M18" s="9">
        <v>27910</v>
      </c>
      <c r="N18" s="9">
        <v>2988</v>
      </c>
      <c r="O18" s="14">
        <f t="shared" si="2"/>
        <v>5.4151178076420683E-2</v>
      </c>
      <c r="P18" s="9">
        <v>7387.0000000238397</v>
      </c>
      <c r="Q18" s="9">
        <v>3170</v>
      </c>
      <c r="R18" s="9">
        <v>23798</v>
      </c>
      <c r="S18" s="9">
        <v>1385</v>
      </c>
      <c r="T18" s="14">
        <f t="shared" si="3"/>
        <v>9.0180106426097695E-2</v>
      </c>
      <c r="U18" s="14">
        <f t="shared" si="6"/>
        <v>0.66533969582030694</v>
      </c>
      <c r="V18" s="14">
        <f t="shared" si="7"/>
        <v>0</v>
      </c>
      <c r="W18" s="14">
        <f t="shared" si="4"/>
        <v>0</v>
      </c>
      <c r="X18" s="81">
        <v>5091.18</v>
      </c>
      <c r="Y18" s="18">
        <v>36088</v>
      </c>
      <c r="Z18" s="82">
        <v>37512</v>
      </c>
      <c r="AA18" s="74">
        <v>18511579.143657368</v>
      </c>
      <c r="AB18" s="90">
        <f t="shared" si="8"/>
        <v>95699.154049190096</v>
      </c>
      <c r="AC18" s="36">
        <f t="shared" si="5"/>
        <v>5.5025821992455618E-5</v>
      </c>
      <c r="AD18" s="32">
        <f t="shared" si="9"/>
        <v>5.3029834165508102E-3</v>
      </c>
      <c r="AE18" s="32">
        <f t="shared" si="10"/>
        <v>1.1891549909420936E-2</v>
      </c>
      <c r="AF18" s="36">
        <f t="shared" si="11"/>
        <v>1.7194533325971748E-2</v>
      </c>
      <c r="AG18" s="32">
        <f t="shared" si="12"/>
        <v>7.6653090462183035E-2</v>
      </c>
      <c r="AH18" s="32">
        <f t="shared" si="13"/>
        <v>0</v>
      </c>
      <c r="AI18" s="36">
        <f t="shared" si="14"/>
        <v>7.6653090462183035E-2</v>
      </c>
      <c r="AJ18" s="129">
        <f>IF('Datos Mun'!B18="AMM",Y18,0)</f>
        <v>0</v>
      </c>
      <c r="AK18" s="36">
        <f t="shared" si="15"/>
        <v>0</v>
      </c>
      <c r="AL18" s="129">
        <f>IF('Datos Mun'!B18="AMM",0,Y18)</f>
        <v>36088</v>
      </c>
      <c r="AM18" s="36">
        <f t="shared" si="16"/>
        <v>4.0762523960181762E-2</v>
      </c>
      <c r="AN18" s="129">
        <f t="shared" si="17"/>
        <v>0</v>
      </c>
      <c r="AO18" s="36">
        <f t="shared" si="18"/>
        <v>0</v>
      </c>
      <c r="AP18" s="101">
        <f>IF('Datos Mun'!B18="AMM",'Art 14 F I'!F20,'Art 14 F I'!M20)</f>
        <v>0.11549207999363818</v>
      </c>
      <c r="AQ18" s="38">
        <f>IF('Datos Mun'!D18="Zona de Crec",'Art 14 F I'!T20,0)</f>
        <v>0</v>
      </c>
    </row>
    <row r="19" spans="1:43">
      <c r="A19" s="17" t="s">
        <v>15</v>
      </c>
      <c r="B19" s="96" t="s">
        <v>112</v>
      </c>
      <c r="C19" s="96" t="s">
        <v>112</v>
      </c>
      <c r="D19" s="96" t="s">
        <v>113</v>
      </c>
      <c r="E19" s="77">
        <v>363371</v>
      </c>
      <c r="F19" s="18">
        <v>1456249</v>
      </c>
      <c r="G19" s="18">
        <v>328496</v>
      </c>
      <c r="H19" s="18">
        <v>1493874</v>
      </c>
      <c r="I19" s="14">
        <f t="shared" si="0"/>
        <v>0.21989538609012541</v>
      </c>
      <c r="J19" s="14">
        <f t="shared" si="1"/>
        <v>-9.5976288696676404E-2</v>
      </c>
      <c r="K19" s="8">
        <v>381</v>
      </c>
      <c r="L19" s="9">
        <v>111</v>
      </c>
      <c r="M19" s="9">
        <v>881</v>
      </c>
      <c r="N19" s="9">
        <v>100</v>
      </c>
      <c r="O19" s="14">
        <f t="shared" si="2"/>
        <v>1.8361963451452015E-3</v>
      </c>
      <c r="P19" s="9">
        <v>157.99999999728001</v>
      </c>
      <c r="Q19" s="9">
        <v>83</v>
      </c>
      <c r="R19" s="9">
        <v>189</v>
      </c>
      <c r="S19" s="9">
        <v>25</v>
      </c>
      <c r="T19" s="14">
        <f t="shared" si="3"/>
        <v>1.2466935297393157E-3</v>
      </c>
      <c r="U19" s="14">
        <f t="shared" si="6"/>
        <v>-0.32104563162022282</v>
      </c>
      <c r="V19" s="14">
        <f t="shared" si="7"/>
        <v>0.32104563162022282</v>
      </c>
      <c r="W19" s="14">
        <f t="shared" si="4"/>
        <v>5.982377863529921E-2</v>
      </c>
      <c r="X19" s="81">
        <v>720.74</v>
      </c>
      <c r="Y19" s="18">
        <v>1360</v>
      </c>
      <c r="Z19" s="82">
        <v>1822</v>
      </c>
      <c r="AA19" s="74">
        <v>2627805.792300446</v>
      </c>
      <c r="AB19" s="90">
        <f t="shared" si="8"/>
        <v>74101.078878680768</v>
      </c>
      <c r="AC19" s="36">
        <f t="shared" si="5"/>
        <v>4.2607197695095077E-5</v>
      </c>
      <c r="AD19" s="32">
        <f t="shared" si="9"/>
        <v>1.9984641560931893E-4</v>
      </c>
      <c r="AE19" s="32">
        <f t="shared" si="10"/>
        <v>1.683443854217695E-3</v>
      </c>
      <c r="AF19" s="36">
        <f t="shared" si="11"/>
        <v>1.883290269827014E-3</v>
      </c>
      <c r="AG19" s="32">
        <f t="shared" si="12"/>
        <v>1.0596895002784182E-3</v>
      </c>
      <c r="AH19" s="32">
        <f t="shared" si="13"/>
        <v>8.9735667952948808E-3</v>
      </c>
      <c r="AI19" s="36">
        <f t="shared" si="14"/>
        <v>1.0033256295573299E-2</v>
      </c>
      <c r="AJ19" s="129">
        <f>IF('Datos Mun'!B19="AMM",Y19,0)</f>
        <v>0</v>
      </c>
      <c r="AK19" s="36">
        <f t="shared" si="15"/>
        <v>0</v>
      </c>
      <c r="AL19" s="129">
        <f>IF('Datos Mun'!B19="AMM",0,Y19)</f>
        <v>1360</v>
      </c>
      <c r="AM19" s="36">
        <f t="shared" si="16"/>
        <v>1.536162507920838E-3</v>
      </c>
      <c r="AN19" s="129">
        <f t="shared" si="17"/>
        <v>0</v>
      </c>
      <c r="AO19" s="36">
        <f t="shared" si="18"/>
        <v>0</v>
      </c>
      <c r="AP19" s="101">
        <f>IF('Datos Mun'!B19="AMM",'Art 14 F I'!F21,'Art 14 F I'!M21)</f>
        <v>1.4752475841627739E-2</v>
      </c>
      <c r="AQ19" s="38">
        <f>IF('Datos Mun'!D19="Zona de Crec",'Art 14 F I'!T21,0)</f>
        <v>0</v>
      </c>
    </row>
    <row r="20" spans="1:43">
      <c r="A20" s="17" t="s">
        <v>16</v>
      </c>
      <c r="B20" s="96" t="s">
        <v>112</v>
      </c>
      <c r="C20" s="96" t="s">
        <v>112</v>
      </c>
      <c r="D20" s="96" t="s">
        <v>113</v>
      </c>
      <c r="E20" s="77">
        <v>531178</v>
      </c>
      <c r="F20" s="18">
        <v>2045528</v>
      </c>
      <c r="G20" s="18">
        <v>704192</v>
      </c>
      <c r="H20" s="18">
        <v>2353237</v>
      </c>
      <c r="I20" s="14">
        <f t="shared" si="0"/>
        <v>0.29924397755092241</v>
      </c>
      <c r="J20" s="14">
        <f t="shared" si="1"/>
        <v>0.32571755607348196</v>
      </c>
      <c r="K20" s="8">
        <v>519</v>
      </c>
      <c r="L20" s="9">
        <v>176</v>
      </c>
      <c r="M20" s="9">
        <v>1034</v>
      </c>
      <c r="N20" s="9">
        <v>145</v>
      </c>
      <c r="O20" s="14">
        <f t="shared" si="2"/>
        <v>2.5035278635428637E-3</v>
      </c>
      <c r="P20" s="9">
        <v>277.00000000287605</v>
      </c>
      <c r="Q20" s="9">
        <v>136</v>
      </c>
      <c r="R20" s="9">
        <v>317</v>
      </c>
      <c r="S20" s="9">
        <v>84</v>
      </c>
      <c r="T20" s="14">
        <f t="shared" si="3"/>
        <v>2.8557104435277978E-3</v>
      </c>
      <c r="U20" s="14">
        <f t="shared" si="6"/>
        <v>0.14067451979006276</v>
      </c>
      <c r="V20" s="14">
        <f t="shared" si="7"/>
        <v>0</v>
      </c>
      <c r="W20" s="14">
        <f t="shared" si="4"/>
        <v>0</v>
      </c>
      <c r="X20" s="81">
        <v>615.78</v>
      </c>
      <c r="Y20" s="18">
        <v>3256</v>
      </c>
      <c r="Z20" s="82">
        <v>3278</v>
      </c>
      <c r="AA20" s="74">
        <v>896589.74590828759</v>
      </c>
      <c r="AB20" s="90">
        <f t="shared" si="8"/>
        <v>242424.63210672259</v>
      </c>
      <c r="AC20" s="36">
        <f t="shared" si="5"/>
        <v>1.3939114494193329E-4</v>
      </c>
      <c r="AD20" s="32">
        <f t="shared" si="9"/>
        <v>4.7845583031172234E-4</v>
      </c>
      <c r="AE20" s="32">
        <f t="shared" si="10"/>
        <v>1.4382871167829899E-3</v>
      </c>
      <c r="AF20" s="36">
        <f t="shared" si="11"/>
        <v>1.9167429470947123E-3</v>
      </c>
      <c r="AG20" s="32">
        <f t="shared" si="12"/>
        <v>2.4273538769986279E-3</v>
      </c>
      <c r="AH20" s="32">
        <f t="shared" si="13"/>
        <v>0</v>
      </c>
      <c r="AI20" s="36">
        <f t="shared" si="14"/>
        <v>2.4273538769986279E-3</v>
      </c>
      <c r="AJ20" s="129">
        <f>IF('Datos Mun'!B20="AMM",Y20,0)</f>
        <v>0</v>
      </c>
      <c r="AK20" s="36">
        <f t="shared" si="15"/>
        <v>0</v>
      </c>
      <c r="AL20" s="129">
        <f>IF('Datos Mun'!B20="AMM",0,Y20)</f>
        <v>3256</v>
      </c>
      <c r="AM20" s="36">
        <f t="shared" si="16"/>
        <v>3.6777537689634179E-3</v>
      </c>
      <c r="AN20" s="129">
        <f t="shared" si="17"/>
        <v>0</v>
      </c>
      <c r="AO20" s="36">
        <f t="shared" si="18"/>
        <v>0</v>
      </c>
      <c r="AP20" s="101">
        <f>IF('Datos Mun'!B20="AMM",'Art 14 F I'!F22,'Art 14 F I'!M22)</f>
        <v>5.682408829047551E-3</v>
      </c>
      <c r="AQ20" s="38">
        <f>IF('Datos Mun'!D20="Zona de Crec",'Art 14 F I'!T22,0)</f>
        <v>0</v>
      </c>
    </row>
    <row r="21" spans="1:43">
      <c r="A21" s="17" t="s">
        <v>17</v>
      </c>
      <c r="B21" s="96" t="s">
        <v>112</v>
      </c>
      <c r="C21" s="96" t="s">
        <v>112</v>
      </c>
      <c r="D21" s="96" t="s">
        <v>113</v>
      </c>
      <c r="E21" s="77">
        <v>1058773</v>
      </c>
      <c r="F21" s="18">
        <v>9607239</v>
      </c>
      <c r="G21" s="18">
        <v>1253081</v>
      </c>
      <c r="H21" s="18">
        <v>9897478</v>
      </c>
      <c r="I21" s="14">
        <f t="shared" si="0"/>
        <v>0.12660609096579958</v>
      </c>
      <c r="J21" s="14">
        <f t="shared" si="1"/>
        <v>0.18352186918253488</v>
      </c>
      <c r="K21" s="8">
        <v>6824</v>
      </c>
      <c r="L21" s="9">
        <v>2866</v>
      </c>
      <c r="M21" s="9">
        <v>26645</v>
      </c>
      <c r="N21" s="9">
        <v>2369</v>
      </c>
      <c r="O21" s="14">
        <f t="shared" si="2"/>
        <v>4.7204442280875711E-2</v>
      </c>
      <c r="P21" s="9">
        <v>7532.9999999958</v>
      </c>
      <c r="Q21" s="9">
        <v>2466</v>
      </c>
      <c r="R21" s="9">
        <v>13627</v>
      </c>
      <c r="S21" s="9">
        <v>715</v>
      </c>
      <c r="T21" s="14">
        <f t="shared" si="3"/>
        <v>5.5035533032423221E-2</v>
      </c>
      <c r="U21" s="14">
        <f t="shared" si="6"/>
        <v>0.16589732603874402</v>
      </c>
      <c r="V21" s="14">
        <f t="shared" si="7"/>
        <v>0</v>
      </c>
      <c r="W21" s="14">
        <f t="shared" si="4"/>
        <v>0</v>
      </c>
      <c r="X21" s="81">
        <v>7010.79</v>
      </c>
      <c r="Y21" s="18">
        <v>40903</v>
      </c>
      <c r="Z21" s="82">
        <v>44543</v>
      </c>
      <c r="AA21" s="74">
        <v>13770707.582336776</v>
      </c>
      <c r="AB21" s="90">
        <f t="shared" si="8"/>
        <v>163440.50486940111</v>
      </c>
      <c r="AC21" s="36">
        <f t="shared" si="5"/>
        <v>9.397625524127455E-5</v>
      </c>
      <c r="AD21" s="32">
        <f t="shared" si="9"/>
        <v>6.0105278953440965E-3</v>
      </c>
      <c r="AE21" s="32">
        <f t="shared" si="10"/>
        <v>1.637521344550167E-2</v>
      </c>
      <c r="AF21" s="36">
        <f t="shared" si="11"/>
        <v>2.2385741340845765E-2</v>
      </c>
      <c r="AG21" s="32">
        <f t="shared" si="12"/>
        <v>4.6780203077559736E-2</v>
      </c>
      <c r="AH21" s="32">
        <f t="shared" si="13"/>
        <v>0</v>
      </c>
      <c r="AI21" s="36">
        <f t="shared" si="14"/>
        <v>4.6780203077559736E-2</v>
      </c>
      <c r="AJ21" s="129">
        <f>IF('Datos Mun'!B21="AMM",Y21,0)</f>
        <v>0</v>
      </c>
      <c r="AK21" s="36">
        <f t="shared" si="15"/>
        <v>0</v>
      </c>
      <c r="AL21" s="129">
        <f>IF('Datos Mun'!B21="AMM",0,Y21)</f>
        <v>40903</v>
      </c>
      <c r="AM21" s="36">
        <f t="shared" si="16"/>
        <v>4.6201216956975023E-2</v>
      </c>
      <c r="AN21" s="129">
        <f t="shared" si="17"/>
        <v>0</v>
      </c>
      <c r="AO21" s="36">
        <f t="shared" si="18"/>
        <v>0</v>
      </c>
      <c r="AP21" s="101">
        <f>IF('Datos Mun'!B21="AMM",'Art 14 F I'!F23,'Art 14 F I'!M23)</f>
        <v>8.5249297358007986E-2</v>
      </c>
      <c r="AQ21" s="38">
        <f>IF('Datos Mun'!D21="Zona de Crec",'Art 14 F I'!T23,0)</f>
        <v>0</v>
      </c>
    </row>
    <row r="22" spans="1:43">
      <c r="A22" s="17" t="s">
        <v>18</v>
      </c>
      <c r="B22" s="96" t="s">
        <v>114</v>
      </c>
      <c r="C22" s="96" t="s">
        <v>114</v>
      </c>
      <c r="D22" s="96" t="s">
        <v>115</v>
      </c>
      <c r="E22" s="77">
        <v>84817135</v>
      </c>
      <c r="F22" s="18">
        <v>354652384</v>
      </c>
      <c r="G22" s="18">
        <v>89654721.319999993</v>
      </c>
      <c r="H22" s="18">
        <v>377012210</v>
      </c>
      <c r="I22" s="14">
        <f t="shared" si="0"/>
        <v>0.23780323008636775</v>
      </c>
      <c r="J22" s="14">
        <f t="shared" si="1"/>
        <v>5.7035483690883841E-2</v>
      </c>
      <c r="K22" s="8">
        <v>3671</v>
      </c>
      <c r="L22" s="9">
        <v>1263</v>
      </c>
      <c r="M22" s="9">
        <v>9334</v>
      </c>
      <c r="N22" s="9">
        <v>932</v>
      </c>
      <c r="O22" s="14">
        <f t="shared" si="2"/>
        <v>1.8673316452561674E-2</v>
      </c>
      <c r="P22" s="9">
        <v>8688.9999999445354</v>
      </c>
      <c r="Q22" s="9">
        <v>1809</v>
      </c>
      <c r="R22" s="9">
        <v>2369</v>
      </c>
      <c r="S22" s="9">
        <v>783</v>
      </c>
      <c r="T22" s="14">
        <f t="shared" si="3"/>
        <v>3.2080092269919827E-2</v>
      </c>
      <c r="U22" s="14">
        <f t="shared" si="6"/>
        <v>0.71796436650217865</v>
      </c>
      <c r="V22" s="14">
        <f t="shared" si="7"/>
        <v>0</v>
      </c>
      <c r="W22" s="14">
        <f t="shared" si="4"/>
        <v>0</v>
      </c>
      <c r="X22" s="81">
        <v>1040.01</v>
      </c>
      <c r="Y22" s="18">
        <v>397205</v>
      </c>
      <c r="Z22" s="82">
        <v>290911</v>
      </c>
      <c r="AA22" s="74">
        <v>6970001.4448454408</v>
      </c>
      <c r="AB22" s="90">
        <f t="shared" si="8"/>
        <v>22664359.292638678</v>
      </c>
      <c r="AC22" s="36">
        <f t="shared" si="5"/>
        <v>1.3031724390883972E-2</v>
      </c>
      <c r="AD22" s="32">
        <f t="shared" si="9"/>
        <v>5.8367643758896706E-2</v>
      </c>
      <c r="AE22" s="32">
        <f t="shared" si="10"/>
        <v>2.4291678591793781E-3</v>
      </c>
      <c r="AF22" s="36">
        <f t="shared" si="11"/>
        <v>6.0796811618076083E-2</v>
      </c>
      <c r="AG22" s="32">
        <f t="shared" si="12"/>
        <v>2.7268078429431852E-2</v>
      </c>
      <c r="AH22" s="32">
        <f t="shared" si="13"/>
        <v>0</v>
      </c>
      <c r="AI22" s="36">
        <f t="shared" si="14"/>
        <v>2.7268078429431852E-2</v>
      </c>
      <c r="AJ22" s="129">
        <f>IF('Datos Mun'!B22="AMM",Y22,0)</f>
        <v>397205</v>
      </c>
      <c r="AK22" s="36">
        <f t="shared" si="15"/>
        <v>8.1076822179661279E-2</v>
      </c>
      <c r="AL22" s="129">
        <f>IF('Datos Mun'!B22="AMM",0,Y22)</f>
        <v>0</v>
      </c>
      <c r="AM22" s="36">
        <f t="shared" si="16"/>
        <v>0</v>
      </c>
      <c r="AN22" s="129">
        <f t="shared" si="17"/>
        <v>397205</v>
      </c>
      <c r="AO22" s="36">
        <f t="shared" si="18"/>
        <v>0.13277289969421169</v>
      </c>
      <c r="AP22" s="101">
        <f>IF('Datos Mun'!B22="AMM",'Art 14 F I'!F24,'Art 14 F I'!M24)</f>
        <v>3.5816679308287441E-2</v>
      </c>
      <c r="AQ22" s="38">
        <f>IF('Datos Mun'!D22="Zona de Crec",'Art 14 F I'!T24,0)</f>
        <v>0.10253451880495228</v>
      </c>
    </row>
    <row r="23" spans="1:43">
      <c r="A23" s="17" t="s">
        <v>19</v>
      </c>
      <c r="B23" s="96" t="s">
        <v>112</v>
      </c>
      <c r="C23" s="96" t="s">
        <v>112</v>
      </c>
      <c r="D23" s="96" t="s">
        <v>113</v>
      </c>
      <c r="E23" s="77">
        <v>1347671</v>
      </c>
      <c r="F23" s="18">
        <v>4705374</v>
      </c>
      <c r="G23" s="18">
        <v>1101010</v>
      </c>
      <c r="H23" s="18">
        <v>4942797</v>
      </c>
      <c r="I23" s="14">
        <f t="shared" si="0"/>
        <v>0.22275039820571227</v>
      </c>
      <c r="J23" s="14">
        <f t="shared" si="1"/>
        <v>-0.18302760837029217</v>
      </c>
      <c r="K23" s="8">
        <v>814</v>
      </c>
      <c r="L23" s="9">
        <v>270</v>
      </c>
      <c r="M23" s="9">
        <v>1738</v>
      </c>
      <c r="N23" s="9">
        <v>531</v>
      </c>
      <c r="O23" s="14">
        <f t="shared" si="2"/>
        <v>5.9353068366605382E-3</v>
      </c>
      <c r="P23" s="9">
        <v>320.00000000721394</v>
      </c>
      <c r="Q23" s="9">
        <v>216</v>
      </c>
      <c r="R23" s="9">
        <v>671</v>
      </c>
      <c r="S23" s="9">
        <v>199</v>
      </c>
      <c r="T23" s="14">
        <f t="shared" si="3"/>
        <v>5.9759951440321521E-3</v>
      </c>
      <c r="U23" s="14">
        <f t="shared" si="6"/>
        <v>6.8552997328284624E-3</v>
      </c>
      <c r="V23" s="14">
        <f t="shared" si="7"/>
        <v>0</v>
      </c>
      <c r="W23" s="14">
        <f t="shared" si="4"/>
        <v>0</v>
      </c>
      <c r="X23" s="81">
        <v>1894.8</v>
      </c>
      <c r="Y23" s="18">
        <v>5506</v>
      </c>
      <c r="Z23" s="82">
        <v>6059</v>
      </c>
      <c r="AA23" s="74">
        <v>2314156.6642328231</v>
      </c>
      <c r="AB23" s="90">
        <f t="shared" si="8"/>
        <v>257625.221735828</v>
      </c>
      <c r="AC23" s="36">
        <f t="shared" si="5"/>
        <v>1.4813129471046303E-4</v>
      </c>
      <c r="AD23" s="32">
        <f t="shared" si="9"/>
        <v>8.090840914300808E-4</v>
      </c>
      <c r="AE23" s="32">
        <f t="shared" si="10"/>
        <v>4.4257144254123372E-3</v>
      </c>
      <c r="AF23" s="36">
        <f t="shared" si="11"/>
        <v>5.2347985168424184E-3</v>
      </c>
      <c r="AG23" s="32">
        <f t="shared" si="12"/>
        <v>5.0795958724273293E-3</v>
      </c>
      <c r="AH23" s="32">
        <f t="shared" si="13"/>
        <v>0</v>
      </c>
      <c r="AI23" s="36">
        <f t="shared" si="14"/>
        <v>5.0795958724273293E-3</v>
      </c>
      <c r="AJ23" s="129">
        <f>IF('Datos Mun'!B23="AMM",Y23,0)</f>
        <v>0</v>
      </c>
      <c r="AK23" s="36">
        <f t="shared" si="15"/>
        <v>0</v>
      </c>
      <c r="AL23" s="129">
        <f>IF('Datos Mun'!B23="AMM",0,Y23)</f>
        <v>5506</v>
      </c>
      <c r="AM23" s="36">
        <f t="shared" si="16"/>
        <v>6.219199094567745E-3</v>
      </c>
      <c r="AN23" s="129">
        <f t="shared" si="17"/>
        <v>0</v>
      </c>
      <c r="AO23" s="36">
        <f t="shared" si="18"/>
        <v>0</v>
      </c>
      <c r="AP23" s="101">
        <f>IF('Datos Mun'!B23="AMM",'Art 14 F I'!F25,'Art 14 F I'!M25)</f>
        <v>1.3042541111535581E-2</v>
      </c>
      <c r="AQ23" s="38">
        <f>IF('Datos Mun'!D23="Zona de Crec",'Art 14 F I'!T25,0)</f>
        <v>0</v>
      </c>
    </row>
    <row r="24" spans="1:43">
      <c r="A24" s="17" t="s">
        <v>20</v>
      </c>
      <c r="B24" s="96" t="s">
        <v>114</v>
      </c>
      <c r="C24" s="96" t="s">
        <v>114</v>
      </c>
      <c r="D24" s="96" t="s">
        <v>115</v>
      </c>
      <c r="E24" s="77">
        <v>139338983</v>
      </c>
      <c r="F24" s="18">
        <v>422301629</v>
      </c>
      <c r="G24" s="18">
        <v>149244141.31999999</v>
      </c>
      <c r="H24" s="18">
        <v>437682929</v>
      </c>
      <c r="I24" s="14">
        <f t="shared" si="0"/>
        <v>0.34098689126621157</v>
      </c>
      <c r="J24" s="14">
        <f t="shared" si="1"/>
        <v>7.1086770598863869E-2</v>
      </c>
      <c r="K24" s="8">
        <v>25525</v>
      </c>
      <c r="L24" s="9">
        <v>4815</v>
      </c>
      <c r="M24" s="9">
        <v>33044</v>
      </c>
      <c r="N24" s="9">
        <v>5258</v>
      </c>
      <c r="O24" s="14">
        <f t="shared" si="2"/>
        <v>8.6919519735553008E-2</v>
      </c>
      <c r="P24" s="9">
        <v>20136.00000070727</v>
      </c>
      <c r="Q24" s="9">
        <v>4791</v>
      </c>
      <c r="R24" s="9">
        <v>5994</v>
      </c>
      <c r="S24" s="9">
        <v>875</v>
      </c>
      <c r="T24" s="14">
        <f t="shared" si="3"/>
        <v>6.0297942215401121E-2</v>
      </c>
      <c r="U24" s="14">
        <f t="shared" si="6"/>
        <v>-0.30627847002774872</v>
      </c>
      <c r="V24" s="14">
        <f t="shared" si="7"/>
        <v>0.30627847002774872</v>
      </c>
      <c r="W24" s="14">
        <f t="shared" si="4"/>
        <v>5.7072059505151061E-2</v>
      </c>
      <c r="X24" s="81">
        <v>151.27000000000001</v>
      </c>
      <c r="Y24" s="18">
        <v>481213</v>
      </c>
      <c r="Z24" s="82">
        <v>459071</v>
      </c>
      <c r="AA24" s="74">
        <v>13667505.466545394</v>
      </c>
      <c r="AB24" s="90">
        <f t="shared" si="8"/>
        <v>52743849.866475716</v>
      </c>
      <c r="AC24" s="36">
        <f t="shared" si="5"/>
        <v>3.0327056939894223E-2</v>
      </c>
      <c r="AD24" s="32">
        <f t="shared" si="9"/>
        <v>7.0712274407799397E-2</v>
      </c>
      <c r="AE24" s="32">
        <f t="shared" si="10"/>
        <v>3.5332373925064616E-4</v>
      </c>
      <c r="AF24" s="36">
        <f t="shared" si="11"/>
        <v>7.1065598147050046E-2</v>
      </c>
      <c r="AG24" s="32">
        <f t="shared" si="12"/>
        <v>5.1253250883090955E-2</v>
      </c>
      <c r="AH24" s="32">
        <f t="shared" si="13"/>
        <v>8.5608089257726595E-3</v>
      </c>
      <c r="AI24" s="36">
        <f t="shared" si="14"/>
        <v>5.9814059808863618E-2</v>
      </c>
      <c r="AJ24" s="129">
        <f>IF('Datos Mun'!B24="AMM",Y24,0)</f>
        <v>481213</v>
      </c>
      <c r="AK24" s="36">
        <f t="shared" si="15"/>
        <v>9.8224395039189699E-2</v>
      </c>
      <c r="AL24" s="129">
        <f>IF('Datos Mun'!B24="AMM",0,Y24)</f>
        <v>0</v>
      </c>
      <c r="AM24" s="36">
        <f t="shared" si="16"/>
        <v>0</v>
      </c>
      <c r="AN24" s="129">
        <f t="shared" si="17"/>
        <v>481213</v>
      </c>
      <c r="AO24" s="36">
        <f t="shared" si="18"/>
        <v>0.16085408134477333</v>
      </c>
      <c r="AP24" s="101">
        <f>IF('Datos Mun'!B24="AMM",'Art 14 F I'!F26,'Art 14 F I'!M26)</f>
        <v>6.0108678991709866E-2</v>
      </c>
      <c r="AQ24" s="38">
        <f>IF('Datos Mun'!D24="Zona de Crec",'Art 14 F I'!T26,0)</f>
        <v>0.17207665801084579</v>
      </c>
    </row>
    <row r="25" spans="1:43">
      <c r="A25" s="17" t="s">
        <v>21</v>
      </c>
      <c r="B25" s="96" t="s">
        <v>112</v>
      </c>
      <c r="C25" s="96" t="s">
        <v>112</v>
      </c>
      <c r="D25" s="96" t="s">
        <v>113</v>
      </c>
      <c r="E25" s="77">
        <v>3647488</v>
      </c>
      <c r="F25" s="18">
        <v>12413879</v>
      </c>
      <c r="G25" s="18">
        <v>4417747</v>
      </c>
      <c r="H25" s="18">
        <v>11203821</v>
      </c>
      <c r="I25" s="14">
        <f t="shared" si="0"/>
        <v>0.39430717431133538</v>
      </c>
      <c r="J25" s="14">
        <f t="shared" si="1"/>
        <v>0.21117519783478383</v>
      </c>
      <c r="K25" s="8">
        <v>3166</v>
      </c>
      <c r="L25" s="9">
        <v>724</v>
      </c>
      <c r="M25" s="9">
        <v>6502</v>
      </c>
      <c r="N25" s="9">
        <v>971</v>
      </c>
      <c r="O25" s="14">
        <f t="shared" si="2"/>
        <v>1.4976056308358143E-2</v>
      </c>
      <c r="P25" s="9">
        <v>1684.0000000044001</v>
      </c>
      <c r="Q25" s="9">
        <v>572</v>
      </c>
      <c r="R25" s="9">
        <v>3480</v>
      </c>
      <c r="S25" s="9">
        <v>459</v>
      </c>
      <c r="T25" s="14">
        <f t="shared" si="3"/>
        <v>1.8703392153060629E-2</v>
      </c>
      <c r="U25" s="14">
        <f t="shared" si="6"/>
        <v>0.24888634016568562</v>
      </c>
      <c r="V25" s="14">
        <f t="shared" si="7"/>
        <v>0</v>
      </c>
      <c r="W25" s="14">
        <f t="shared" si="4"/>
        <v>0</v>
      </c>
      <c r="X25" s="81">
        <v>2479.16</v>
      </c>
      <c r="Y25" s="18">
        <v>14109</v>
      </c>
      <c r="Z25" s="82">
        <v>16112</v>
      </c>
      <c r="AA25" s="74">
        <v>5035804.9607381914</v>
      </c>
      <c r="AB25" s="90">
        <f t="shared" si="8"/>
        <v>1572150.6997135223</v>
      </c>
      <c r="AC25" s="36">
        <f t="shared" si="5"/>
        <v>9.0396707690106233E-4</v>
      </c>
      <c r="AD25" s="32">
        <f t="shared" si="9"/>
        <v>2.0732596160528533E-3</v>
      </c>
      <c r="AE25" s="32">
        <f t="shared" si="10"/>
        <v>5.7906133496438946E-3</v>
      </c>
      <c r="AF25" s="36">
        <f t="shared" si="11"/>
        <v>7.8638729656967474E-3</v>
      </c>
      <c r="AG25" s="32">
        <f t="shared" si="12"/>
        <v>1.5897883330101534E-2</v>
      </c>
      <c r="AH25" s="32">
        <f t="shared" si="13"/>
        <v>0</v>
      </c>
      <c r="AI25" s="36">
        <f t="shared" si="14"/>
        <v>1.5897883330101534E-2</v>
      </c>
      <c r="AJ25" s="129">
        <f>IF('Datos Mun'!B25="AMM",Y25,0)</f>
        <v>0</v>
      </c>
      <c r="AK25" s="36">
        <f t="shared" si="15"/>
        <v>0</v>
      </c>
      <c r="AL25" s="129">
        <f>IF('Datos Mun'!B25="AMM",0,Y25)</f>
        <v>14109</v>
      </c>
      <c r="AM25" s="36">
        <f t="shared" si="16"/>
        <v>1.5936556488422869E-2</v>
      </c>
      <c r="AN25" s="129">
        <f t="shared" si="17"/>
        <v>0</v>
      </c>
      <c r="AO25" s="36">
        <f t="shared" si="18"/>
        <v>0</v>
      </c>
      <c r="AP25" s="101">
        <f>IF('Datos Mun'!B25="AMM",'Art 14 F I'!F27,'Art 14 F I'!M27)</f>
        <v>3.1430074458905402E-2</v>
      </c>
      <c r="AQ25" s="38">
        <f>IF('Datos Mun'!D25="Zona de Crec",'Art 14 F I'!T27,0)</f>
        <v>0</v>
      </c>
    </row>
    <row r="26" spans="1:43">
      <c r="A26" s="17" t="s">
        <v>22</v>
      </c>
      <c r="B26" s="96" t="s">
        <v>112</v>
      </c>
      <c r="C26" s="96" t="s">
        <v>112</v>
      </c>
      <c r="D26" s="96" t="s">
        <v>113</v>
      </c>
      <c r="E26" s="77">
        <v>228955</v>
      </c>
      <c r="F26" s="18">
        <v>784275</v>
      </c>
      <c r="G26" s="18">
        <v>320606.25</v>
      </c>
      <c r="H26" s="18">
        <v>822645</v>
      </c>
      <c r="I26" s="14">
        <f t="shared" si="0"/>
        <v>0.38972612730886347</v>
      </c>
      <c r="J26" s="14">
        <f t="shared" si="1"/>
        <v>0.40030246118232843</v>
      </c>
      <c r="K26" s="8">
        <v>248</v>
      </c>
      <c r="L26" s="9">
        <v>63</v>
      </c>
      <c r="M26" s="9">
        <v>357</v>
      </c>
      <c r="N26" s="9">
        <v>74</v>
      </c>
      <c r="O26" s="14">
        <f t="shared" si="2"/>
        <v>1.0638412639101531E-3</v>
      </c>
      <c r="P26" s="9">
        <v>138</v>
      </c>
      <c r="Q26" s="9">
        <v>45</v>
      </c>
      <c r="R26" s="9">
        <v>165</v>
      </c>
      <c r="S26" s="9">
        <v>30</v>
      </c>
      <c r="T26" s="14">
        <f t="shared" si="3"/>
        <v>1.1435907453274151E-3</v>
      </c>
      <c r="U26" s="14">
        <f t="shared" si="6"/>
        <v>7.4963703818126448E-2</v>
      </c>
      <c r="V26" s="14">
        <f t="shared" si="7"/>
        <v>0</v>
      </c>
      <c r="W26" s="14">
        <f t="shared" si="4"/>
        <v>0</v>
      </c>
      <c r="X26" s="81">
        <v>388.05</v>
      </c>
      <c r="Y26" s="18">
        <v>1808</v>
      </c>
      <c r="Z26" s="82">
        <v>1196</v>
      </c>
      <c r="AA26" s="74">
        <v>2579267.2849072521</v>
      </c>
      <c r="AB26" s="90">
        <f t="shared" si="8"/>
        <v>131061.63978076886</v>
      </c>
      <c r="AC26" s="36">
        <f t="shared" si="5"/>
        <v>7.5358810976625988E-5</v>
      </c>
      <c r="AD26" s="32">
        <f t="shared" si="9"/>
        <v>2.6567817604532988E-4</v>
      </c>
      <c r="AE26" s="32">
        <f t="shared" si="10"/>
        <v>9.0637454231647541E-4</v>
      </c>
      <c r="AF26" s="36">
        <f t="shared" si="11"/>
        <v>1.1720527183618052E-3</v>
      </c>
      <c r="AG26" s="32">
        <f t="shared" si="12"/>
        <v>9.7205213352830283E-4</v>
      </c>
      <c r="AH26" s="32">
        <f t="shared" si="13"/>
        <v>0</v>
      </c>
      <c r="AI26" s="36">
        <f t="shared" si="14"/>
        <v>9.7205213352830283E-4</v>
      </c>
      <c r="AJ26" s="129">
        <f>IF('Datos Mun'!B26="AMM",Y26,0)</f>
        <v>0</v>
      </c>
      <c r="AK26" s="36">
        <f t="shared" si="15"/>
        <v>0</v>
      </c>
      <c r="AL26" s="129">
        <f>IF('Datos Mun'!B26="AMM",0,Y26)</f>
        <v>1808</v>
      </c>
      <c r="AM26" s="36">
        <f t="shared" si="16"/>
        <v>2.0421925105300553E-3</v>
      </c>
      <c r="AN26" s="129">
        <f t="shared" si="17"/>
        <v>0</v>
      </c>
      <c r="AO26" s="36">
        <f t="shared" si="18"/>
        <v>0</v>
      </c>
      <c r="AP26" s="101">
        <f>IF('Datos Mun'!B26="AMM",'Art 14 F I'!F28,'Art 14 F I'!M28)</f>
        <v>2.8207788187750021E-3</v>
      </c>
      <c r="AQ26" s="38">
        <f>IF('Datos Mun'!D26="Zona de Crec",'Art 14 F I'!T28,0)</f>
        <v>0</v>
      </c>
    </row>
    <row r="27" spans="1:43">
      <c r="A27" s="17" t="s">
        <v>23</v>
      </c>
      <c r="B27" s="96" t="s">
        <v>112</v>
      </c>
      <c r="C27" s="96" t="s">
        <v>112</v>
      </c>
      <c r="D27" s="96" t="s">
        <v>113</v>
      </c>
      <c r="E27" s="77">
        <v>194795</v>
      </c>
      <c r="F27" s="18">
        <v>1405117</v>
      </c>
      <c r="G27" s="18">
        <v>194672</v>
      </c>
      <c r="H27" s="18">
        <v>1482915</v>
      </c>
      <c r="I27" s="14">
        <f t="shared" si="0"/>
        <v>0.13127657350556168</v>
      </c>
      <c r="J27" s="14">
        <f t="shared" si="1"/>
        <v>-6.3143304499602149E-4</v>
      </c>
      <c r="K27" s="8">
        <v>1391</v>
      </c>
      <c r="L27" s="9">
        <v>407</v>
      </c>
      <c r="M27" s="9">
        <v>3581</v>
      </c>
      <c r="N27" s="9">
        <v>1264</v>
      </c>
      <c r="O27" s="14">
        <f t="shared" si="2"/>
        <v>1.2722731945209571E-2</v>
      </c>
      <c r="P27" s="9">
        <v>1108.99999999377</v>
      </c>
      <c r="Q27" s="9">
        <v>288</v>
      </c>
      <c r="R27" s="9">
        <v>3319</v>
      </c>
      <c r="S27" s="9">
        <v>607</v>
      </c>
      <c r="T27" s="14">
        <f t="shared" si="3"/>
        <v>1.9650472199698121E-2</v>
      </c>
      <c r="U27" s="14">
        <f t="shared" si="6"/>
        <v>0.54451671891877107</v>
      </c>
      <c r="V27" s="14">
        <f t="shared" si="7"/>
        <v>0</v>
      </c>
      <c r="W27" s="14">
        <f t="shared" si="4"/>
        <v>0</v>
      </c>
      <c r="X27" s="81">
        <v>1314.52</v>
      </c>
      <c r="Y27" s="18">
        <v>6282</v>
      </c>
      <c r="Z27" s="82">
        <v>6546</v>
      </c>
      <c r="AA27" s="74">
        <v>4083989.3872715947</v>
      </c>
      <c r="AB27" s="90">
        <f t="shared" si="8"/>
        <v>26970.841277986103</v>
      </c>
      <c r="AC27" s="36">
        <f t="shared" si="5"/>
        <v>1.5507897910846762E-5</v>
      </c>
      <c r="AD27" s="32">
        <f t="shared" si="9"/>
        <v>9.2311410504245699E-4</v>
      </c>
      <c r="AE27" s="32">
        <f t="shared" si="10"/>
        <v>3.070345221919478E-3</v>
      </c>
      <c r="AF27" s="36">
        <f t="shared" si="11"/>
        <v>3.9934593269619345E-3</v>
      </c>
      <c r="AG27" s="32">
        <f t="shared" si="12"/>
        <v>1.6702901369743402E-2</v>
      </c>
      <c r="AH27" s="32">
        <f t="shared" si="13"/>
        <v>0</v>
      </c>
      <c r="AI27" s="36">
        <f t="shared" si="14"/>
        <v>1.6702901369743402E-2</v>
      </c>
      <c r="AJ27" s="129">
        <f>IF('Datos Mun'!B27="AMM",Y27,0)</f>
        <v>0</v>
      </c>
      <c r="AK27" s="36">
        <f t="shared" si="15"/>
        <v>0</v>
      </c>
      <c r="AL27" s="129">
        <f>IF('Datos Mun'!B27="AMM",0,Y27)</f>
        <v>6282</v>
      </c>
      <c r="AM27" s="36">
        <f t="shared" si="16"/>
        <v>7.0957153490872824E-3</v>
      </c>
      <c r="AN27" s="129">
        <f t="shared" si="17"/>
        <v>0</v>
      </c>
      <c r="AO27" s="36">
        <f t="shared" si="18"/>
        <v>0</v>
      </c>
      <c r="AP27" s="101">
        <f>IF('Datos Mun'!B27="AMM",'Art 14 F I'!F29,'Art 14 F I'!M29)</f>
        <v>2.5477937943048923E-2</v>
      </c>
      <c r="AQ27" s="38">
        <f>IF('Datos Mun'!D27="Zona de Crec",'Art 14 F I'!T29,0)</f>
        <v>0</v>
      </c>
    </row>
    <row r="28" spans="1:43">
      <c r="A28" s="17" t="s">
        <v>24</v>
      </c>
      <c r="B28" s="96" t="s">
        <v>112</v>
      </c>
      <c r="C28" s="96" t="s">
        <v>112</v>
      </c>
      <c r="D28" s="96" t="s">
        <v>115</v>
      </c>
      <c r="E28" s="77">
        <v>11872386</v>
      </c>
      <c r="F28" s="18">
        <v>58791281</v>
      </c>
      <c r="G28" s="18">
        <v>7133102</v>
      </c>
      <c r="H28" s="18">
        <v>59610291</v>
      </c>
      <c r="I28" s="14">
        <f t="shared" si="0"/>
        <v>0.11966225764608329</v>
      </c>
      <c r="J28" s="14">
        <f t="shared" si="1"/>
        <v>-0.39918547122709791</v>
      </c>
      <c r="K28" s="8">
        <v>870</v>
      </c>
      <c r="L28" s="9">
        <v>295</v>
      </c>
      <c r="M28" s="9">
        <v>1873</v>
      </c>
      <c r="N28" s="9">
        <v>57</v>
      </c>
      <c r="O28" s="14">
        <f t="shared" si="2"/>
        <v>3.1127641837955201E-3</v>
      </c>
      <c r="P28" s="9">
        <v>2629.9999999954803</v>
      </c>
      <c r="Q28" s="9">
        <v>513</v>
      </c>
      <c r="R28" s="9">
        <v>350</v>
      </c>
      <c r="S28" s="9">
        <v>123</v>
      </c>
      <c r="T28" s="14">
        <f t="shared" si="3"/>
        <v>6.770433865754372E-3</v>
      </c>
      <c r="U28" s="14">
        <f t="shared" si="6"/>
        <v>1.1750551811794834</v>
      </c>
      <c r="V28" s="14">
        <f t="shared" si="7"/>
        <v>0</v>
      </c>
      <c r="W28" s="14">
        <f t="shared" si="4"/>
        <v>0</v>
      </c>
      <c r="X28" s="81">
        <v>184.87</v>
      </c>
      <c r="Y28" s="18">
        <v>102149</v>
      </c>
      <c r="Z28" s="82">
        <v>88975</v>
      </c>
      <c r="AA28" s="74">
        <v>4282795.5586598059</v>
      </c>
      <c r="AB28" s="90">
        <f t="shared" si="8"/>
        <v>865453.91216095467</v>
      </c>
      <c r="AC28" s="36">
        <f t="shared" si="5"/>
        <v>4.9762522340338327E-4</v>
      </c>
      <c r="AD28" s="32">
        <f t="shared" si="9"/>
        <v>1.5010376108879646E-2</v>
      </c>
      <c r="AE28" s="32">
        <f t="shared" si="10"/>
        <v>4.3180379239285356E-4</v>
      </c>
      <c r="AF28" s="36">
        <f t="shared" si="11"/>
        <v>1.54421799012725E-2</v>
      </c>
      <c r="AG28" s="32">
        <f t="shared" si="12"/>
        <v>5.7548687858912165E-3</v>
      </c>
      <c r="AH28" s="32">
        <f t="shared" si="13"/>
        <v>0</v>
      </c>
      <c r="AI28" s="36">
        <f t="shared" si="14"/>
        <v>5.7548687858912165E-3</v>
      </c>
      <c r="AJ28" s="129">
        <f>IF('Datos Mun'!B28="AMM",Y28,0)</f>
        <v>0</v>
      </c>
      <c r="AK28" s="36">
        <f t="shared" si="15"/>
        <v>0</v>
      </c>
      <c r="AL28" s="129">
        <f>IF('Datos Mun'!B28="AMM",0,Y28)</f>
        <v>102149</v>
      </c>
      <c r="AM28" s="36">
        <f t="shared" si="16"/>
        <v>0.11538048825118065</v>
      </c>
      <c r="AN28" s="129">
        <f t="shared" si="17"/>
        <v>102149</v>
      </c>
      <c r="AO28" s="36">
        <f t="shared" si="18"/>
        <v>3.4145136468231842E-2</v>
      </c>
      <c r="AP28" s="101">
        <f>IF('Datos Mun'!B28="AMM",'Art 14 F I'!F30,'Art 14 F I'!M30)</f>
        <v>2.7278610023450417E-2</v>
      </c>
      <c r="AQ28" s="38">
        <f>IF('Datos Mun'!D28="Zona de Crec",'Art 14 F I'!T30,0)</f>
        <v>1.9937876396160459E-2</v>
      </c>
    </row>
    <row r="29" spans="1:43">
      <c r="A29" s="17" t="s">
        <v>25</v>
      </c>
      <c r="B29" s="96" t="s">
        <v>114</v>
      </c>
      <c r="C29" s="96" t="s">
        <v>114</v>
      </c>
      <c r="D29" s="96" t="s">
        <v>113</v>
      </c>
      <c r="E29" s="77">
        <v>252087113.56999999</v>
      </c>
      <c r="F29" s="18">
        <v>531696647</v>
      </c>
      <c r="G29" s="18">
        <v>259353547.03000003</v>
      </c>
      <c r="H29" s="18">
        <v>542535324</v>
      </c>
      <c r="I29" s="14">
        <f t="shared" si="0"/>
        <v>0.47803992764533804</v>
      </c>
      <c r="J29" s="14">
        <f t="shared" si="1"/>
        <v>2.8825088903175061E-2</v>
      </c>
      <c r="K29" s="8">
        <v>69698</v>
      </c>
      <c r="L29" s="9">
        <v>12447</v>
      </c>
      <c r="M29" s="9">
        <v>14729</v>
      </c>
      <c r="N29" s="9">
        <v>1417</v>
      </c>
      <c r="O29" s="14">
        <f t="shared" si="2"/>
        <v>9.6205301106005142E-2</v>
      </c>
      <c r="P29" s="9">
        <v>32769.999999791457</v>
      </c>
      <c r="Q29" s="9">
        <v>9468</v>
      </c>
      <c r="R29" s="9">
        <v>3881</v>
      </c>
      <c r="S29" s="9">
        <v>299</v>
      </c>
      <c r="T29" s="14">
        <f t="shared" si="3"/>
        <v>7.1416637155423596E-2</v>
      </c>
      <c r="U29" s="14">
        <f t="shared" si="6"/>
        <v>-0.25766422084441909</v>
      </c>
      <c r="V29" s="14">
        <f t="shared" si="7"/>
        <v>0.25766422084441909</v>
      </c>
      <c r="W29" s="14">
        <f t="shared" si="4"/>
        <v>4.80132597732017E-2</v>
      </c>
      <c r="X29" s="81">
        <v>117.79</v>
      </c>
      <c r="Y29" s="18">
        <v>643143</v>
      </c>
      <c r="Z29" s="82">
        <v>706231</v>
      </c>
      <c r="AA29" s="74">
        <v>23819745.92530071</v>
      </c>
      <c r="AB29" s="90">
        <f t="shared" si="8"/>
        <v>126508720.21963763</v>
      </c>
      <c r="AC29" s="36">
        <f t="shared" si="5"/>
        <v>7.27409389190736E-2</v>
      </c>
      <c r="AD29" s="32">
        <f t="shared" si="9"/>
        <v>9.4507222995753079E-2</v>
      </c>
      <c r="AE29" s="32">
        <f t="shared" si="10"/>
        <v>2.7512397201251811E-4</v>
      </c>
      <c r="AF29" s="36">
        <f t="shared" si="11"/>
        <v>9.4782346967765593E-2</v>
      </c>
      <c r="AG29" s="32">
        <f t="shared" si="12"/>
        <v>6.0704141582110058E-2</v>
      </c>
      <c r="AH29" s="32">
        <f t="shared" si="13"/>
        <v>7.2019889659802544E-3</v>
      </c>
      <c r="AI29" s="36">
        <f t="shared" si="14"/>
        <v>6.7906130548090318E-2</v>
      </c>
      <c r="AJ29" s="129">
        <f>IF('Datos Mun'!B29="AMM",Y29,0)</f>
        <v>643143</v>
      </c>
      <c r="AK29" s="36">
        <f t="shared" si="15"/>
        <v>0.13127727658789265</v>
      </c>
      <c r="AL29" s="129">
        <f>IF('Datos Mun'!B29="AMM",0,Y29)</f>
        <v>0</v>
      </c>
      <c r="AM29" s="36">
        <f t="shared" si="16"/>
        <v>0</v>
      </c>
      <c r="AN29" s="129">
        <f t="shared" si="17"/>
        <v>0</v>
      </c>
      <c r="AO29" s="36">
        <f t="shared" si="18"/>
        <v>0</v>
      </c>
      <c r="AP29" s="101">
        <f>IF('Datos Mun'!B29="AMM",'Art 14 F I'!F31,'Art 14 F I'!M31)</f>
        <v>9.671251595580016E-2</v>
      </c>
      <c r="AQ29" s="38">
        <f>IF('Datos Mun'!D29="Zona de Crec",'Art 14 F I'!T31,0)</f>
        <v>0</v>
      </c>
    </row>
    <row r="30" spans="1:43">
      <c r="A30" s="17" t="s">
        <v>26</v>
      </c>
      <c r="B30" s="96" t="s">
        <v>112</v>
      </c>
      <c r="C30" s="96" t="s">
        <v>112</v>
      </c>
      <c r="D30" s="96" t="s">
        <v>113</v>
      </c>
      <c r="E30" s="77">
        <v>228664</v>
      </c>
      <c r="F30" s="18">
        <v>818878</v>
      </c>
      <c r="G30" s="18">
        <v>294751</v>
      </c>
      <c r="H30" s="18">
        <v>1019354</v>
      </c>
      <c r="I30" s="14">
        <f t="shared" si="0"/>
        <v>0.28915469993741133</v>
      </c>
      <c r="J30" s="14">
        <f t="shared" si="1"/>
        <v>0.28901357450232656</v>
      </c>
      <c r="K30" s="8">
        <v>525</v>
      </c>
      <c r="L30" s="9">
        <v>111</v>
      </c>
      <c r="M30" s="9">
        <v>654</v>
      </c>
      <c r="N30" s="9">
        <v>69</v>
      </c>
      <c r="O30" s="14">
        <f t="shared" si="2"/>
        <v>1.5525523861855471E-3</v>
      </c>
      <c r="P30" s="9">
        <v>374.99999999594002</v>
      </c>
      <c r="Q30" s="9">
        <v>98</v>
      </c>
      <c r="R30" s="9">
        <v>163</v>
      </c>
      <c r="S30" s="9">
        <v>24</v>
      </c>
      <c r="T30" s="14">
        <f t="shared" si="3"/>
        <v>1.397547272996221E-3</v>
      </c>
      <c r="U30" s="14">
        <f t="shared" si="6"/>
        <v>-9.983889404862975E-2</v>
      </c>
      <c r="V30" s="14">
        <f t="shared" si="7"/>
        <v>9.983889404862975E-2</v>
      </c>
      <c r="W30" s="14">
        <f t="shared" si="4"/>
        <v>1.8604021698148197E-2</v>
      </c>
      <c r="X30" s="81">
        <v>497.27</v>
      </c>
      <c r="Y30" s="18">
        <v>1959</v>
      </c>
      <c r="Z30" s="82">
        <v>1986</v>
      </c>
      <c r="AA30" s="74">
        <v>2416180.5729740933</v>
      </c>
      <c r="AB30" s="90">
        <f t="shared" si="8"/>
        <v>106094.13368169618</v>
      </c>
      <c r="AC30" s="36">
        <f t="shared" si="5"/>
        <v>6.1002805849381599E-5</v>
      </c>
      <c r="AD30" s="32">
        <f t="shared" si="9"/>
        <v>2.8786700601371744E-4</v>
      </c>
      <c r="AE30" s="32">
        <f t="shared" si="10"/>
        <v>1.1614814293459958E-3</v>
      </c>
      <c r="AF30" s="36">
        <f t="shared" si="11"/>
        <v>1.4493484353597132E-3</v>
      </c>
      <c r="AG30" s="32">
        <f t="shared" si="12"/>
        <v>1.1879151820467877E-3</v>
      </c>
      <c r="AH30" s="32">
        <f t="shared" si="13"/>
        <v>2.7906032547222294E-3</v>
      </c>
      <c r="AI30" s="36">
        <f t="shared" si="14"/>
        <v>3.9785184367690171E-3</v>
      </c>
      <c r="AJ30" s="129">
        <f>IF('Datos Mun'!B30="AMM",Y30,0)</f>
        <v>0</v>
      </c>
      <c r="AK30" s="36">
        <f t="shared" si="15"/>
        <v>0</v>
      </c>
      <c r="AL30" s="129">
        <f>IF('Datos Mun'!B30="AMM",0,Y30)</f>
        <v>1959</v>
      </c>
      <c r="AM30" s="36">
        <f t="shared" si="16"/>
        <v>2.2127517301595012E-3</v>
      </c>
      <c r="AN30" s="129">
        <f t="shared" si="17"/>
        <v>0</v>
      </c>
      <c r="AO30" s="36">
        <f t="shared" si="18"/>
        <v>0</v>
      </c>
      <c r="AP30" s="101">
        <f>IF('Datos Mun'!B30="AMM",'Art 14 F I'!F32,'Art 14 F I'!M32)</f>
        <v>6.8218622258234786E-3</v>
      </c>
      <c r="AQ30" s="38">
        <f>IF('Datos Mun'!D30="Zona de Crec",'Art 14 F I'!T32,0)</f>
        <v>0</v>
      </c>
    </row>
    <row r="31" spans="1:43">
      <c r="A31" s="17" t="s">
        <v>27</v>
      </c>
      <c r="B31" s="96" t="s">
        <v>112</v>
      </c>
      <c r="C31" s="96" t="s">
        <v>112</v>
      </c>
      <c r="D31" s="96" t="s">
        <v>113</v>
      </c>
      <c r="E31" s="77">
        <v>558660</v>
      </c>
      <c r="F31" s="18">
        <v>2180533</v>
      </c>
      <c r="G31" s="18">
        <v>501704</v>
      </c>
      <c r="H31" s="18">
        <v>2430155</v>
      </c>
      <c r="I31" s="14">
        <f t="shared" si="0"/>
        <v>0.20644938285829506</v>
      </c>
      <c r="J31" s="14">
        <f t="shared" si="1"/>
        <v>-0.10195109726846383</v>
      </c>
      <c r="K31" s="8">
        <v>1777</v>
      </c>
      <c r="L31" s="9">
        <v>482</v>
      </c>
      <c r="M31" s="9">
        <v>1571</v>
      </c>
      <c r="N31" s="9">
        <v>193</v>
      </c>
      <c r="O31" s="14">
        <f t="shared" si="2"/>
        <v>4.8172617237070628E-3</v>
      </c>
      <c r="P31" s="9">
        <v>887.9999999826681</v>
      </c>
      <c r="Q31" s="9">
        <v>349</v>
      </c>
      <c r="R31" s="9">
        <v>145</v>
      </c>
      <c r="S31" s="9">
        <v>79</v>
      </c>
      <c r="T31" s="14">
        <f t="shared" si="3"/>
        <v>3.6229504163855729E-3</v>
      </c>
      <c r="U31" s="14">
        <f t="shared" si="6"/>
        <v>-0.24792327588180588</v>
      </c>
      <c r="V31" s="14">
        <f t="shared" si="7"/>
        <v>0.24792327588180588</v>
      </c>
      <c r="W31" s="14">
        <f t="shared" si="4"/>
        <v>4.6198127973397771E-2</v>
      </c>
      <c r="X31" s="81">
        <v>170.12</v>
      </c>
      <c r="Y31" s="18">
        <v>16086</v>
      </c>
      <c r="Z31" s="82">
        <v>15875</v>
      </c>
      <c r="AA31" s="74">
        <v>2523675.0481478898</v>
      </c>
      <c r="AB31" s="90">
        <f t="shared" si="8"/>
        <v>115433.6593924513</v>
      </c>
      <c r="AC31" s="36">
        <f t="shared" si="5"/>
        <v>6.637291684315086E-5</v>
      </c>
      <c r="AD31" s="32">
        <f t="shared" si="9"/>
        <v>2.3637716481555177E-3</v>
      </c>
      <c r="AE31" s="32">
        <f t="shared" si="10"/>
        <v>3.9735198334977145E-4</v>
      </c>
      <c r="AF31" s="36">
        <f t="shared" si="11"/>
        <v>2.7611236315052893E-3</v>
      </c>
      <c r="AG31" s="32">
        <f t="shared" si="12"/>
        <v>3.0795078539277371E-3</v>
      </c>
      <c r="AH31" s="32">
        <f t="shared" si="13"/>
        <v>6.9297191960096651E-3</v>
      </c>
      <c r="AI31" s="36">
        <f t="shared" si="14"/>
        <v>1.0009227049937402E-2</v>
      </c>
      <c r="AJ31" s="129">
        <f>IF('Datos Mun'!B31="AMM",Y31,0)</f>
        <v>0</v>
      </c>
      <c r="AK31" s="36">
        <f t="shared" si="15"/>
        <v>0</v>
      </c>
      <c r="AL31" s="129">
        <f>IF('Datos Mun'!B31="AMM",0,Y31)</f>
        <v>16086</v>
      </c>
      <c r="AM31" s="36">
        <f t="shared" si="16"/>
        <v>1.8169639781187207E-2</v>
      </c>
      <c r="AN31" s="129">
        <f t="shared" si="17"/>
        <v>0</v>
      </c>
      <c r="AO31" s="36">
        <f t="shared" si="18"/>
        <v>0</v>
      </c>
      <c r="AP31" s="101">
        <f>IF('Datos Mun'!B31="AMM",'Art 14 F I'!F33,'Art 14 F I'!M33)</f>
        <v>1.5860390841269834E-2</v>
      </c>
      <c r="AQ31" s="38">
        <f>IF('Datos Mun'!D31="Zona de Crec",'Art 14 F I'!T33,0)</f>
        <v>0</v>
      </c>
    </row>
    <row r="32" spans="1:43">
      <c r="A32" s="17" t="s">
        <v>28</v>
      </c>
      <c r="B32" s="96" t="s">
        <v>112</v>
      </c>
      <c r="C32" s="96" t="s">
        <v>112</v>
      </c>
      <c r="D32" s="96" t="s">
        <v>113</v>
      </c>
      <c r="E32" s="77">
        <v>282361</v>
      </c>
      <c r="F32" s="18">
        <v>678268</v>
      </c>
      <c r="G32" s="18">
        <v>314751</v>
      </c>
      <c r="H32" s="18">
        <v>721085</v>
      </c>
      <c r="I32" s="14">
        <f t="shared" si="0"/>
        <v>0.436496390855447</v>
      </c>
      <c r="J32" s="14">
        <f t="shared" si="1"/>
        <v>0.11471130928138093</v>
      </c>
      <c r="K32" s="8">
        <v>236</v>
      </c>
      <c r="L32" s="9">
        <v>70</v>
      </c>
      <c r="M32" s="9">
        <v>392</v>
      </c>
      <c r="N32" s="9">
        <v>106</v>
      </c>
      <c r="O32" s="14">
        <f t="shared" si="2"/>
        <v>1.3072873655381025E-3</v>
      </c>
      <c r="P32" s="9">
        <v>156.00000000186</v>
      </c>
      <c r="Q32" s="9">
        <v>60</v>
      </c>
      <c r="R32" s="9">
        <v>117</v>
      </c>
      <c r="S32" s="9">
        <v>25</v>
      </c>
      <c r="T32" s="14">
        <f t="shared" si="3"/>
        <v>1.0204101512400637E-3</v>
      </c>
      <c r="U32" s="14">
        <f t="shared" si="6"/>
        <v>-0.21944464687758616</v>
      </c>
      <c r="V32" s="14">
        <f t="shared" si="7"/>
        <v>0.21944464687758616</v>
      </c>
      <c r="W32" s="14">
        <f t="shared" si="4"/>
        <v>4.0891408212760681E-2</v>
      </c>
      <c r="X32" s="81">
        <v>444.11</v>
      </c>
      <c r="Y32" s="18">
        <v>1386</v>
      </c>
      <c r="Z32" s="82">
        <v>1700</v>
      </c>
      <c r="AA32" s="74">
        <v>2212342.7472197949</v>
      </c>
      <c r="AB32" s="90">
        <f t="shared" si="8"/>
        <v>146060.54244192562</v>
      </c>
      <c r="AC32" s="36">
        <f t="shared" si="5"/>
        <v>8.3982993249864853E-5</v>
      </c>
      <c r="AD32" s="32">
        <f t="shared" si="9"/>
        <v>2.0366700884890884E-4</v>
      </c>
      <c r="AE32" s="32">
        <f t="shared" si="10"/>
        <v>1.0373147738388607E-3</v>
      </c>
      <c r="AF32" s="36">
        <f t="shared" si="11"/>
        <v>1.2409817826877696E-3</v>
      </c>
      <c r="AG32" s="32">
        <f t="shared" si="12"/>
        <v>8.6734862855405406E-4</v>
      </c>
      <c r="AH32" s="32">
        <f t="shared" si="13"/>
        <v>6.1337112319141017E-3</v>
      </c>
      <c r="AI32" s="36">
        <f t="shared" si="14"/>
        <v>7.0010598604681555E-3</v>
      </c>
      <c r="AJ32" s="129">
        <f>IF('Datos Mun'!B32="AMM",Y32,0)</f>
        <v>0</v>
      </c>
      <c r="AK32" s="36">
        <f t="shared" si="15"/>
        <v>0</v>
      </c>
      <c r="AL32" s="129">
        <f>IF('Datos Mun'!B32="AMM",0,Y32)</f>
        <v>1386</v>
      </c>
      <c r="AM32" s="36">
        <f t="shared" si="16"/>
        <v>1.5655303205722657E-3</v>
      </c>
      <c r="AN32" s="129">
        <f t="shared" si="17"/>
        <v>0</v>
      </c>
      <c r="AO32" s="36">
        <f t="shared" si="18"/>
        <v>0</v>
      </c>
      <c r="AP32" s="101">
        <f>IF('Datos Mun'!B32="AMM",'Art 14 F I'!F34,'Art 14 F I'!M34)</f>
        <v>1.0337519201534586E-2</v>
      </c>
      <c r="AQ32" s="38">
        <f>IF('Datos Mun'!D32="Zona de Crec",'Art 14 F I'!T34,0)</f>
        <v>0</v>
      </c>
    </row>
    <row r="33" spans="1:43">
      <c r="A33" s="17" t="s">
        <v>29</v>
      </c>
      <c r="B33" s="96" t="s">
        <v>112</v>
      </c>
      <c r="C33" s="96" t="s">
        <v>112</v>
      </c>
      <c r="D33" s="96" t="s">
        <v>113</v>
      </c>
      <c r="E33" s="77">
        <v>494360</v>
      </c>
      <c r="F33" s="18">
        <v>1784944</v>
      </c>
      <c r="G33" s="18">
        <v>586273</v>
      </c>
      <c r="H33" s="18">
        <v>1890448</v>
      </c>
      <c r="I33" s="14">
        <f t="shared" si="0"/>
        <v>0.31012384366033874</v>
      </c>
      <c r="J33" s="14">
        <f t="shared" si="1"/>
        <v>0.18592321385225341</v>
      </c>
      <c r="K33" s="8">
        <v>1201</v>
      </c>
      <c r="L33" s="9">
        <v>234</v>
      </c>
      <c r="M33" s="9">
        <v>2745</v>
      </c>
      <c r="N33" s="9">
        <v>176</v>
      </c>
      <c r="O33" s="14">
        <f t="shared" si="2"/>
        <v>4.5454949869131846E-3</v>
      </c>
      <c r="P33" s="9">
        <v>649.99999999475995</v>
      </c>
      <c r="Q33" s="9">
        <v>185</v>
      </c>
      <c r="R33" s="9">
        <v>941</v>
      </c>
      <c r="S33" s="9">
        <v>42</v>
      </c>
      <c r="T33" s="14">
        <f t="shared" si="3"/>
        <v>3.8184418521229071E-3</v>
      </c>
      <c r="U33" s="14">
        <f t="shared" si="6"/>
        <v>-0.15995026655700142</v>
      </c>
      <c r="V33" s="14">
        <f t="shared" si="7"/>
        <v>0.15995026655700142</v>
      </c>
      <c r="W33" s="14">
        <f t="shared" si="4"/>
        <v>2.9805200247927655E-2</v>
      </c>
      <c r="X33" s="81">
        <v>127.8</v>
      </c>
      <c r="Y33" s="18">
        <v>7026</v>
      </c>
      <c r="Z33" s="82">
        <v>7661</v>
      </c>
      <c r="AA33" s="74">
        <v>1837459.503722325</v>
      </c>
      <c r="AB33" s="90">
        <f t="shared" si="8"/>
        <v>192564.04152119058</v>
      </c>
      <c r="AC33" s="36">
        <f t="shared" si="5"/>
        <v>1.1072192618804596E-4</v>
      </c>
      <c r="AD33" s="32">
        <f t="shared" si="9"/>
        <v>1.0324418500522608E-3</v>
      </c>
      <c r="AE33" s="32">
        <f t="shared" si="10"/>
        <v>2.9850448784446735E-4</v>
      </c>
      <c r="AF33" s="36">
        <f t="shared" si="11"/>
        <v>1.3309463378967281E-3</v>
      </c>
      <c r="AG33" s="32">
        <f t="shared" si="12"/>
        <v>3.2456755743044711E-3</v>
      </c>
      <c r="AH33" s="32">
        <f t="shared" si="13"/>
        <v>4.4707800371891482E-3</v>
      </c>
      <c r="AI33" s="36">
        <f t="shared" si="14"/>
        <v>7.7164556114936193E-3</v>
      </c>
      <c r="AJ33" s="129">
        <f>IF('Datos Mun'!B33="AMM",Y33,0)</f>
        <v>0</v>
      </c>
      <c r="AK33" s="36">
        <f t="shared" si="15"/>
        <v>0</v>
      </c>
      <c r="AL33" s="129">
        <f>IF('Datos Mun'!B33="AMM",0,Y33)</f>
        <v>7026</v>
      </c>
      <c r="AM33" s="36">
        <f t="shared" si="16"/>
        <v>7.9360866034204457E-3</v>
      </c>
      <c r="AN33" s="129">
        <f t="shared" si="17"/>
        <v>0</v>
      </c>
      <c r="AO33" s="36">
        <f t="shared" si="18"/>
        <v>0</v>
      </c>
      <c r="AP33" s="101">
        <f>IF('Datos Mun'!B33="AMM",'Art 14 F I'!F35,'Art 14 F I'!M35)</f>
        <v>1.1393196733133878E-2</v>
      </c>
      <c r="AQ33" s="38">
        <f>IF('Datos Mun'!D33="Zona de Crec",'Art 14 F I'!T35,0)</f>
        <v>0</v>
      </c>
    </row>
    <row r="34" spans="1:43">
      <c r="A34" s="17" t="s">
        <v>30</v>
      </c>
      <c r="B34" s="96" t="s">
        <v>112</v>
      </c>
      <c r="C34" s="96" t="s">
        <v>112</v>
      </c>
      <c r="D34" s="96" t="s">
        <v>113</v>
      </c>
      <c r="E34" s="77">
        <v>111314</v>
      </c>
      <c r="F34" s="18">
        <v>550784</v>
      </c>
      <c r="G34" s="18">
        <v>107675</v>
      </c>
      <c r="H34" s="18">
        <v>574456</v>
      </c>
      <c r="I34" s="14">
        <f t="shared" si="0"/>
        <v>0.18743820240366538</v>
      </c>
      <c r="J34" s="14">
        <f t="shared" si="1"/>
        <v>-3.2691305675835926E-2</v>
      </c>
      <c r="K34" s="8">
        <v>779</v>
      </c>
      <c r="L34" s="9">
        <v>226</v>
      </c>
      <c r="M34" s="9">
        <v>2400</v>
      </c>
      <c r="N34" s="9">
        <v>462</v>
      </c>
      <c r="O34" s="14">
        <f t="shared" si="2"/>
        <v>5.8444587616490332E-3</v>
      </c>
      <c r="P34" s="9">
        <v>671.99999999645991</v>
      </c>
      <c r="Q34" s="9">
        <v>188</v>
      </c>
      <c r="R34" s="9">
        <v>1437</v>
      </c>
      <c r="S34" s="9">
        <v>355</v>
      </c>
      <c r="T34" s="14">
        <f t="shared" si="3"/>
        <v>1.0554024016422515E-2</v>
      </c>
      <c r="U34" s="14">
        <f t="shared" si="6"/>
        <v>0.80581717603644487</v>
      </c>
      <c r="V34" s="14">
        <f t="shared" si="7"/>
        <v>0</v>
      </c>
      <c r="W34" s="14">
        <f t="shared" si="4"/>
        <v>0</v>
      </c>
      <c r="X34" s="81">
        <v>561.88</v>
      </c>
      <c r="Y34" s="18">
        <v>3298</v>
      </c>
      <c r="Z34" s="82">
        <v>3937</v>
      </c>
      <c r="AA34" s="74">
        <v>2140203.3870121036</v>
      </c>
      <c r="AB34" s="90">
        <f t="shared" si="8"/>
        <v>21049.822843437716</v>
      </c>
      <c r="AC34" s="36">
        <f t="shared" si="5"/>
        <v>1.2103386035788394E-5</v>
      </c>
      <c r="AD34" s="32">
        <f t="shared" si="9"/>
        <v>4.8462755785259838E-4</v>
      </c>
      <c r="AE34" s="32">
        <f t="shared" si="10"/>
        <v>1.3123920315340322E-3</v>
      </c>
      <c r="AF34" s="36">
        <f t="shared" si="11"/>
        <v>1.7970195893866306E-3</v>
      </c>
      <c r="AG34" s="32">
        <f t="shared" si="12"/>
        <v>8.9709204139591381E-3</v>
      </c>
      <c r="AH34" s="32">
        <f t="shared" si="13"/>
        <v>0</v>
      </c>
      <c r="AI34" s="36">
        <f t="shared" si="14"/>
        <v>8.9709204139591381E-3</v>
      </c>
      <c r="AJ34" s="129">
        <f>IF('Datos Mun'!B34="AMM",Y34,0)</f>
        <v>0</v>
      </c>
      <c r="AK34" s="36">
        <f t="shared" si="15"/>
        <v>0</v>
      </c>
      <c r="AL34" s="129">
        <f>IF('Datos Mun'!B34="AMM",0,Y34)</f>
        <v>3298</v>
      </c>
      <c r="AM34" s="36">
        <f t="shared" si="16"/>
        <v>3.7251940817080321E-3</v>
      </c>
      <c r="AN34" s="129">
        <f t="shared" si="17"/>
        <v>0</v>
      </c>
      <c r="AO34" s="36">
        <f t="shared" si="18"/>
        <v>0</v>
      </c>
      <c r="AP34" s="101">
        <f>IF('Datos Mun'!B34="AMM",'Art 14 F I'!F36,'Art 14 F I'!M36)</f>
        <v>1.3265627027882294E-2</v>
      </c>
      <c r="AQ34" s="38">
        <f>IF('Datos Mun'!D34="Zona de Crec",'Art 14 F I'!T36,0)</f>
        <v>0</v>
      </c>
    </row>
    <row r="35" spans="1:43">
      <c r="A35" s="17" t="s">
        <v>31</v>
      </c>
      <c r="B35" s="96" t="s">
        <v>114</v>
      </c>
      <c r="C35" s="96" t="s">
        <v>114</v>
      </c>
      <c r="D35" s="96" t="s">
        <v>115</v>
      </c>
      <c r="E35" s="77">
        <v>48969965.200000003</v>
      </c>
      <c r="F35" s="18">
        <v>229270347</v>
      </c>
      <c r="G35" s="18">
        <v>81896056.420000002</v>
      </c>
      <c r="H35" s="18">
        <v>369239404</v>
      </c>
      <c r="I35" s="14">
        <f t="shared" si="0"/>
        <v>0.22179663257175011</v>
      </c>
      <c r="J35" s="14">
        <f t="shared" si="1"/>
        <v>0.67237317987720358</v>
      </c>
      <c r="K35" s="8">
        <v>7826</v>
      </c>
      <c r="L35" s="9">
        <v>1628</v>
      </c>
      <c r="M35" s="9">
        <v>22499</v>
      </c>
      <c r="N35" s="9">
        <v>705</v>
      </c>
      <c r="O35" s="14">
        <f t="shared" si="2"/>
        <v>3.0541785709629822E-2</v>
      </c>
      <c r="P35" s="9">
        <v>16068.000000124277</v>
      </c>
      <c r="Q35" s="9">
        <v>2619</v>
      </c>
      <c r="R35" s="9">
        <v>3702</v>
      </c>
      <c r="S35" s="9">
        <v>260</v>
      </c>
      <c r="T35" s="14">
        <f t="shared" si="3"/>
        <v>3.3829305636440522E-2</v>
      </c>
      <c r="U35" s="14">
        <f t="shared" si="6"/>
        <v>0.10764006918476104</v>
      </c>
      <c r="V35" s="14">
        <f t="shared" si="7"/>
        <v>0</v>
      </c>
      <c r="W35" s="14">
        <f t="shared" si="4"/>
        <v>0</v>
      </c>
      <c r="X35" s="81">
        <v>247</v>
      </c>
      <c r="Y35" s="18">
        <v>471523</v>
      </c>
      <c r="Z35" s="82">
        <v>385877</v>
      </c>
      <c r="AA35" s="74">
        <v>7906757.7221003743</v>
      </c>
      <c r="AB35" s="90">
        <f t="shared" si="8"/>
        <v>29253517.277346916</v>
      </c>
      <c r="AC35" s="36">
        <f t="shared" si="5"/>
        <v>1.682040818802974E-2</v>
      </c>
      <c r="AD35" s="32">
        <f t="shared" si="9"/>
        <v>6.9288368696583003E-2</v>
      </c>
      <c r="AE35" s="32">
        <f t="shared" si="10"/>
        <v>5.769218192299174E-4</v>
      </c>
      <c r="AF35" s="36">
        <f t="shared" si="11"/>
        <v>6.9865290515812917E-2</v>
      </c>
      <c r="AG35" s="32">
        <f t="shared" si="12"/>
        <v>2.8754909790974444E-2</v>
      </c>
      <c r="AH35" s="32">
        <f t="shared" si="13"/>
        <v>0</v>
      </c>
      <c r="AI35" s="36">
        <f t="shared" si="14"/>
        <v>2.8754909790974444E-2</v>
      </c>
      <c r="AJ35" s="129">
        <f>IF('Datos Mun'!B35="AMM",Y35,0)</f>
        <v>471523</v>
      </c>
      <c r="AK35" s="36">
        <f t="shared" si="15"/>
        <v>9.6246488399240757E-2</v>
      </c>
      <c r="AL35" s="129">
        <f>IF('Datos Mun'!B35="AMM",0,Y35)</f>
        <v>0</v>
      </c>
      <c r="AM35" s="36">
        <f t="shared" si="16"/>
        <v>0</v>
      </c>
      <c r="AN35" s="129">
        <f t="shared" si="17"/>
        <v>471523</v>
      </c>
      <c r="AO35" s="36">
        <f t="shared" si="18"/>
        <v>0.15761502494307417</v>
      </c>
      <c r="AP35" s="101">
        <f>IF('Datos Mun'!B35="AMM",'Art 14 F I'!F37,'Art 14 F I'!M37)</f>
        <v>4.1507223079833531E-2</v>
      </c>
      <c r="AQ35" s="38">
        <f>IF('Datos Mun'!D35="Zona de Crec",'Art 14 F I'!T37,0)</f>
        <v>0.11882517384674977</v>
      </c>
    </row>
    <row r="36" spans="1:43">
      <c r="A36" s="17" t="s">
        <v>32</v>
      </c>
      <c r="B36" s="96" t="s">
        <v>112</v>
      </c>
      <c r="C36" s="96" t="s">
        <v>112</v>
      </c>
      <c r="D36" s="96" t="s">
        <v>113</v>
      </c>
      <c r="E36" s="77">
        <v>1144646</v>
      </c>
      <c r="F36" s="18">
        <v>3683050</v>
      </c>
      <c r="G36" s="18">
        <v>1383880</v>
      </c>
      <c r="H36" s="18">
        <v>3808697</v>
      </c>
      <c r="I36" s="14">
        <f t="shared" si="0"/>
        <v>0.36334736000264656</v>
      </c>
      <c r="J36" s="14">
        <f t="shared" si="1"/>
        <v>0.20900260866678433</v>
      </c>
      <c r="K36" s="8">
        <v>900</v>
      </c>
      <c r="L36" s="9">
        <v>209</v>
      </c>
      <c r="M36" s="9">
        <v>2198</v>
      </c>
      <c r="N36" s="9">
        <v>203</v>
      </c>
      <c r="O36" s="14">
        <f t="shared" si="2"/>
        <v>4.0615571082199316E-3</v>
      </c>
      <c r="P36" s="9">
        <v>711.99999999240003</v>
      </c>
      <c r="Q36" s="9">
        <v>170</v>
      </c>
      <c r="R36" s="9">
        <v>749</v>
      </c>
      <c r="S36" s="9">
        <v>32</v>
      </c>
      <c r="T36" s="14">
        <f t="shared" si="3"/>
        <v>3.2439902600152671E-3</v>
      </c>
      <c r="U36" s="14">
        <f t="shared" si="6"/>
        <v>-0.20129394378083273</v>
      </c>
      <c r="V36" s="14">
        <f t="shared" si="7"/>
        <v>0.20129394378083273</v>
      </c>
      <c r="W36" s="14">
        <f t="shared" si="4"/>
        <v>3.7509198529186154E-2</v>
      </c>
      <c r="X36" s="81">
        <v>3428.68</v>
      </c>
      <c r="Y36" s="18">
        <v>5351</v>
      </c>
      <c r="Z36" s="82">
        <v>5719</v>
      </c>
      <c r="AA36" s="74">
        <v>4879372.4971958175</v>
      </c>
      <c r="AB36" s="90">
        <f t="shared" si="8"/>
        <v>519983.12659344834</v>
      </c>
      <c r="AC36" s="36">
        <f t="shared" si="5"/>
        <v>2.9898382328755554E-4</v>
      </c>
      <c r="AD36" s="32">
        <f t="shared" si="9"/>
        <v>7.8630747788637162E-4</v>
      </c>
      <c r="AE36" s="32">
        <f t="shared" si="10"/>
        <v>8.0084222799887972E-3</v>
      </c>
      <c r="AF36" s="36">
        <f t="shared" si="11"/>
        <v>8.7947297578751683E-3</v>
      </c>
      <c r="AG36" s="32">
        <f t="shared" si="12"/>
        <v>2.7573917210129768E-3</v>
      </c>
      <c r="AH36" s="32">
        <f t="shared" si="13"/>
        <v>5.6263797793779232E-3</v>
      </c>
      <c r="AI36" s="36">
        <f t="shared" si="14"/>
        <v>8.3837715003909005E-3</v>
      </c>
      <c r="AJ36" s="129">
        <f>IF('Datos Mun'!B36="AMM",Y36,0)</f>
        <v>0</v>
      </c>
      <c r="AK36" s="36">
        <f t="shared" si="15"/>
        <v>0</v>
      </c>
      <c r="AL36" s="129">
        <f>IF('Datos Mun'!B36="AMM",0,Y36)</f>
        <v>5351</v>
      </c>
      <c r="AM36" s="36">
        <f t="shared" si="16"/>
        <v>6.0441217499150029E-3</v>
      </c>
      <c r="AN36" s="129">
        <f t="shared" si="17"/>
        <v>0</v>
      </c>
      <c r="AO36" s="36">
        <f t="shared" si="18"/>
        <v>0</v>
      </c>
      <c r="AP36" s="101">
        <f>IF('Datos Mun'!B36="AMM",'Art 14 F I'!F38,'Art 14 F I'!M38)</f>
        <v>2.1850704152904837E-2</v>
      </c>
      <c r="AQ36" s="38">
        <f>IF('Datos Mun'!D36="Zona de Crec",'Art 14 F I'!T38,0)</f>
        <v>0</v>
      </c>
    </row>
    <row r="37" spans="1:43">
      <c r="A37" s="17" t="s">
        <v>33</v>
      </c>
      <c r="B37" s="96" t="s">
        <v>112</v>
      </c>
      <c r="C37" s="96" t="s">
        <v>112</v>
      </c>
      <c r="D37" s="96" t="s">
        <v>113</v>
      </c>
      <c r="E37" s="77">
        <v>10001944</v>
      </c>
      <c r="F37" s="18">
        <v>38008782</v>
      </c>
      <c r="G37" s="18">
        <v>10865396</v>
      </c>
      <c r="H37" s="18">
        <v>39439786</v>
      </c>
      <c r="I37" s="14">
        <f t="shared" ref="I37:I55" si="19">G37/H37</f>
        <v>0.27549327980633564</v>
      </c>
      <c r="J37" s="14">
        <f t="shared" ref="J37:J55" si="20">(G37-E37)/E37</f>
        <v>8.6328417755588319E-2</v>
      </c>
      <c r="K37" s="8">
        <v>12929</v>
      </c>
      <c r="L37" s="9">
        <v>2053</v>
      </c>
      <c r="M37" s="9">
        <v>23315</v>
      </c>
      <c r="N37" s="9">
        <v>2592</v>
      </c>
      <c r="O37" s="14">
        <f t="shared" ref="O37:O55" si="21">0.25*(K37/$K$56)+0.25*(L37/$L$56)+0.25*(M37/$M$56)+0.25*(N37/$N$56)</f>
        <v>4.7396376278714986E-2</v>
      </c>
      <c r="P37" s="9">
        <v>10671.999999957041</v>
      </c>
      <c r="Q37" s="9">
        <v>1702</v>
      </c>
      <c r="R37" s="9">
        <v>11424</v>
      </c>
      <c r="S37" s="9">
        <v>888</v>
      </c>
      <c r="T37" s="14">
        <f t="shared" ref="T37:T55" si="22">0.25*(P37/$P$56)+0.25*(Q37/$Q$56)+0.25*(R37/$R$56)+0.25*(S37/$S$56)</f>
        <v>5.3573985057324913E-2</v>
      </c>
      <c r="U37" s="14">
        <f t="shared" si="6"/>
        <v>0.13033926353952507</v>
      </c>
      <c r="V37" s="14">
        <f t="shared" si="7"/>
        <v>0</v>
      </c>
      <c r="W37" s="14">
        <f t="shared" ref="W37:W55" si="23">IFERROR(V37/$V$56,0)</f>
        <v>0</v>
      </c>
      <c r="X37" s="81">
        <v>2539.67</v>
      </c>
      <c r="Y37" s="18">
        <v>84666</v>
      </c>
      <c r="Z37" s="82">
        <v>87683</v>
      </c>
      <c r="AA37" s="74">
        <v>14166911.141700404</v>
      </c>
      <c r="AB37" s="90">
        <f t="shared" si="8"/>
        <v>3106040.8680503368</v>
      </c>
      <c r="AC37" s="36">
        <f t="shared" ref="AC37:AC55" si="24">AB37/$AB$56</f>
        <v>1.7859348246566512E-3</v>
      </c>
      <c r="AD37" s="32">
        <f t="shared" si="9"/>
        <v>1.2441321047043085E-2</v>
      </c>
      <c r="AE37" s="32">
        <f t="shared" si="10"/>
        <v>5.9319475167758876E-3</v>
      </c>
      <c r="AF37" s="36">
        <f t="shared" si="11"/>
        <v>1.8373268563818972E-2</v>
      </c>
      <c r="AG37" s="32">
        <f t="shared" si="12"/>
        <v>4.5537887298726175E-2</v>
      </c>
      <c r="AH37" s="32">
        <f t="shared" si="13"/>
        <v>0</v>
      </c>
      <c r="AI37" s="36">
        <f t="shared" si="14"/>
        <v>4.5537887298726175E-2</v>
      </c>
      <c r="AJ37" s="129">
        <f>IF('Datos Mun'!B37="AMM",Y37,0)</f>
        <v>0</v>
      </c>
      <c r="AK37" s="36">
        <f t="shared" si="15"/>
        <v>0</v>
      </c>
      <c r="AL37" s="129">
        <f>IF('Datos Mun'!B37="AMM",0,Y37)</f>
        <v>84666</v>
      </c>
      <c r="AM37" s="36">
        <f t="shared" si="16"/>
        <v>9.5632893305607106E-2</v>
      </c>
      <c r="AN37" s="129">
        <f t="shared" si="17"/>
        <v>0</v>
      </c>
      <c r="AO37" s="36">
        <f t="shared" si="18"/>
        <v>0</v>
      </c>
      <c r="AP37" s="101">
        <f>IF('Datos Mun'!B37="AMM",'Art 14 F I'!F39,'Art 14 F I'!M39)</f>
        <v>8.2949636043915018E-2</v>
      </c>
      <c r="AQ37" s="38">
        <f>IF('Datos Mun'!D37="Zona de Crec",'Art 14 F I'!T39,0)</f>
        <v>0</v>
      </c>
    </row>
    <row r="38" spans="1:43">
      <c r="A38" s="17" t="s">
        <v>34</v>
      </c>
      <c r="B38" s="96" t="s">
        <v>112</v>
      </c>
      <c r="C38" s="96" t="s">
        <v>112</v>
      </c>
      <c r="D38" s="96" t="s">
        <v>113</v>
      </c>
      <c r="E38" s="77">
        <v>491980</v>
      </c>
      <c r="F38" s="18">
        <v>1478492</v>
      </c>
      <c r="G38" s="18">
        <v>1126052</v>
      </c>
      <c r="H38" s="18">
        <v>2142351</v>
      </c>
      <c r="I38" s="14">
        <f t="shared" si="19"/>
        <v>0.52561508361608344</v>
      </c>
      <c r="J38" s="14">
        <f t="shared" si="20"/>
        <v>1.2888166185617302</v>
      </c>
      <c r="K38" s="8">
        <v>549</v>
      </c>
      <c r="L38" s="9">
        <v>170</v>
      </c>
      <c r="M38" s="9">
        <v>368</v>
      </c>
      <c r="N38" s="9">
        <v>141</v>
      </c>
      <c r="O38" s="14">
        <f t="shared" si="21"/>
        <v>1.9801145257961881E-3</v>
      </c>
      <c r="P38" s="9">
        <v>273.99999999933596</v>
      </c>
      <c r="Q38" s="9">
        <v>118</v>
      </c>
      <c r="R38" s="9">
        <v>143</v>
      </c>
      <c r="S38" s="9">
        <v>8</v>
      </c>
      <c r="T38" s="14">
        <f t="shared" si="22"/>
        <v>1.0543512714151413E-3</v>
      </c>
      <c r="U38" s="14">
        <f t="shared" si="6"/>
        <v>-0.46753015662505931</v>
      </c>
      <c r="V38" s="14">
        <f t="shared" si="7"/>
        <v>0.46753015662505931</v>
      </c>
      <c r="W38" s="14">
        <f t="shared" si="23"/>
        <v>8.7119766913229382E-2</v>
      </c>
      <c r="X38" s="81">
        <v>264.23</v>
      </c>
      <c r="Y38" s="18">
        <v>5119</v>
      </c>
      <c r="Z38" s="82">
        <v>6150</v>
      </c>
      <c r="AA38" s="74">
        <v>3175363.8332095044</v>
      </c>
      <c r="AB38" s="90">
        <f t="shared" si="8"/>
        <v>857625.95043057378</v>
      </c>
      <c r="AC38" s="36">
        <f t="shared" si="24"/>
        <v>4.931242428772828E-4</v>
      </c>
      <c r="AD38" s="32">
        <f t="shared" si="9"/>
        <v>7.5221603051772322E-4</v>
      </c>
      <c r="AE38" s="32">
        <f t="shared" si="10"/>
        <v>6.1716620362397201E-4</v>
      </c>
      <c r="AF38" s="36">
        <f t="shared" si="11"/>
        <v>1.3693822341416953E-3</v>
      </c>
      <c r="AG38" s="32">
        <f t="shared" si="12"/>
        <v>8.9619858070287008E-4</v>
      </c>
      <c r="AH38" s="32">
        <f t="shared" si="13"/>
        <v>1.3067965036984408E-2</v>
      </c>
      <c r="AI38" s="36">
        <f t="shared" si="14"/>
        <v>1.3964163617687278E-2</v>
      </c>
      <c r="AJ38" s="129">
        <f>IF('Datos Mun'!B38="AMM",Y38,0)</f>
        <v>0</v>
      </c>
      <c r="AK38" s="36">
        <f t="shared" si="15"/>
        <v>0</v>
      </c>
      <c r="AL38" s="129">
        <f>IF('Datos Mun'!B38="AMM",0,Y38)</f>
        <v>5119</v>
      </c>
      <c r="AM38" s="36">
        <f t="shared" si="16"/>
        <v>5.7820704985638008E-3</v>
      </c>
      <c r="AN38" s="129">
        <f t="shared" si="17"/>
        <v>0</v>
      </c>
      <c r="AO38" s="36">
        <f t="shared" si="18"/>
        <v>0</v>
      </c>
      <c r="AP38" s="101">
        <f>IF('Datos Mun'!B38="AMM",'Art 14 F I'!F40,'Art 14 F I'!M40)</f>
        <v>2.0060170544312913E-2</v>
      </c>
      <c r="AQ38" s="38">
        <f>IF('Datos Mun'!D38="Zona de Crec",'Art 14 F I'!T40,0)</f>
        <v>0</v>
      </c>
    </row>
    <row r="39" spans="1:43">
      <c r="A39" s="17" t="s">
        <v>35</v>
      </c>
      <c r="B39" s="96" t="s">
        <v>112</v>
      </c>
      <c r="C39" s="96" t="s">
        <v>112</v>
      </c>
      <c r="D39" s="96" t="s">
        <v>113</v>
      </c>
      <c r="E39" s="77">
        <v>296444</v>
      </c>
      <c r="F39" s="18">
        <v>737314</v>
      </c>
      <c r="G39" s="18">
        <v>319251</v>
      </c>
      <c r="H39" s="18">
        <v>758867</v>
      </c>
      <c r="I39" s="14">
        <f t="shared" si="19"/>
        <v>0.42069427185527897</v>
      </c>
      <c r="J39" s="14">
        <f t="shared" si="20"/>
        <v>7.6935272766525883E-2</v>
      </c>
      <c r="K39" s="8">
        <v>166</v>
      </c>
      <c r="L39" s="9">
        <v>24</v>
      </c>
      <c r="M39" s="9">
        <v>127</v>
      </c>
      <c r="N39" s="9">
        <v>48</v>
      </c>
      <c r="O39" s="14">
        <f t="shared" si="21"/>
        <v>5.668842439924349E-4</v>
      </c>
      <c r="P39" s="9">
        <v>122.00000000265999</v>
      </c>
      <c r="Q39" s="9">
        <v>28</v>
      </c>
      <c r="R39" s="9">
        <v>16</v>
      </c>
      <c r="S39" s="9">
        <v>3</v>
      </c>
      <c r="T39" s="14">
        <f t="shared" si="22"/>
        <v>2.7865285037301604E-4</v>
      </c>
      <c r="U39" s="14">
        <f t="shared" si="6"/>
        <v>-0.50844841195350865</v>
      </c>
      <c r="V39" s="14">
        <f t="shared" si="7"/>
        <v>0.50844841195350865</v>
      </c>
      <c r="W39" s="14">
        <f t="shared" si="23"/>
        <v>9.474449189876509E-2</v>
      </c>
      <c r="X39" s="81">
        <v>207.92</v>
      </c>
      <c r="Y39" s="18">
        <v>1483</v>
      </c>
      <c r="Z39" s="82">
        <v>1057</v>
      </c>
      <c r="AA39" s="74">
        <v>3099472.9188778722</v>
      </c>
      <c r="AB39" s="90">
        <f t="shared" si="8"/>
        <v>138233.10150220938</v>
      </c>
      <c r="AC39" s="36">
        <f t="shared" si="24"/>
        <v>7.9482312171911987E-5</v>
      </c>
      <c r="AD39" s="32">
        <f t="shared" si="9"/>
        <v>2.1792076055045584E-4</v>
      </c>
      <c r="AE39" s="32">
        <f t="shared" si="10"/>
        <v>4.8564204313475466E-4</v>
      </c>
      <c r="AF39" s="36">
        <f t="shared" si="11"/>
        <v>7.0356280368521053E-4</v>
      </c>
      <c r="AG39" s="32">
        <f t="shared" si="12"/>
        <v>2.3685492281706362E-4</v>
      </c>
      <c r="AH39" s="32">
        <f t="shared" si="13"/>
        <v>1.4211673784814763E-2</v>
      </c>
      <c r="AI39" s="36">
        <f t="shared" si="14"/>
        <v>1.4448528707631827E-2</v>
      </c>
      <c r="AJ39" s="129">
        <f>IF('Datos Mun'!B39="AMM",Y39,0)</f>
        <v>0</v>
      </c>
      <c r="AK39" s="36">
        <f t="shared" si="15"/>
        <v>0</v>
      </c>
      <c r="AL39" s="129">
        <f>IF('Datos Mun'!B39="AMM",0,Y39)</f>
        <v>1483</v>
      </c>
      <c r="AM39" s="36">
        <f t="shared" si="16"/>
        <v>1.6750948523872079E-3</v>
      </c>
      <c r="AN39" s="129">
        <f t="shared" si="17"/>
        <v>0</v>
      </c>
      <c r="AO39" s="36">
        <f t="shared" si="18"/>
        <v>0</v>
      </c>
      <c r="AP39" s="101">
        <f>IF('Datos Mun'!B39="AMM",'Art 14 F I'!F41,'Art 14 F I'!M41)</f>
        <v>1.8820237004309206E-2</v>
      </c>
      <c r="AQ39" s="38">
        <f>IF('Datos Mun'!D39="Zona de Crec",'Art 14 F I'!T41,0)</f>
        <v>0</v>
      </c>
    </row>
    <row r="40" spans="1:43">
      <c r="A40" s="17" t="s">
        <v>36</v>
      </c>
      <c r="B40" s="96" t="s">
        <v>112</v>
      </c>
      <c r="C40" s="96" t="s">
        <v>112</v>
      </c>
      <c r="D40" s="96" t="s">
        <v>113</v>
      </c>
      <c r="E40" s="77">
        <v>94052</v>
      </c>
      <c r="F40" s="18">
        <v>752319</v>
      </c>
      <c r="G40" s="18">
        <v>69817</v>
      </c>
      <c r="H40" s="18">
        <v>746282</v>
      </c>
      <c r="I40" s="14">
        <f t="shared" si="19"/>
        <v>9.3553107270441999E-2</v>
      </c>
      <c r="J40" s="14">
        <f t="shared" si="20"/>
        <v>-0.25767660443159102</v>
      </c>
      <c r="K40" s="8">
        <v>1457</v>
      </c>
      <c r="L40" s="9">
        <v>857</v>
      </c>
      <c r="M40" s="9">
        <v>6591</v>
      </c>
      <c r="N40" s="9">
        <v>540</v>
      </c>
      <c r="O40" s="14">
        <f t="shared" si="21"/>
        <v>1.1668536705942888E-2</v>
      </c>
      <c r="P40" s="9">
        <v>1103.9999999949041</v>
      </c>
      <c r="Q40" s="9">
        <v>656</v>
      </c>
      <c r="R40" s="9">
        <v>3161</v>
      </c>
      <c r="S40" s="9">
        <v>242</v>
      </c>
      <c r="T40" s="14">
        <f t="shared" si="22"/>
        <v>1.3933846759870267E-2</v>
      </c>
      <c r="U40" s="14">
        <f t="shared" si="6"/>
        <v>0.19413831494172162</v>
      </c>
      <c r="V40" s="14">
        <f t="shared" si="7"/>
        <v>0</v>
      </c>
      <c r="W40" s="14">
        <f t="shared" si="23"/>
        <v>0</v>
      </c>
      <c r="X40" s="81">
        <v>1006.78</v>
      </c>
      <c r="Y40" s="18">
        <v>7652</v>
      </c>
      <c r="Z40" s="82">
        <v>7554</v>
      </c>
      <c r="AA40" s="74">
        <v>3016799.7840141212</v>
      </c>
      <c r="AB40" s="90">
        <f t="shared" si="8"/>
        <v>6479.1843473313847</v>
      </c>
      <c r="AC40" s="36">
        <f t="shared" si="24"/>
        <v>3.7254503249768149E-6</v>
      </c>
      <c r="AD40" s="32">
        <f t="shared" si="9"/>
        <v>1.1244299795900798E-3</v>
      </c>
      <c r="AE40" s="32">
        <f t="shared" si="10"/>
        <v>2.3515520209080819E-3</v>
      </c>
      <c r="AF40" s="36">
        <f t="shared" si="11"/>
        <v>3.4759820004981617E-3</v>
      </c>
      <c r="AG40" s="32">
        <f t="shared" si="12"/>
        <v>1.1843769745889727E-2</v>
      </c>
      <c r="AH40" s="32">
        <f t="shared" si="13"/>
        <v>0</v>
      </c>
      <c r="AI40" s="36">
        <f t="shared" si="14"/>
        <v>1.1843769745889727E-2</v>
      </c>
      <c r="AJ40" s="129">
        <f>IF('Datos Mun'!B40="AMM",Y40,0)</f>
        <v>0</v>
      </c>
      <c r="AK40" s="36">
        <f t="shared" si="15"/>
        <v>0</v>
      </c>
      <c r="AL40" s="129">
        <f>IF('Datos Mun'!B40="AMM",0,Y40)</f>
        <v>7652</v>
      </c>
      <c r="AM40" s="36">
        <f t="shared" si="16"/>
        <v>8.6431731695663615E-3</v>
      </c>
      <c r="AN40" s="129">
        <f t="shared" si="17"/>
        <v>0</v>
      </c>
      <c r="AO40" s="36">
        <f t="shared" si="18"/>
        <v>0</v>
      </c>
      <c r="AP40" s="101">
        <f>IF('Datos Mun'!B40="AMM",'Art 14 F I'!F42,'Art 14 F I'!M42)</f>
        <v>1.8840084176719455E-2</v>
      </c>
      <c r="AQ40" s="38">
        <f>IF('Datos Mun'!D40="Zona de Crec",'Art 14 F I'!T42,0)</f>
        <v>0</v>
      </c>
    </row>
    <row r="41" spans="1:43">
      <c r="A41" s="17" t="s">
        <v>37</v>
      </c>
      <c r="B41" s="96" t="s">
        <v>112</v>
      </c>
      <c r="C41" s="96" t="s">
        <v>112</v>
      </c>
      <c r="D41" s="96" t="s">
        <v>113</v>
      </c>
      <c r="E41" s="77">
        <v>601205</v>
      </c>
      <c r="F41" s="18">
        <v>4368244</v>
      </c>
      <c r="G41" s="18">
        <v>875732</v>
      </c>
      <c r="H41" s="18">
        <v>4564482</v>
      </c>
      <c r="I41" s="14">
        <f t="shared" si="19"/>
        <v>0.19185791509310365</v>
      </c>
      <c r="J41" s="14">
        <f t="shared" si="20"/>
        <v>0.45662793888939712</v>
      </c>
      <c r="K41" s="8">
        <v>871</v>
      </c>
      <c r="L41" s="9">
        <v>298</v>
      </c>
      <c r="M41" s="9">
        <v>2364</v>
      </c>
      <c r="N41" s="9">
        <v>407</v>
      </c>
      <c r="O41" s="14">
        <f t="shared" si="21"/>
        <v>5.7246757457106359E-3</v>
      </c>
      <c r="P41" s="9">
        <v>541.99999999184001</v>
      </c>
      <c r="Q41" s="9">
        <v>247</v>
      </c>
      <c r="R41" s="9">
        <v>493</v>
      </c>
      <c r="S41" s="9">
        <v>128</v>
      </c>
      <c r="T41" s="14">
        <f t="shared" si="22"/>
        <v>4.6017900390551651E-3</v>
      </c>
      <c r="U41" s="14">
        <f t="shared" si="6"/>
        <v>-0.19614835084708904</v>
      </c>
      <c r="V41" s="14">
        <f t="shared" si="7"/>
        <v>0.19614835084708904</v>
      </c>
      <c r="W41" s="14">
        <f t="shared" si="23"/>
        <v>3.655036656794089E-2</v>
      </c>
      <c r="X41" s="81">
        <v>3872.26</v>
      </c>
      <c r="Y41" s="18">
        <v>6048</v>
      </c>
      <c r="Z41" s="82">
        <v>5846</v>
      </c>
      <c r="AA41" s="74">
        <v>3822980.5102342181</v>
      </c>
      <c r="AB41" s="90">
        <f t="shared" si="8"/>
        <v>175564.03347065777</v>
      </c>
      <c r="AC41" s="36">
        <f t="shared" si="24"/>
        <v>1.0094713323242477E-4</v>
      </c>
      <c r="AD41" s="32">
        <f t="shared" si="9"/>
        <v>8.8872876588614778E-4</v>
      </c>
      <c r="AE41" s="32">
        <f t="shared" si="10"/>
        <v>9.0444991244179769E-3</v>
      </c>
      <c r="AF41" s="36">
        <f t="shared" si="11"/>
        <v>9.9332278903041249E-3</v>
      </c>
      <c r="AG41" s="32">
        <f t="shared" si="12"/>
        <v>3.9115215331968906E-3</v>
      </c>
      <c r="AH41" s="32">
        <f t="shared" si="13"/>
        <v>5.4825549851911333E-3</v>
      </c>
      <c r="AI41" s="36">
        <f t="shared" si="14"/>
        <v>9.3940765183880247E-3</v>
      </c>
      <c r="AJ41" s="129">
        <f>IF('Datos Mun'!B41="AMM",Y41,0)</f>
        <v>0</v>
      </c>
      <c r="AK41" s="36">
        <f t="shared" si="15"/>
        <v>0</v>
      </c>
      <c r="AL41" s="129">
        <f>IF('Datos Mun'!B41="AMM",0,Y41)</f>
        <v>6048</v>
      </c>
      <c r="AM41" s="36">
        <f t="shared" si="16"/>
        <v>6.8314050352244323E-3</v>
      </c>
      <c r="AN41" s="129">
        <f t="shared" si="17"/>
        <v>0</v>
      </c>
      <c r="AO41" s="36">
        <f t="shared" si="18"/>
        <v>0</v>
      </c>
      <c r="AP41" s="101">
        <f>IF('Datos Mun'!B41="AMM",'Art 14 F I'!F43,'Art 14 F I'!M43)</f>
        <v>2.4005146628301614E-2</v>
      </c>
      <c r="AQ41" s="38">
        <f>IF('Datos Mun'!D41="Zona de Crec",'Art 14 F I'!T43,0)</f>
        <v>0</v>
      </c>
    </row>
    <row r="42" spans="1:43">
      <c r="A42" s="17" t="s">
        <v>38</v>
      </c>
      <c r="B42" s="96" t="s">
        <v>112</v>
      </c>
      <c r="C42" s="96" t="s">
        <v>112</v>
      </c>
      <c r="D42" s="96" t="s">
        <v>113</v>
      </c>
      <c r="E42" s="77">
        <v>16720965.199999999</v>
      </c>
      <c r="F42" s="18">
        <v>54997682</v>
      </c>
      <c r="G42" s="18">
        <v>15135193.17</v>
      </c>
      <c r="H42" s="18">
        <v>56486259</v>
      </c>
      <c r="I42" s="14">
        <f t="shared" si="19"/>
        <v>0.26794469022988404</v>
      </c>
      <c r="J42" s="14">
        <f t="shared" si="20"/>
        <v>-9.4837350059193914E-2</v>
      </c>
      <c r="K42" s="8">
        <v>9097</v>
      </c>
      <c r="L42" s="9">
        <v>1608</v>
      </c>
      <c r="M42" s="9">
        <v>18077</v>
      </c>
      <c r="N42" s="9">
        <v>1611</v>
      </c>
      <c r="O42" s="14">
        <f t="shared" si="21"/>
        <v>3.3705765227310995E-2</v>
      </c>
      <c r="P42" s="9">
        <v>5867.9999999965466</v>
      </c>
      <c r="Q42" s="9">
        <v>1434</v>
      </c>
      <c r="R42" s="9">
        <v>7372</v>
      </c>
      <c r="S42" s="9">
        <v>494</v>
      </c>
      <c r="T42" s="14">
        <f t="shared" si="22"/>
        <v>3.3476855698049306E-2</v>
      </c>
      <c r="U42" s="14">
        <f t="shared" si="6"/>
        <v>-6.7914057941698752E-3</v>
      </c>
      <c r="V42" s="14">
        <f t="shared" si="7"/>
        <v>6.7914057941698752E-3</v>
      </c>
      <c r="W42" s="14">
        <f t="shared" si="23"/>
        <v>1.2655134249997214E-3</v>
      </c>
      <c r="X42" s="81">
        <v>1869.3</v>
      </c>
      <c r="Y42" s="18">
        <v>67428</v>
      </c>
      <c r="Z42" s="82">
        <v>66834</v>
      </c>
      <c r="AA42" s="74">
        <v>17905596.972663175</v>
      </c>
      <c r="AB42" s="90">
        <f t="shared" si="8"/>
        <v>4165158.6751095192</v>
      </c>
      <c r="AC42" s="36">
        <f t="shared" si="24"/>
        <v>2.3949143762451927E-3</v>
      </c>
      <c r="AD42" s="32">
        <f t="shared" si="9"/>
        <v>9.9082677291949667E-3</v>
      </c>
      <c r="AE42" s="32">
        <f t="shared" si="10"/>
        <v>4.3661536707954836E-3</v>
      </c>
      <c r="AF42" s="36">
        <f t="shared" si="11"/>
        <v>1.4274421399990449E-2</v>
      </c>
      <c r="AG42" s="32">
        <f t="shared" si="12"/>
        <v>2.8455327343341909E-2</v>
      </c>
      <c r="AH42" s="32">
        <f t="shared" si="13"/>
        <v>1.898270137499582E-4</v>
      </c>
      <c r="AI42" s="36">
        <f t="shared" si="14"/>
        <v>2.8645154357091869E-2</v>
      </c>
      <c r="AJ42" s="129">
        <f>IF('Datos Mun'!B42="AMM",Y42,0)</f>
        <v>0</v>
      </c>
      <c r="AK42" s="36">
        <f t="shared" si="15"/>
        <v>0</v>
      </c>
      <c r="AL42" s="129">
        <f>IF('Datos Mun'!B42="AMM",0,Y42)</f>
        <v>67428</v>
      </c>
      <c r="AM42" s="36">
        <f t="shared" si="16"/>
        <v>7.616203351771049E-2</v>
      </c>
      <c r="AN42" s="129">
        <f t="shared" si="17"/>
        <v>0</v>
      </c>
      <c r="AO42" s="36">
        <f t="shared" si="18"/>
        <v>0</v>
      </c>
      <c r="AP42" s="101">
        <f>IF('Datos Mun'!B42="AMM",'Art 14 F I'!F44,'Art 14 F I'!M44)</f>
        <v>5.8644047298169022E-2</v>
      </c>
      <c r="AQ42" s="38">
        <f>IF('Datos Mun'!D42="Zona de Crec",'Art 14 F I'!T44,0)</f>
        <v>0</v>
      </c>
    </row>
    <row r="43" spans="1:43">
      <c r="A43" s="17" t="s">
        <v>39</v>
      </c>
      <c r="B43" s="96" t="s">
        <v>114</v>
      </c>
      <c r="C43" s="96" t="s">
        <v>114</v>
      </c>
      <c r="D43" s="96" t="s">
        <v>113</v>
      </c>
      <c r="E43" s="77">
        <v>1201710192.6199999</v>
      </c>
      <c r="F43" s="18">
        <v>2401041388</v>
      </c>
      <c r="G43" s="18">
        <v>1234436745.7600002</v>
      </c>
      <c r="H43" s="18">
        <v>2430413136</v>
      </c>
      <c r="I43" s="14">
        <f t="shared" si="19"/>
        <v>0.50791230818956545</v>
      </c>
      <c r="J43" s="14">
        <f t="shared" si="20"/>
        <v>2.7233315770293219E-2</v>
      </c>
      <c r="K43" s="8">
        <v>123398</v>
      </c>
      <c r="L43" s="9">
        <v>25536</v>
      </c>
      <c r="M43" s="9">
        <v>28126</v>
      </c>
      <c r="N43" s="9">
        <v>2378</v>
      </c>
      <c r="O43" s="14">
        <f t="shared" si="21"/>
        <v>0.18097080651961275</v>
      </c>
      <c r="P43" s="9">
        <v>88873.999998769097</v>
      </c>
      <c r="Q43" s="9">
        <v>19246</v>
      </c>
      <c r="R43" s="9">
        <v>4982</v>
      </c>
      <c r="S43" s="9">
        <v>694</v>
      </c>
      <c r="T43" s="14">
        <f t="shared" si="22"/>
        <v>0.15834621423966655</v>
      </c>
      <c r="U43" s="14">
        <f t="shared" si="6"/>
        <v>-0.12501791153532965</v>
      </c>
      <c r="V43" s="14">
        <f t="shared" si="7"/>
        <v>0.12501791153532965</v>
      </c>
      <c r="W43" s="14">
        <f t="shared" si="23"/>
        <v>2.329589045455142E-2</v>
      </c>
      <c r="X43" s="81">
        <v>323.60000000000002</v>
      </c>
      <c r="Y43" s="18">
        <v>1142994</v>
      </c>
      <c r="Z43" s="82">
        <v>1115043</v>
      </c>
      <c r="AA43" s="74">
        <v>78893922.891016111</v>
      </c>
      <c r="AB43" s="90">
        <f t="shared" si="8"/>
        <v>634655481.94979274</v>
      </c>
      <c r="AC43" s="36">
        <f t="shared" si="24"/>
        <v>0.36491899978922515</v>
      </c>
      <c r="AD43" s="32">
        <f t="shared" si="9"/>
        <v>0.16795827497276314</v>
      </c>
      <c r="AE43" s="32">
        <f t="shared" si="10"/>
        <v>7.5583765466721159E-4</v>
      </c>
      <c r="AF43" s="36">
        <f t="shared" si="11"/>
        <v>0.16871411262743036</v>
      </c>
      <c r="AG43" s="32">
        <f t="shared" si="12"/>
        <v>0.13459428210371657</v>
      </c>
      <c r="AH43" s="32">
        <f t="shared" si="13"/>
        <v>3.4943835681827129E-3</v>
      </c>
      <c r="AI43" s="36">
        <f t="shared" si="14"/>
        <v>0.13808866567189929</v>
      </c>
      <c r="AJ43" s="129">
        <f>IF('Datos Mun'!B43="AMM",Y43,0)</f>
        <v>1142994</v>
      </c>
      <c r="AK43" s="36">
        <f t="shared" si="15"/>
        <v>0.23330602910441653</v>
      </c>
      <c r="AL43" s="129">
        <f>IF('Datos Mun'!B43="AMM",0,Y43)</f>
        <v>0</v>
      </c>
      <c r="AM43" s="36">
        <f t="shared" si="16"/>
        <v>0</v>
      </c>
      <c r="AN43" s="129">
        <f t="shared" si="17"/>
        <v>0</v>
      </c>
      <c r="AO43" s="36">
        <f t="shared" si="18"/>
        <v>0</v>
      </c>
      <c r="AP43" s="101">
        <f>IF('Datos Mun'!B43="AMM",'Art 14 F I'!F45,'Art 14 F I'!M45)</f>
        <v>0.3253270018648326</v>
      </c>
      <c r="AQ43" s="38">
        <f>IF('Datos Mun'!D43="Zona de Crec",'Art 14 F I'!T45,0)</f>
        <v>0</v>
      </c>
    </row>
    <row r="44" spans="1:43">
      <c r="A44" s="17" t="s">
        <v>40</v>
      </c>
      <c r="B44" s="96" t="s">
        <v>112</v>
      </c>
      <c r="C44" s="96" t="s">
        <v>112</v>
      </c>
      <c r="D44" s="96" t="s">
        <v>113</v>
      </c>
      <c r="E44" s="77">
        <v>476354</v>
      </c>
      <c r="F44" s="18">
        <v>1283549</v>
      </c>
      <c r="G44" s="18">
        <v>468889</v>
      </c>
      <c r="H44" s="18">
        <v>1354101</v>
      </c>
      <c r="I44" s="14">
        <f t="shared" si="19"/>
        <v>0.34627328389832074</v>
      </c>
      <c r="J44" s="14">
        <f t="shared" si="20"/>
        <v>-1.5671118537894088E-2</v>
      </c>
      <c r="K44" s="8">
        <v>244</v>
      </c>
      <c r="L44" s="9">
        <v>60</v>
      </c>
      <c r="M44" s="9">
        <v>375</v>
      </c>
      <c r="N44" s="9">
        <v>47</v>
      </c>
      <c r="O44" s="14">
        <f t="shared" si="21"/>
        <v>8.9400030637785065E-4</v>
      </c>
      <c r="P44" s="9">
        <v>95.999999999399989</v>
      </c>
      <c r="Q44" s="9">
        <v>43</v>
      </c>
      <c r="R44" s="9">
        <v>84</v>
      </c>
      <c r="S44" s="9">
        <v>27</v>
      </c>
      <c r="T44" s="14">
        <f t="shared" si="22"/>
        <v>8.8461266524612078E-4</v>
      </c>
      <c r="U44" s="14">
        <f t="shared" si="6"/>
        <v>-1.0500713550943872E-2</v>
      </c>
      <c r="V44" s="14">
        <f t="shared" si="7"/>
        <v>1.0500713550943872E-2</v>
      </c>
      <c r="W44" s="14">
        <f t="shared" si="23"/>
        <v>1.9567073995495625E-3</v>
      </c>
      <c r="X44" s="81">
        <v>1172.6600000000001</v>
      </c>
      <c r="Y44" s="18">
        <v>906</v>
      </c>
      <c r="Z44" s="82">
        <v>1080</v>
      </c>
      <c r="AA44" s="74">
        <v>3555590.9659964349</v>
      </c>
      <c r="AB44" s="90">
        <f t="shared" si="8"/>
        <v>171288.27518154742</v>
      </c>
      <c r="AC44" s="36">
        <f t="shared" si="24"/>
        <v>9.8488625455246104E-5</v>
      </c>
      <c r="AD44" s="32">
        <f t="shared" si="9"/>
        <v>1.331329798103257E-4</v>
      </c>
      <c r="AE44" s="32">
        <f t="shared" si="10"/>
        <v>2.7390005689803842E-3</v>
      </c>
      <c r="AF44" s="36">
        <f t="shared" si="11"/>
        <v>2.8721335487907097E-3</v>
      </c>
      <c r="AG44" s="32">
        <f t="shared" si="12"/>
        <v>7.5192076545920264E-4</v>
      </c>
      <c r="AH44" s="32">
        <f t="shared" si="13"/>
        <v>2.9350610993243438E-4</v>
      </c>
      <c r="AI44" s="36">
        <f t="shared" si="14"/>
        <v>1.0454268753916371E-3</v>
      </c>
      <c r="AJ44" s="129">
        <f>IF('Datos Mun'!B44="AMM",Y44,0)</f>
        <v>0</v>
      </c>
      <c r="AK44" s="36">
        <f t="shared" si="15"/>
        <v>0</v>
      </c>
      <c r="AL44" s="129">
        <f>IF('Datos Mun'!B44="AMM",0,Y44)</f>
        <v>906</v>
      </c>
      <c r="AM44" s="36">
        <f t="shared" si="16"/>
        <v>1.0233553177766759E-3</v>
      </c>
      <c r="AN44" s="129">
        <f t="shared" si="17"/>
        <v>0</v>
      </c>
      <c r="AO44" s="36">
        <f t="shared" si="18"/>
        <v>0</v>
      </c>
      <c r="AP44" s="101">
        <f>IF('Datos Mun'!B44="AMM",'Art 14 F I'!F46,'Art 14 F I'!M46)</f>
        <v>5.057559290638983E-3</v>
      </c>
      <c r="AQ44" s="38">
        <f>IF('Datos Mun'!D44="Zona de Crec",'Art 14 F I'!T46,0)</f>
        <v>0</v>
      </c>
    </row>
    <row r="45" spans="1:43">
      <c r="A45" s="17" t="s">
        <v>41</v>
      </c>
      <c r="B45" s="96" t="s">
        <v>112</v>
      </c>
      <c r="C45" s="96" t="s">
        <v>112</v>
      </c>
      <c r="D45" s="96" t="s">
        <v>115</v>
      </c>
      <c r="E45" s="77">
        <v>16886302</v>
      </c>
      <c r="F45" s="18">
        <v>73375379</v>
      </c>
      <c r="G45" s="18">
        <v>15857010</v>
      </c>
      <c r="H45" s="18">
        <v>81632998</v>
      </c>
      <c r="I45" s="14">
        <f t="shared" si="19"/>
        <v>0.19424755170697025</v>
      </c>
      <c r="J45" s="14">
        <f t="shared" si="20"/>
        <v>-6.0954257480412229E-2</v>
      </c>
      <c r="K45" s="8">
        <v>1423</v>
      </c>
      <c r="L45" s="9">
        <v>462</v>
      </c>
      <c r="M45" s="9">
        <v>3867</v>
      </c>
      <c r="N45" s="9">
        <v>358</v>
      </c>
      <c r="O45" s="14">
        <f t="shared" si="21"/>
        <v>7.3252944690219944E-3</v>
      </c>
      <c r="P45" s="9">
        <v>502.9999955589883</v>
      </c>
      <c r="Q45" s="9">
        <v>435</v>
      </c>
      <c r="R45" s="9">
        <v>1115</v>
      </c>
      <c r="S45" s="9">
        <v>155</v>
      </c>
      <c r="T45" s="14">
        <f t="shared" si="22"/>
        <v>6.9676301349024189E-3</v>
      </c>
      <c r="U45" s="14">
        <f t="shared" si="6"/>
        <v>-4.8825932613645158E-2</v>
      </c>
      <c r="V45" s="14">
        <f t="shared" si="7"/>
        <v>4.8825932613645158E-2</v>
      </c>
      <c r="W45" s="14">
        <f t="shared" si="23"/>
        <v>9.0982449117888945E-3</v>
      </c>
      <c r="X45" s="81">
        <v>308.89</v>
      </c>
      <c r="Y45" s="18">
        <v>147624</v>
      </c>
      <c r="Z45" s="82">
        <v>108796</v>
      </c>
      <c r="AA45" s="74">
        <v>5273138.6605691193</v>
      </c>
      <c r="AB45" s="90">
        <f t="shared" si="8"/>
        <v>3426827.4940031315</v>
      </c>
      <c r="AC45" s="36">
        <f t="shared" si="24"/>
        <v>1.9703831403456895E-3</v>
      </c>
      <c r="AD45" s="32">
        <f t="shared" si="9"/>
        <v>2.1692740630816248E-2</v>
      </c>
      <c r="AE45" s="32">
        <f t="shared" si="10"/>
        <v>7.2147927425882249E-4</v>
      </c>
      <c r="AF45" s="36">
        <f t="shared" si="11"/>
        <v>2.241421990507507E-2</v>
      </c>
      <c r="AG45" s="32">
        <f t="shared" si="12"/>
        <v>5.9224856146670559E-3</v>
      </c>
      <c r="AH45" s="32">
        <f t="shared" si="13"/>
        <v>1.3647367367683341E-3</v>
      </c>
      <c r="AI45" s="36">
        <f t="shared" si="14"/>
        <v>7.2872223514353898E-3</v>
      </c>
      <c r="AJ45" s="129">
        <f>IF('Datos Mun'!B45="AMM",Y45,0)</f>
        <v>0</v>
      </c>
      <c r="AK45" s="36">
        <f t="shared" si="15"/>
        <v>0</v>
      </c>
      <c r="AL45" s="129">
        <f>IF('Datos Mun'!B45="AMM",0,Y45)</f>
        <v>147624</v>
      </c>
      <c r="AM45" s="36">
        <f t="shared" si="16"/>
        <v>0.16674592210978367</v>
      </c>
      <c r="AN45" s="129">
        <f t="shared" si="17"/>
        <v>147624</v>
      </c>
      <c r="AO45" s="36">
        <f t="shared" si="18"/>
        <v>4.9345971335855048E-2</v>
      </c>
      <c r="AP45" s="101">
        <f>IF('Datos Mun'!B45="AMM",'Art 14 F I'!F47,'Art 14 F I'!M47)</f>
        <v>4.1352754010473398E-2</v>
      </c>
      <c r="AQ45" s="38">
        <f>IF('Datos Mun'!D45="Zona de Crec",'Art 14 F I'!T47,0)</f>
        <v>3.0224637450107134E-2</v>
      </c>
    </row>
    <row r="46" spans="1:43">
      <c r="A46" s="17" t="s">
        <v>42</v>
      </c>
      <c r="B46" s="96" t="s">
        <v>112</v>
      </c>
      <c r="C46" s="96" t="s">
        <v>112</v>
      </c>
      <c r="D46" s="96" t="s">
        <v>113</v>
      </c>
      <c r="E46" s="77">
        <v>704593</v>
      </c>
      <c r="F46" s="18">
        <v>5999815</v>
      </c>
      <c r="G46" s="18">
        <v>1139783</v>
      </c>
      <c r="H46" s="18">
        <v>7103115</v>
      </c>
      <c r="I46" s="14">
        <f t="shared" si="19"/>
        <v>0.16046241684106199</v>
      </c>
      <c r="J46" s="14">
        <f t="shared" si="20"/>
        <v>0.61764735102392443</v>
      </c>
      <c r="K46" s="8">
        <v>1104</v>
      </c>
      <c r="L46" s="9">
        <v>274</v>
      </c>
      <c r="M46" s="9">
        <v>2326</v>
      </c>
      <c r="N46" s="9">
        <v>140</v>
      </c>
      <c r="O46" s="14">
        <f t="shared" si="21"/>
        <v>4.0589985343422721E-3</v>
      </c>
      <c r="P46" s="9">
        <v>511.00000000414997</v>
      </c>
      <c r="Q46" s="9">
        <v>264</v>
      </c>
      <c r="R46" s="9">
        <v>999</v>
      </c>
      <c r="S46" s="9">
        <v>49</v>
      </c>
      <c r="T46" s="14">
        <f t="shared" si="22"/>
        <v>4.2240475772149242E-3</v>
      </c>
      <c r="U46" s="14">
        <f t="shared" si="6"/>
        <v>4.066250368809185E-2</v>
      </c>
      <c r="V46" s="14">
        <f t="shared" si="7"/>
        <v>0</v>
      </c>
      <c r="W46" s="14">
        <f t="shared" si="23"/>
        <v>0</v>
      </c>
      <c r="X46" s="81">
        <v>1341.58</v>
      </c>
      <c r="Y46" s="18">
        <v>5389</v>
      </c>
      <c r="Z46" s="82">
        <v>5203</v>
      </c>
      <c r="AA46" s="74">
        <v>2047968.1782241778</v>
      </c>
      <c r="AB46" s="90">
        <f t="shared" si="8"/>
        <v>216524.22401174036</v>
      </c>
      <c r="AC46" s="36">
        <f t="shared" si="24"/>
        <v>1.244987327829513E-4</v>
      </c>
      <c r="AD46" s="32">
        <f t="shared" si="9"/>
        <v>7.9189142185192619E-4</v>
      </c>
      <c r="AE46" s="32">
        <f t="shared" si="10"/>
        <v>3.1335496932893628E-3</v>
      </c>
      <c r="AF46" s="36">
        <f t="shared" si="11"/>
        <v>3.9254411151412889E-3</v>
      </c>
      <c r="AG46" s="32">
        <f t="shared" si="12"/>
        <v>3.5904404406326856E-3</v>
      </c>
      <c r="AH46" s="32">
        <f t="shared" si="13"/>
        <v>0</v>
      </c>
      <c r="AI46" s="36">
        <f t="shared" si="14"/>
        <v>3.5904404406326856E-3</v>
      </c>
      <c r="AJ46" s="129">
        <f>IF('Datos Mun'!B46="AMM",Y46,0)</f>
        <v>0</v>
      </c>
      <c r="AK46" s="36">
        <f t="shared" si="15"/>
        <v>0</v>
      </c>
      <c r="AL46" s="129">
        <f>IF('Datos Mun'!B46="AMM",0,Y46)</f>
        <v>5389</v>
      </c>
      <c r="AM46" s="36">
        <f t="shared" si="16"/>
        <v>6.0870439376363205E-3</v>
      </c>
      <c r="AN46" s="129">
        <f t="shared" si="17"/>
        <v>0</v>
      </c>
      <c r="AO46" s="36">
        <f t="shared" si="18"/>
        <v>0</v>
      </c>
      <c r="AP46" s="101">
        <f>IF('Datos Mun'!B46="AMM",'Art 14 F I'!F48,'Art 14 F I'!M48)</f>
        <v>9.5445318857553356E-3</v>
      </c>
      <c r="AQ46" s="38">
        <f>IF('Datos Mun'!D46="Zona de Crec",'Art 14 F I'!T48,0)</f>
        <v>0</v>
      </c>
    </row>
    <row r="47" spans="1:43">
      <c r="A47" s="17" t="s">
        <v>43</v>
      </c>
      <c r="B47" s="96" t="s">
        <v>112</v>
      </c>
      <c r="C47" s="96" t="s">
        <v>112</v>
      </c>
      <c r="D47" s="96" t="s">
        <v>113</v>
      </c>
      <c r="E47" s="77">
        <v>625255</v>
      </c>
      <c r="F47" s="18">
        <v>1019262</v>
      </c>
      <c r="G47" s="18">
        <v>622808</v>
      </c>
      <c r="H47" s="18">
        <v>939947</v>
      </c>
      <c r="I47" s="14">
        <f t="shared" si="19"/>
        <v>0.66259906143644265</v>
      </c>
      <c r="J47" s="14">
        <f t="shared" si="20"/>
        <v>-3.913603249874051E-3</v>
      </c>
      <c r="K47" s="8">
        <v>671</v>
      </c>
      <c r="L47" s="9">
        <v>247</v>
      </c>
      <c r="M47" s="9">
        <v>1766</v>
      </c>
      <c r="N47" s="9">
        <v>574</v>
      </c>
      <c r="O47" s="14">
        <f t="shared" si="21"/>
        <v>6.0819008342956988E-3</v>
      </c>
      <c r="P47" s="9">
        <v>600.99999999995009</v>
      </c>
      <c r="Q47" s="9">
        <v>212</v>
      </c>
      <c r="R47" s="9">
        <v>872</v>
      </c>
      <c r="S47" s="9">
        <v>90</v>
      </c>
      <c r="T47" s="14">
        <f t="shared" si="22"/>
        <v>4.6062067684282618E-3</v>
      </c>
      <c r="U47" s="14">
        <f t="shared" si="6"/>
        <v>-0.24263698242924844</v>
      </c>
      <c r="V47" s="14">
        <f t="shared" si="7"/>
        <v>0.24263698242924844</v>
      </c>
      <c r="W47" s="14">
        <f t="shared" si="23"/>
        <v>4.5213077818031917E-2</v>
      </c>
      <c r="X47" s="81">
        <v>673.76</v>
      </c>
      <c r="Y47" s="18">
        <v>2377</v>
      </c>
      <c r="Z47" s="82">
        <v>2942</v>
      </c>
      <c r="AA47" s="74">
        <v>2582856.5578415147</v>
      </c>
      <c r="AB47" s="90">
        <f t="shared" si="8"/>
        <v>380559.46838398761</v>
      </c>
      <c r="AC47" s="36">
        <f t="shared" si="24"/>
        <v>2.188169558330392E-4</v>
      </c>
      <c r="AD47" s="32">
        <f t="shared" si="9"/>
        <v>3.4929038963481696E-4</v>
      </c>
      <c r="AE47" s="32">
        <f t="shared" si="10"/>
        <v>1.5737119227706442E-3</v>
      </c>
      <c r="AF47" s="36">
        <f t="shared" si="11"/>
        <v>1.9230023124054611E-3</v>
      </c>
      <c r="AG47" s="32">
        <f t="shared" si="12"/>
        <v>3.9152757531640226E-3</v>
      </c>
      <c r="AH47" s="32">
        <f t="shared" si="13"/>
        <v>6.7819616727047873E-3</v>
      </c>
      <c r="AI47" s="36">
        <f t="shared" si="14"/>
        <v>1.0697237425868811E-2</v>
      </c>
      <c r="AJ47" s="129">
        <f>IF('Datos Mun'!B47="AMM",Y47,0)</f>
        <v>0</v>
      </c>
      <c r="AK47" s="36">
        <f t="shared" si="15"/>
        <v>0</v>
      </c>
      <c r="AL47" s="129">
        <f>IF('Datos Mun'!B47="AMM",0,Y47)</f>
        <v>2377</v>
      </c>
      <c r="AM47" s="36">
        <f t="shared" si="16"/>
        <v>2.6848957950939938E-3</v>
      </c>
      <c r="AN47" s="129">
        <f t="shared" si="17"/>
        <v>0</v>
      </c>
      <c r="AO47" s="36">
        <f t="shared" si="18"/>
        <v>0</v>
      </c>
      <c r="AP47" s="101">
        <f>IF('Datos Mun'!B47="AMM",'Art 14 F I'!F49,'Art 14 F I'!M49)</f>
        <v>1.6050641751082197E-2</v>
      </c>
      <c r="AQ47" s="38">
        <f>IF('Datos Mun'!D47="Zona de Crec",'Art 14 F I'!T49,0)</f>
        <v>0</v>
      </c>
    </row>
    <row r="48" spans="1:43">
      <c r="A48" s="17" t="s">
        <v>44</v>
      </c>
      <c r="B48" s="96" t="s">
        <v>112</v>
      </c>
      <c r="C48" s="96" t="s">
        <v>112</v>
      </c>
      <c r="D48" s="96" t="s">
        <v>113</v>
      </c>
      <c r="E48" s="77">
        <v>6249012</v>
      </c>
      <c r="F48" s="18">
        <v>18416508</v>
      </c>
      <c r="G48" s="18">
        <v>9313018</v>
      </c>
      <c r="H48" s="18">
        <v>19089007</v>
      </c>
      <c r="I48" s="14">
        <f t="shared" si="19"/>
        <v>0.48787336083013644</v>
      </c>
      <c r="J48" s="14">
        <f t="shared" si="20"/>
        <v>0.49031846954366548</v>
      </c>
      <c r="K48" s="8">
        <v>4789</v>
      </c>
      <c r="L48" s="9">
        <v>909</v>
      </c>
      <c r="M48" s="9">
        <v>4749</v>
      </c>
      <c r="N48" s="9">
        <v>258</v>
      </c>
      <c r="O48" s="14">
        <f t="shared" si="21"/>
        <v>1.0585387582953843E-2</v>
      </c>
      <c r="P48" s="9">
        <v>3480.0000000606401</v>
      </c>
      <c r="Q48" s="9">
        <v>841</v>
      </c>
      <c r="R48" s="9">
        <v>1534</v>
      </c>
      <c r="S48" s="9">
        <v>182</v>
      </c>
      <c r="T48" s="14">
        <f t="shared" si="22"/>
        <v>1.2037345123968266E-2</v>
      </c>
      <c r="U48" s="14">
        <f t="shared" si="6"/>
        <v>0.1371662142397676</v>
      </c>
      <c r="V48" s="14">
        <f t="shared" si="7"/>
        <v>0</v>
      </c>
      <c r="W48" s="14">
        <f t="shared" si="23"/>
        <v>0</v>
      </c>
      <c r="X48" s="81">
        <v>1542.15</v>
      </c>
      <c r="Y48" s="18">
        <v>34709</v>
      </c>
      <c r="Z48" s="82">
        <v>38710</v>
      </c>
      <c r="AA48" s="74">
        <v>4652120.7671424625</v>
      </c>
      <c r="AB48" s="90">
        <f t="shared" si="8"/>
        <v>4709486.9596518511</v>
      </c>
      <c r="AC48" s="36">
        <f t="shared" si="24"/>
        <v>2.7078963622227223E-3</v>
      </c>
      <c r="AD48" s="32">
        <f t="shared" si="9"/>
        <v>5.1003450289587131E-3</v>
      </c>
      <c r="AE48" s="32">
        <f t="shared" si="10"/>
        <v>3.6020242247992596E-3</v>
      </c>
      <c r="AF48" s="36">
        <f t="shared" si="11"/>
        <v>8.7023692537579727E-3</v>
      </c>
      <c r="AG48" s="32">
        <f t="shared" si="12"/>
        <v>1.0231743355373026E-2</v>
      </c>
      <c r="AH48" s="32">
        <f t="shared" si="13"/>
        <v>0</v>
      </c>
      <c r="AI48" s="36">
        <f t="shared" si="14"/>
        <v>1.0231743355373026E-2</v>
      </c>
      <c r="AJ48" s="129">
        <f>IF('Datos Mun'!B48="AMM",Y48,0)</f>
        <v>0</v>
      </c>
      <c r="AK48" s="36">
        <f t="shared" si="15"/>
        <v>0</v>
      </c>
      <c r="AL48" s="129">
        <f>IF('Datos Mun'!B48="AMM",0,Y48)</f>
        <v>34709</v>
      </c>
      <c r="AM48" s="36">
        <f t="shared" si="16"/>
        <v>3.9204900358400269E-2</v>
      </c>
      <c r="AN48" s="129">
        <f t="shared" si="17"/>
        <v>0</v>
      </c>
      <c r="AO48" s="36">
        <f t="shared" si="18"/>
        <v>0</v>
      </c>
      <c r="AP48" s="101">
        <f>IF('Datos Mun'!B48="AMM",'Art 14 F I'!F50,'Art 14 F I'!M50)</f>
        <v>2.9930723612399669E-2</v>
      </c>
      <c r="AQ48" s="38">
        <f>IF('Datos Mun'!D48="Zona de Crec",'Art 14 F I'!T50,0)</f>
        <v>0</v>
      </c>
    </row>
    <row r="49" spans="1:43">
      <c r="A49" s="17" t="s">
        <v>45</v>
      </c>
      <c r="B49" s="96" t="s">
        <v>114</v>
      </c>
      <c r="C49" s="96" t="s">
        <v>112</v>
      </c>
      <c r="D49" s="96" t="s">
        <v>115</v>
      </c>
      <c r="E49" s="77">
        <v>19718538</v>
      </c>
      <c r="F49" s="18">
        <v>345400602</v>
      </c>
      <c r="G49" s="18">
        <v>20380807.240000002</v>
      </c>
      <c r="H49" s="18">
        <v>119215481</v>
      </c>
      <c r="I49" s="14">
        <f t="shared" si="19"/>
        <v>0.17095772351914598</v>
      </c>
      <c r="J49" s="14">
        <f t="shared" si="20"/>
        <v>3.3586122865701409E-2</v>
      </c>
      <c r="K49" s="8">
        <v>2382</v>
      </c>
      <c r="L49" s="9">
        <v>572</v>
      </c>
      <c r="M49" s="9">
        <v>6969</v>
      </c>
      <c r="N49" s="9">
        <v>1381</v>
      </c>
      <c r="O49" s="14">
        <f t="shared" si="21"/>
        <v>1.7053640702108089E-2</v>
      </c>
      <c r="P49" s="9">
        <v>1795.99999997852</v>
      </c>
      <c r="Q49" s="9">
        <v>775</v>
      </c>
      <c r="R49" s="9">
        <v>2276</v>
      </c>
      <c r="S49" s="9">
        <v>675</v>
      </c>
      <c r="T49" s="14">
        <f t="shared" si="22"/>
        <v>2.09736755298758E-2</v>
      </c>
      <c r="U49" s="14">
        <f t="shared" si="6"/>
        <v>0.22986498286451734</v>
      </c>
      <c r="V49" s="14">
        <f t="shared" si="7"/>
        <v>0</v>
      </c>
      <c r="W49" s="14">
        <f t="shared" si="23"/>
        <v>0</v>
      </c>
      <c r="X49" s="81">
        <v>1658.08</v>
      </c>
      <c r="Y49" s="18">
        <v>86766</v>
      </c>
      <c r="Z49" s="82">
        <v>60377</v>
      </c>
      <c r="AA49" s="74">
        <v>2336031.8166838326</v>
      </c>
      <c r="AB49" s="90">
        <f t="shared" si="8"/>
        <v>1202595.7724128012</v>
      </c>
      <c r="AC49" s="36">
        <f t="shared" si="24"/>
        <v>6.9147759516925949E-4</v>
      </c>
      <c r="AD49" s="32">
        <f t="shared" si="9"/>
        <v>1.2749907424086885E-2</v>
      </c>
      <c r="AE49" s="32">
        <f t="shared" si="10"/>
        <v>3.8728037652985482E-3</v>
      </c>
      <c r="AF49" s="36">
        <f t="shared" si="11"/>
        <v>1.6622711189385433E-2</v>
      </c>
      <c r="AG49" s="32">
        <f t="shared" si="12"/>
        <v>1.782762420039443E-2</v>
      </c>
      <c r="AH49" s="32">
        <f t="shared" si="13"/>
        <v>0</v>
      </c>
      <c r="AI49" s="36">
        <f t="shared" si="14"/>
        <v>1.782762420039443E-2</v>
      </c>
      <c r="AJ49" s="129">
        <f>IF('Datos Mun'!B49="AMM",Y49,0)</f>
        <v>86766</v>
      </c>
      <c r="AK49" s="36">
        <f t="shared" si="15"/>
        <v>1.7710531220000984E-2</v>
      </c>
      <c r="AL49" s="129">
        <f>IF('Datos Mun'!B49="AMM",0,Y49)</f>
        <v>0</v>
      </c>
      <c r="AM49" s="36">
        <f t="shared" si="16"/>
        <v>0</v>
      </c>
      <c r="AN49" s="129">
        <f t="shared" si="17"/>
        <v>86766</v>
      </c>
      <c r="AO49" s="36">
        <f t="shared" si="18"/>
        <v>2.9003092647041127E-2</v>
      </c>
      <c r="AP49" s="101">
        <f>IF('Datos Mun'!B49="AMM",'Art 14 F I'!F51,'Art 14 F I'!M51)</f>
        <v>1.1245493366802212E-2</v>
      </c>
      <c r="AQ49" s="38">
        <f>IF('Datos Mun'!D49="Zona de Crec",'Art 14 F I'!T51,0)</f>
        <v>3.2193136643534369E-2</v>
      </c>
    </row>
    <row r="50" spans="1:43">
      <c r="A50" s="17" t="s">
        <v>46</v>
      </c>
      <c r="B50" s="96" t="s">
        <v>114</v>
      </c>
      <c r="C50" s="96" t="s">
        <v>114</v>
      </c>
      <c r="D50" s="96" t="s">
        <v>113</v>
      </c>
      <c r="E50" s="77">
        <v>290272983.67000002</v>
      </c>
      <c r="F50" s="18">
        <v>628178081</v>
      </c>
      <c r="G50" s="18">
        <v>291911120</v>
      </c>
      <c r="H50" s="18">
        <v>642295900</v>
      </c>
      <c r="I50" s="14">
        <f t="shared" si="19"/>
        <v>0.4544807463351393</v>
      </c>
      <c r="J50" s="14">
        <f t="shared" si="20"/>
        <v>5.6434336716031288E-3</v>
      </c>
      <c r="K50" s="8">
        <v>40580</v>
      </c>
      <c r="L50" s="9">
        <v>5745</v>
      </c>
      <c r="M50" s="9">
        <v>2165</v>
      </c>
      <c r="N50" s="9">
        <v>472</v>
      </c>
      <c r="O50" s="14">
        <f t="shared" si="21"/>
        <v>4.4692892588453548E-2</v>
      </c>
      <c r="P50" s="9">
        <v>18155.999999995089</v>
      </c>
      <c r="Q50" s="9">
        <v>4217</v>
      </c>
      <c r="R50" s="9">
        <v>161</v>
      </c>
      <c r="S50" s="9">
        <v>91</v>
      </c>
      <c r="T50" s="14">
        <f t="shared" si="22"/>
        <v>3.0657492440983779E-2</v>
      </c>
      <c r="U50" s="14">
        <f t="shared" si="6"/>
        <v>-0.3140409880540117</v>
      </c>
      <c r="V50" s="14">
        <f t="shared" si="7"/>
        <v>0.3140409880540117</v>
      </c>
      <c r="W50" s="14">
        <f t="shared" si="23"/>
        <v>5.8518530393766088E-2</v>
      </c>
      <c r="X50" s="81">
        <v>60.1</v>
      </c>
      <c r="Y50" s="18">
        <v>412199</v>
      </c>
      <c r="Z50" s="82">
        <v>473285</v>
      </c>
      <c r="AA50" s="74">
        <v>19632444.547531538</v>
      </c>
      <c r="AB50" s="90">
        <f t="shared" si="8"/>
        <v>135649594.52899852</v>
      </c>
      <c r="AC50" s="36">
        <f t="shared" si="24"/>
        <v>7.7996827830523807E-2</v>
      </c>
      <c r="AD50" s="32">
        <f t="shared" si="9"/>
        <v>6.0570950490989442E-2</v>
      </c>
      <c r="AE50" s="32">
        <f t="shared" si="10"/>
        <v>1.4037652362638883E-4</v>
      </c>
      <c r="AF50" s="36">
        <f t="shared" si="11"/>
        <v>6.0711327014615832E-2</v>
      </c>
      <c r="AG50" s="32">
        <f t="shared" si="12"/>
        <v>2.6058868574836212E-2</v>
      </c>
      <c r="AH50" s="32">
        <f t="shared" si="13"/>
        <v>8.7777795590649136E-3</v>
      </c>
      <c r="AI50" s="36">
        <f t="shared" si="14"/>
        <v>3.4836648133901124E-2</v>
      </c>
      <c r="AJ50" s="129">
        <f>IF('Datos Mun'!B50="AMM",Y50,0)</f>
        <v>412199</v>
      </c>
      <c r="AK50" s="36">
        <f t="shared" si="15"/>
        <v>8.4137372454108586E-2</v>
      </c>
      <c r="AL50" s="129">
        <f>IF('Datos Mun'!B50="AMM",0,Y50)</f>
        <v>0</v>
      </c>
      <c r="AM50" s="36">
        <f t="shared" si="16"/>
        <v>0</v>
      </c>
      <c r="AN50" s="129">
        <f t="shared" si="17"/>
        <v>0</v>
      </c>
      <c r="AO50" s="36">
        <f t="shared" si="18"/>
        <v>0</v>
      </c>
      <c r="AP50" s="101">
        <f>IF('Datos Mun'!B50="AMM",'Art 14 F I'!F52,'Art 14 F I'!M52)</f>
        <v>7.8940831136313255E-2</v>
      </c>
      <c r="AQ50" s="38">
        <f>IF('Datos Mun'!D50="Zona de Crec",'Art 14 F I'!T52,0)</f>
        <v>0</v>
      </c>
    </row>
    <row r="51" spans="1:43">
      <c r="A51" s="17" t="s">
        <v>47</v>
      </c>
      <c r="B51" s="96" t="s">
        <v>114</v>
      </c>
      <c r="C51" s="96" t="s">
        <v>114</v>
      </c>
      <c r="D51" s="96" t="s">
        <v>113</v>
      </c>
      <c r="E51" s="77">
        <v>691961660.51999998</v>
      </c>
      <c r="F51" s="18">
        <v>1066601268</v>
      </c>
      <c r="G51" s="18">
        <v>707374780.13</v>
      </c>
      <c r="H51" s="18">
        <v>1119704293</v>
      </c>
      <c r="I51" s="14">
        <f t="shared" si="19"/>
        <v>0.63175142272139162</v>
      </c>
      <c r="J51" s="14">
        <f t="shared" si="20"/>
        <v>2.2274528329239023E-2</v>
      </c>
      <c r="K51" s="8">
        <v>9903</v>
      </c>
      <c r="L51" s="9">
        <v>1776</v>
      </c>
      <c r="M51" s="9">
        <v>642</v>
      </c>
      <c r="N51" s="9">
        <v>85</v>
      </c>
      <c r="O51" s="14">
        <f t="shared" si="21"/>
        <v>1.186193507945096E-2</v>
      </c>
      <c r="P51" s="9">
        <v>4908.0000000006539</v>
      </c>
      <c r="Q51" s="9">
        <v>1283</v>
      </c>
      <c r="R51" s="9">
        <v>140</v>
      </c>
      <c r="S51" s="9">
        <v>21</v>
      </c>
      <c r="T51" s="14">
        <f t="shared" si="22"/>
        <v>8.9060598463427572E-3</v>
      </c>
      <c r="U51" s="14">
        <f t="shared" si="6"/>
        <v>-0.24918996886341233</v>
      </c>
      <c r="V51" s="14">
        <f t="shared" si="7"/>
        <v>0.24918996886341233</v>
      </c>
      <c r="W51" s="14">
        <f t="shared" si="23"/>
        <v>4.6434164078757868E-2</v>
      </c>
      <c r="X51" s="81">
        <v>72.010000000000005</v>
      </c>
      <c r="Y51" s="18">
        <v>132169</v>
      </c>
      <c r="Z51" s="82">
        <v>136480</v>
      </c>
      <c r="AA51" s="74">
        <v>42764449.302244864</v>
      </c>
      <c r="AB51" s="90">
        <f t="shared" si="8"/>
        <v>469134150.29239011</v>
      </c>
      <c r="AC51" s="36">
        <f t="shared" si="24"/>
        <v>0.2697462950539995</v>
      </c>
      <c r="AD51" s="32">
        <f t="shared" si="9"/>
        <v>1.9421691841667699E-2</v>
      </c>
      <c r="AE51" s="32">
        <f t="shared" si="10"/>
        <v>1.6819489960626053E-4</v>
      </c>
      <c r="AF51" s="36">
        <f t="shared" si="11"/>
        <v>1.958988674127396E-2</v>
      </c>
      <c r="AG51" s="32">
        <f t="shared" si="12"/>
        <v>7.5701508693913431E-3</v>
      </c>
      <c r="AH51" s="32">
        <f t="shared" si="13"/>
        <v>6.9651246118136801E-3</v>
      </c>
      <c r="AI51" s="36">
        <f t="shared" si="14"/>
        <v>1.4535275481205024E-2</v>
      </c>
      <c r="AJ51" s="129">
        <f>IF('Datos Mun'!B51="AMM",Y51,0)</f>
        <v>132169</v>
      </c>
      <c r="AK51" s="36">
        <f t="shared" si="15"/>
        <v>2.6978115861239542E-2</v>
      </c>
      <c r="AL51" s="129">
        <f>IF('Datos Mun'!B51="AMM",0,Y51)</f>
        <v>0</v>
      </c>
      <c r="AM51" s="36">
        <f t="shared" si="16"/>
        <v>0</v>
      </c>
      <c r="AN51" s="129">
        <f t="shared" si="17"/>
        <v>0</v>
      </c>
      <c r="AO51" s="36">
        <f t="shared" si="18"/>
        <v>0</v>
      </c>
      <c r="AP51" s="101">
        <f>IF('Datos Mun'!B51="AMM",'Art 14 F I'!F53,'Art 14 F I'!M53)</f>
        <v>0.18001736721582084</v>
      </c>
      <c r="AQ51" s="38">
        <f>IF('Datos Mun'!D51="Zona de Crec",'Art 14 F I'!T53,0)</f>
        <v>0</v>
      </c>
    </row>
    <row r="52" spans="1:43">
      <c r="A52" s="17" t="s">
        <v>48</v>
      </c>
      <c r="B52" s="96" t="s">
        <v>114</v>
      </c>
      <c r="C52" s="96" t="s">
        <v>114</v>
      </c>
      <c r="D52" s="96" t="s">
        <v>115</v>
      </c>
      <c r="E52" s="77">
        <v>108456329.03999999</v>
      </c>
      <c r="F52" s="18">
        <v>260271541</v>
      </c>
      <c r="G52" s="18">
        <v>114179634.2</v>
      </c>
      <c r="H52" s="18">
        <v>274755070</v>
      </c>
      <c r="I52" s="14">
        <f t="shared" si="19"/>
        <v>0.41556879805712049</v>
      </c>
      <c r="J52" s="14">
        <f t="shared" si="20"/>
        <v>5.2770596337344114E-2</v>
      </c>
      <c r="K52" s="8">
        <v>25924</v>
      </c>
      <c r="L52" s="9">
        <v>5313</v>
      </c>
      <c r="M52" s="9">
        <v>11983</v>
      </c>
      <c r="N52" s="9">
        <v>721</v>
      </c>
      <c r="O52" s="14">
        <f t="shared" si="21"/>
        <v>4.3831533381636548E-2</v>
      </c>
      <c r="P52" s="9">
        <v>21053.000000219407</v>
      </c>
      <c r="Q52" s="9">
        <v>4306</v>
      </c>
      <c r="R52" s="9">
        <v>2328</v>
      </c>
      <c r="S52" s="9">
        <v>359</v>
      </c>
      <c r="T52" s="14">
        <f t="shared" si="22"/>
        <v>4.2521238623903848E-2</v>
      </c>
      <c r="U52" s="14">
        <f t="shared" si="6"/>
        <v>-2.9893883618537846E-2</v>
      </c>
      <c r="V52" s="14">
        <f t="shared" si="7"/>
        <v>2.9893883618537846E-2</v>
      </c>
      <c r="W52" s="14">
        <f t="shared" si="23"/>
        <v>5.5704389034027758E-3</v>
      </c>
      <c r="X52" s="81">
        <v>885.01</v>
      </c>
      <c r="Y52" s="18">
        <v>306322</v>
      </c>
      <c r="Z52" s="82">
        <v>318594</v>
      </c>
      <c r="AA52" s="74">
        <v>10475655.416298293</v>
      </c>
      <c r="AB52" s="90">
        <f t="shared" si="8"/>
        <v>50089951.502019234</v>
      </c>
      <c r="AC52" s="36">
        <f t="shared" si="24"/>
        <v>2.880109842500924E-2</v>
      </c>
      <c r="AD52" s="32">
        <f t="shared" si="9"/>
        <v>4.5012760089910141E-2</v>
      </c>
      <c r="AE52" s="32">
        <f t="shared" si="10"/>
        <v>2.0671318997435998E-3</v>
      </c>
      <c r="AF52" s="36">
        <f t="shared" si="11"/>
        <v>4.707989198965374E-2</v>
      </c>
      <c r="AG52" s="32">
        <f t="shared" si="12"/>
        <v>3.6143052830318267E-2</v>
      </c>
      <c r="AH52" s="32">
        <f t="shared" si="13"/>
        <v>8.3556583551041631E-4</v>
      </c>
      <c r="AI52" s="36">
        <f t="shared" si="14"/>
        <v>3.6978618665828682E-2</v>
      </c>
      <c r="AJ52" s="129">
        <f>IF('Datos Mun'!B52="AMM",Y52,0)</f>
        <v>306322</v>
      </c>
      <c r="AK52" s="36">
        <f t="shared" si="15"/>
        <v>6.252593578559737E-2</v>
      </c>
      <c r="AL52" s="129">
        <f>IF('Datos Mun'!B52="AMM",0,Y52)</f>
        <v>0</v>
      </c>
      <c r="AM52" s="36">
        <f t="shared" si="16"/>
        <v>0</v>
      </c>
      <c r="AN52" s="129">
        <f t="shared" si="17"/>
        <v>306322</v>
      </c>
      <c r="AO52" s="36">
        <f t="shared" si="18"/>
        <v>0.10239362591138156</v>
      </c>
      <c r="AP52" s="101">
        <f>IF('Datos Mun'!B52="AMM",'Art 14 F I'!F54,'Art 14 F I'!M54)</f>
        <v>4.4457110156483869E-2</v>
      </c>
      <c r="AQ52" s="38">
        <f>IF('Datos Mun'!D52="Zona de Crec",'Art 14 F I'!T54,0)</f>
        <v>0.12726998944034121</v>
      </c>
    </row>
    <row r="53" spans="1:43">
      <c r="A53" s="17" t="s">
        <v>49</v>
      </c>
      <c r="B53" s="96" t="s">
        <v>114</v>
      </c>
      <c r="C53" s="96" t="s">
        <v>112</v>
      </c>
      <c r="D53" s="96" t="s">
        <v>115</v>
      </c>
      <c r="E53" s="77">
        <v>65213950.950000003</v>
      </c>
      <c r="F53" s="18">
        <v>164659580</v>
      </c>
      <c r="G53" s="18">
        <v>77757928.799999997</v>
      </c>
      <c r="H53" s="18">
        <v>175563518</v>
      </c>
      <c r="I53" s="14">
        <f t="shared" si="19"/>
        <v>0.4429048226294941</v>
      </c>
      <c r="J53" s="14">
        <f t="shared" si="20"/>
        <v>0.19235114062660535</v>
      </c>
      <c r="K53" s="8">
        <v>4577</v>
      </c>
      <c r="L53" s="9">
        <v>1003</v>
      </c>
      <c r="M53" s="9">
        <v>3403</v>
      </c>
      <c r="N53" s="9">
        <v>757</v>
      </c>
      <c r="O53" s="14">
        <f t="shared" si="21"/>
        <v>1.2908414603821229E-2</v>
      </c>
      <c r="P53" s="9">
        <v>2792.0000000464884</v>
      </c>
      <c r="Q53" s="9">
        <v>666</v>
      </c>
      <c r="R53" s="9">
        <v>1225</v>
      </c>
      <c r="S53" s="9">
        <v>325</v>
      </c>
      <c r="T53" s="14">
        <f t="shared" si="22"/>
        <v>1.2876011255505039E-2</v>
      </c>
      <c r="U53" s="14">
        <f t="shared" si="6"/>
        <v>-2.5102500431461333E-3</v>
      </c>
      <c r="V53" s="14">
        <f t="shared" si="7"/>
        <v>2.5102500431461333E-3</v>
      </c>
      <c r="W53" s="14">
        <f t="shared" si="23"/>
        <v>4.6776105360022324E-4</v>
      </c>
      <c r="X53" s="81">
        <v>746.48</v>
      </c>
      <c r="Y53" s="18">
        <v>46784</v>
      </c>
      <c r="Z53" s="82">
        <v>46435</v>
      </c>
      <c r="AA53" s="74">
        <v>4180345.0020391755</v>
      </c>
      <c r="AB53" s="90">
        <f t="shared" si="8"/>
        <v>36719973.968510479</v>
      </c>
      <c r="AC53" s="36">
        <f t="shared" si="24"/>
        <v>2.1113527817814202E-2</v>
      </c>
      <c r="AD53" s="32">
        <f t="shared" si="9"/>
        <v>6.8747166969605712E-3</v>
      </c>
      <c r="AE53" s="32">
        <f t="shared" si="10"/>
        <v>1.7435651806427073E-3</v>
      </c>
      <c r="AF53" s="36">
        <f t="shared" si="11"/>
        <v>8.6182818776032784E-3</v>
      </c>
      <c r="AG53" s="32">
        <f t="shared" si="12"/>
        <v>1.0944609567179282E-2</v>
      </c>
      <c r="AH53" s="32">
        <f t="shared" si="13"/>
        <v>7.0164158040033481E-5</v>
      </c>
      <c r="AI53" s="36">
        <f t="shared" si="14"/>
        <v>1.1014773725219315E-2</v>
      </c>
      <c r="AJ53" s="129">
        <f>IF('Datos Mun'!B53="AMM",Y53,0)</f>
        <v>46784</v>
      </c>
      <c r="AK53" s="36">
        <f t="shared" si="15"/>
        <v>9.5494720581394323E-3</v>
      </c>
      <c r="AL53" s="129">
        <f>IF('Datos Mun'!B53="AMM",0,Y53)</f>
        <v>0</v>
      </c>
      <c r="AM53" s="36">
        <f t="shared" si="16"/>
        <v>0</v>
      </c>
      <c r="AN53" s="129">
        <f t="shared" si="17"/>
        <v>46784</v>
      </c>
      <c r="AO53" s="36">
        <f t="shared" si="18"/>
        <v>1.5638391609607127E-2</v>
      </c>
      <c r="AP53" s="101">
        <f>IF('Datos Mun'!B53="AMM",'Art 14 F I'!F55,'Art 14 F I'!M55)</f>
        <v>1.9413440946660317E-2</v>
      </c>
      <c r="AQ53" s="38">
        <f>IF('Datos Mun'!D53="Zona de Crec",'Art 14 F I'!T55,0)</f>
        <v>5.5576001579621316E-2</v>
      </c>
    </row>
    <row r="54" spans="1:43">
      <c r="A54" s="17" t="s">
        <v>50</v>
      </c>
      <c r="B54" s="96" t="s">
        <v>112</v>
      </c>
      <c r="C54" s="96" t="s">
        <v>112</v>
      </c>
      <c r="D54" s="96" t="s">
        <v>113</v>
      </c>
      <c r="E54" s="77">
        <v>1227159</v>
      </c>
      <c r="F54" s="18">
        <v>4336101</v>
      </c>
      <c r="G54" s="18">
        <v>1324391</v>
      </c>
      <c r="H54" s="18">
        <v>4524382</v>
      </c>
      <c r="I54" s="14">
        <f t="shared" si="19"/>
        <v>0.29272307245497836</v>
      </c>
      <c r="J54" s="14">
        <f t="shared" si="20"/>
        <v>7.9233416370657755E-2</v>
      </c>
      <c r="K54" s="8">
        <v>477</v>
      </c>
      <c r="L54" s="9">
        <v>88</v>
      </c>
      <c r="M54" s="9">
        <v>1037</v>
      </c>
      <c r="N54" s="9">
        <v>127</v>
      </c>
      <c r="O54" s="14">
        <f t="shared" si="21"/>
        <v>2.1161437003937465E-3</v>
      </c>
      <c r="P54" s="9">
        <v>265.99999999676999</v>
      </c>
      <c r="Q54" s="9">
        <v>85</v>
      </c>
      <c r="R54" s="9">
        <v>641</v>
      </c>
      <c r="S54" s="9">
        <v>46</v>
      </c>
      <c r="T54" s="14">
        <f t="shared" si="22"/>
        <v>2.6387778418526363E-3</v>
      </c>
      <c r="U54" s="14">
        <f t="shared" si="6"/>
        <v>0.24697478784717899</v>
      </c>
      <c r="V54" s="14">
        <f t="shared" si="7"/>
        <v>0</v>
      </c>
      <c r="W54" s="14">
        <f t="shared" si="23"/>
        <v>0</v>
      </c>
      <c r="X54" s="81">
        <v>1766.28</v>
      </c>
      <c r="Y54" s="18">
        <v>1552</v>
      </c>
      <c r="Z54" s="82">
        <v>1921</v>
      </c>
      <c r="AA54" s="74">
        <v>1539148.4831484745</v>
      </c>
      <c r="AB54" s="90">
        <f t="shared" si="8"/>
        <v>404513.52975426544</v>
      </c>
      <c r="AC54" s="36">
        <f t="shared" si="24"/>
        <v>2.3259024286000453E-4</v>
      </c>
      <c r="AD54" s="32">
        <f t="shared" si="9"/>
        <v>2.2806002722475219E-4</v>
      </c>
      <c r="AE54" s="32">
        <f t="shared" si="10"/>
        <v>4.1255282221433947E-3</v>
      </c>
      <c r="AF54" s="36">
        <f t="shared" si="11"/>
        <v>4.353588249368147E-3</v>
      </c>
      <c r="AG54" s="32">
        <f t="shared" si="12"/>
        <v>2.2429611655747409E-3</v>
      </c>
      <c r="AH54" s="32">
        <f t="shared" si="13"/>
        <v>0</v>
      </c>
      <c r="AI54" s="36">
        <f t="shared" si="14"/>
        <v>2.2429611655747409E-3</v>
      </c>
      <c r="AJ54" s="129">
        <f>IF('Datos Mun'!B54="AMM",Y54,0)</f>
        <v>0</v>
      </c>
      <c r="AK54" s="36">
        <f t="shared" si="15"/>
        <v>0</v>
      </c>
      <c r="AL54" s="129">
        <f>IF('Datos Mun'!B54="AMM",0,Y54)</f>
        <v>1552</v>
      </c>
      <c r="AM54" s="36">
        <f t="shared" si="16"/>
        <v>1.7530325090390738E-3</v>
      </c>
      <c r="AN54" s="129">
        <f t="shared" si="17"/>
        <v>0</v>
      </c>
      <c r="AO54" s="36">
        <f t="shared" si="18"/>
        <v>0</v>
      </c>
      <c r="AP54" s="101">
        <f>IF('Datos Mun'!B54="AMM",'Art 14 F I'!F56,'Art 14 F I'!M56)</f>
        <v>8.6802261851387438E-3</v>
      </c>
      <c r="AQ54" s="38">
        <f>IF('Datos Mun'!D54="Zona de Crec",'Art 14 F I'!T56,0)</f>
        <v>0</v>
      </c>
    </row>
    <row r="55" spans="1:43">
      <c r="A55" s="17" t="s">
        <v>51</v>
      </c>
      <c r="B55" s="96" t="s">
        <v>112</v>
      </c>
      <c r="C55" s="96" t="s">
        <v>112</v>
      </c>
      <c r="D55" s="96" t="s">
        <v>113</v>
      </c>
      <c r="E55" s="77">
        <v>442199</v>
      </c>
      <c r="F55" s="18">
        <v>2885796</v>
      </c>
      <c r="G55" s="18">
        <v>606247</v>
      </c>
      <c r="H55" s="18">
        <v>2896776</v>
      </c>
      <c r="I55" s="14">
        <f t="shared" si="19"/>
        <v>0.20928335501260711</v>
      </c>
      <c r="J55" s="14">
        <f t="shared" si="20"/>
        <v>0.37098229530143667</v>
      </c>
      <c r="K55" s="8">
        <v>765</v>
      </c>
      <c r="L55" s="9">
        <v>138</v>
      </c>
      <c r="M55" s="9">
        <v>1343</v>
      </c>
      <c r="N55" s="9">
        <v>81</v>
      </c>
      <c r="O55" s="14">
        <f t="shared" si="21"/>
        <v>2.3618458065896289E-3</v>
      </c>
      <c r="P55" s="9">
        <v>609.99999999842794</v>
      </c>
      <c r="Q55" s="9">
        <v>123</v>
      </c>
      <c r="R55" s="9">
        <v>468</v>
      </c>
      <c r="S55" s="9">
        <v>34</v>
      </c>
      <c r="T55" s="14">
        <f t="shared" si="22"/>
        <v>2.4691708613404947E-3</v>
      </c>
      <c r="U55" s="14">
        <f t="shared" si="6"/>
        <v>4.5441177595686125E-2</v>
      </c>
      <c r="V55" s="14">
        <f t="shared" si="7"/>
        <v>0</v>
      </c>
      <c r="W55" s="14">
        <f t="shared" si="23"/>
        <v>0</v>
      </c>
      <c r="X55" s="81">
        <v>879.68</v>
      </c>
      <c r="Y55" s="18">
        <v>3573</v>
      </c>
      <c r="Z55" s="82">
        <v>4527</v>
      </c>
      <c r="AA55" s="74">
        <v>3547664.3080507987</v>
      </c>
      <c r="AB55" s="90">
        <f t="shared" si="8"/>
        <v>127360.15470566873</v>
      </c>
      <c r="AC55" s="36">
        <f t="shared" si="24"/>
        <v>7.3230503147013408E-5</v>
      </c>
      <c r="AD55" s="32">
        <f t="shared" si="9"/>
        <v>5.2503767865595327E-4</v>
      </c>
      <c r="AE55" s="32">
        <f t="shared" si="10"/>
        <v>2.054682534170744E-3</v>
      </c>
      <c r="AF55" s="36">
        <f t="shared" si="11"/>
        <v>2.5797202128266974E-3</v>
      </c>
      <c r="AG55" s="32">
        <f t="shared" si="12"/>
        <v>2.0987952321394206E-3</v>
      </c>
      <c r="AH55" s="32">
        <f t="shared" si="13"/>
        <v>0</v>
      </c>
      <c r="AI55" s="36">
        <f t="shared" si="14"/>
        <v>2.0987952321394206E-3</v>
      </c>
      <c r="AJ55" s="129">
        <f>IF('Datos Mun'!B55="AMM",Y55,0)</f>
        <v>0</v>
      </c>
      <c r="AK55" s="36">
        <f t="shared" si="15"/>
        <v>0</v>
      </c>
      <c r="AL55" s="129">
        <f>IF('Datos Mun'!B55="AMM",0,Y55)</f>
        <v>3573</v>
      </c>
      <c r="AM55" s="36">
        <f t="shared" si="16"/>
        <v>4.0358151770596724E-3</v>
      </c>
      <c r="AN55" s="129">
        <f t="shared" si="17"/>
        <v>0</v>
      </c>
      <c r="AO55" s="36">
        <f t="shared" si="18"/>
        <v>0</v>
      </c>
      <c r="AP55" s="101">
        <f>IF('Datos Mun'!B55="AMM",'Art 14 F I'!F57,'Art 14 F I'!M57)</f>
        <v>5.9308253818904332E-3</v>
      </c>
      <c r="AQ55" s="344">
        <f>IF('Datos Mun'!D55="Zona de Crec",'Art 14 F I'!T57,0)</f>
        <v>0</v>
      </c>
    </row>
    <row r="56" spans="1:43" ht="13.5" thickBot="1">
      <c r="A56" s="10" t="s">
        <v>52</v>
      </c>
      <c r="B56" s="97"/>
      <c r="C56" s="97"/>
      <c r="D56" s="97"/>
      <c r="E56" s="78">
        <f t="shared" ref="E56:K56" si="25">SUM(E5:E55)</f>
        <v>3314378996.3799996</v>
      </c>
      <c r="F56" s="19">
        <f t="shared" si="25"/>
        <v>7593491597</v>
      </c>
      <c r="G56" s="19">
        <f t="shared" si="25"/>
        <v>3470514481.75</v>
      </c>
      <c r="H56" s="19">
        <f t="shared" si="25"/>
        <v>7728371151</v>
      </c>
      <c r="I56" s="21">
        <f t="shared" si="25"/>
        <v>16.184402106911215</v>
      </c>
      <c r="J56" s="21">
        <f t="shared" si="25"/>
        <v>7.8912379223635325</v>
      </c>
      <c r="K56" s="11">
        <f t="shared" si="25"/>
        <v>427511</v>
      </c>
      <c r="L56" s="12">
        <f t="shared" ref="L56:T56" si="26">SUM(L5:L55)</f>
        <v>87963</v>
      </c>
      <c r="M56" s="12">
        <f t="shared" si="26"/>
        <v>334098</v>
      </c>
      <c r="N56" s="12">
        <f t="shared" si="26"/>
        <v>39143</v>
      </c>
      <c r="O56" s="21">
        <f t="shared" si="26"/>
        <v>1</v>
      </c>
      <c r="P56" s="12">
        <f t="shared" si="26"/>
        <v>317877.99999509094</v>
      </c>
      <c r="Q56" s="12">
        <f t="shared" si="26"/>
        <v>73242</v>
      </c>
      <c r="R56" s="12">
        <f t="shared" si="26"/>
        <v>123116</v>
      </c>
      <c r="S56" s="12">
        <f t="shared" si="26"/>
        <v>13726</v>
      </c>
      <c r="T56" s="21">
        <f t="shared" si="26"/>
        <v>1.0000000000000002</v>
      </c>
      <c r="U56" s="21">
        <f t="shared" ref="U56:Z56" si="27">SUM(U5:U55)</f>
        <v>2.3813600670859127</v>
      </c>
      <c r="V56" s="21">
        <f t="shared" si="27"/>
        <v>5.3665221245451189</v>
      </c>
      <c r="W56" s="21">
        <f t="shared" si="27"/>
        <v>1.0000000000000002</v>
      </c>
      <c r="X56" s="83">
        <f t="shared" si="27"/>
        <v>64220.140000000021</v>
      </c>
      <c r="Y56" s="19">
        <f>SUM(Y5:Y55)</f>
        <v>5784442</v>
      </c>
      <c r="Z56" s="84">
        <f t="shared" si="27"/>
        <v>5533147</v>
      </c>
      <c r="AA56" s="235">
        <f t="shared" ref="AA56:AH56" si="28">SUM(AA5:AA55)</f>
        <v>423610039.11140221</v>
      </c>
      <c r="AB56" s="91">
        <f t="shared" si="28"/>
        <v>1739168095.704432</v>
      </c>
      <c r="AC56" s="37">
        <f t="shared" si="28"/>
        <v>1.0000000000000002</v>
      </c>
      <c r="AD56" s="33">
        <f t="shared" si="28"/>
        <v>0.8500000000000002</v>
      </c>
      <c r="AE56" s="33">
        <f t="shared" si="28"/>
        <v>0.15</v>
      </c>
      <c r="AF56" s="37">
        <f t="shared" si="28"/>
        <v>1</v>
      </c>
      <c r="AG56" s="33">
        <f t="shared" si="28"/>
        <v>0.85</v>
      </c>
      <c r="AH56" s="33">
        <f t="shared" si="28"/>
        <v>0.15000000000000005</v>
      </c>
      <c r="AI56" s="37">
        <f t="shared" ref="AI56:AO56" si="29">SUM(AI5:AI55)</f>
        <v>1.0000000000000002</v>
      </c>
      <c r="AJ56" s="130">
        <f t="shared" si="29"/>
        <v>4899119</v>
      </c>
      <c r="AK56" s="37">
        <f t="shared" si="29"/>
        <v>1</v>
      </c>
      <c r="AL56" s="130">
        <f t="shared" si="29"/>
        <v>885323</v>
      </c>
      <c r="AM56" s="37">
        <f t="shared" si="29"/>
        <v>0.99999999999999989</v>
      </c>
      <c r="AN56" s="130">
        <f t="shared" si="29"/>
        <v>2991612</v>
      </c>
      <c r="AO56" s="37">
        <f t="shared" si="29"/>
        <v>1</v>
      </c>
      <c r="AP56" s="102">
        <f>SUM(AP5:AP55)</f>
        <v>2</v>
      </c>
      <c r="AQ56" s="39">
        <f>SUM(AQ5:AQ55)</f>
        <v>0.99999999999999989</v>
      </c>
    </row>
    <row r="57" spans="1:43" ht="13.5" thickTop="1"/>
    <row r="61" spans="1:43">
      <c r="AE61" s="98"/>
    </row>
  </sheetData>
  <mergeCells count="6">
    <mergeCell ref="AP3:AQ3"/>
    <mergeCell ref="AB3:AO3"/>
    <mergeCell ref="A2:Z2"/>
    <mergeCell ref="E3:J3"/>
    <mergeCell ref="X3:Z3"/>
    <mergeCell ref="K3:V3"/>
  </mergeCells>
  <pageMargins left="0.7" right="0.7" top="0.75" bottom="0.75" header="0.3" footer="0.3"/>
  <pageSetup scale="1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="85" zoomScaleNormal="85" workbookViewId="0">
      <pane xSplit="1" ySplit="6" topLeftCell="B52" activePane="bottomRight" state="frozen"/>
      <selection pane="topRight" activeCell="B1" sqref="B1"/>
      <selection pane="bottomLeft" activeCell="A7" sqref="A7"/>
      <selection pane="bottomRight" activeCell="O1" sqref="O1:T58"/>
    </sheetView>
  </sheetViews>
  <sheetFormatPr baseColWidth="10" defaultColWidth="11.42578125" defaultRowHeight="12.75"/>
  <cols>
    <col min="1" max="1" width="28.42578125" style="13" bestFit="1" customWidth="1"/>
    <col min="2" max="7" width="16.5703125" style="22" customWidth="1"/>
    <col min="8" max="8" width="28.42578125" style="46" bestFit="1" customWidth="1"/>
    <col min="9" max="13" width="16.5703125" style="22" customWidth="1"/>
    <col min="14" max="14" width="11.42578125" style="13"/>
    <col min="15" max="15" width="28.42578125" style="13" bestFit="1" customWidth="1"/>
    <col min="16" max="21" width="16.5703125" style="22" customWidth="1"/>
    <col min="22" max="16384" width="11.42578125" style="13"/>
  </cols>
  <sheetData>
    <row r="1" spans="1:21" ht="18">
      <c r="A1" s="338" t="s">
        <v>104</v>
      </c>
      <c r="B1" s="338"/>
      <c r="C1" s="338"/>
      <c r="D1" s="338"/>
      <c r="E1" s="338"/>
      <c r="F1" s="338"/>
      <c r="G1" s="42"/>
      <c r="H1" s="338" t="s">
        <v>123</v>
      </c>
      <c r="I1" s="338"/>
      <c r="J1" s="338"/>
      <c r="K1" s="338"/>
      <c r="L1" s="338"/>
      <c r="M1" s="338"/>
      <c r="O1" s="338" t="s">
        <v>104</v>
      </c>
      <c r="P1" s="338"/>
      <c r="Q1" s="338"/>
      <c r="R1" s="338"/>
      <c r="S1" s="338"/>
      <c r="T1" s="338"/>
      <c r="U1" s="93"/>
    </row>
    <row r="2" spans="1:21" ht="18.75" customHeight="1" thickBot="1">
      <c r="A2" s="339" t="s">
        <v>119</v>
      </c>
      <c r="B2" s="339"/>
      <c r="C2" s="339"/>
      <c r="D2" s="339"/>
      <c r="E2" s="339"/>
      <c r="F2" s="339"/>
      <c r="G2" s="45"/>
      <c r="H2" s="339" t="s">
        <v>120</v>
      </c>
      <c r="I2" s="339"/>
      <c r="J2" s="339"/>
      <c r="K2" s="339"/>
      <c r="L2" s="339"/>
      <c r="M2" s="339"/>
      <c r="O2" s="339" t="s">
        <v>121</v>
      </c>
      <c r="P2" s="339"/>
      <c r="Q2" s="339"/>
      <c r="R2" s="339"/>
      <c r="S2" s="339"/>
      <c r="T2" s="339"/>
      <c r="U2" s="45"/>
    </row>
    <row r="3" spans="1:21" ht="65.25" thickTop="1" thickBot="1">
      <c r="A3" s="2" t="s">
        <v>0</v>
      </c>
      <c r="B3" s="3" t="s">
        <v>68</v>
      </c>
      <c r="C3" s="4" t="s">
        <v>69</v>
      </c>
      <c r="D3" s="5" t="s">
        <v>70</v>
      </c>
      <c r="E3" s="7" t="s">
        <v>71</v>
      </c>
      <c r="F3" s="6" t="s">
        <v>54</v>
      </c>
      <c r="G3" s="23"/>
      <c r="H3" s="2" t="s">
        <v>0</v>
      </c>
      <c r="I3" s="3" t="s">
        <v>68</v>
      </c>
      <c r="J3" s="4" t="s">
        <v>69</v>
      </c>
      <c r="K3" s="5" t="s">
        <v>70</v>
      </c>
      <c r="L3" s="7" t="s">
        <v>71</v>
      </c>
      <c r="M3" s="6" t="s">
        <v>54</v>
      </c>
      <c r="O3" s="2" t="s">
        <v>0</v>
      </c>
      <c r="P3" s="3" t="s">
        <v>68</v>
      </c>
      <c r="Q3" s="4" t="s">
        <v>69</v>
      </c>
      <c r="R3" s="5" t="s">
        <v>70</v>
      </c>
      <c r="S3" s="7" t="s">
        <v>71</v>
      </c>
      <c r="T3" s="6" t="s">
        <v>54</v>
      </c>
      <c r="U3" s="23"/>
    </row>
    <row r="4" spans="1:21" ht="13.5" thickTop="1">
      <c r="A4" s="35"/>
      <c r="B4" s="24" t="s">
        <v>72</v>
      </c>
      <c r="C4" s="24" t="s">
        <v>72</v>
      </c>
      <c r="D4" s="24" t="s">
        <v>72</v>
      </c>
      <c r="E4" s="24" t="s">
        <v>72</v>
      </c>
      <c r="F4" s="23"/>
      <c r="G4" s="23"/>
      <c r="H4" s="35"/>
      <c r="I4" s="24" t="s">
        <v>72</v>
      </c>
      <c r="J4" s="24" t="s">
        <v>72</v>
      </c>
      <c r="K4" s="24" t="s">
        <v>72</v>
      </c>
      <c r="L4" s="24" t="s">
        <v>72</v>
      </c>
      <c r="M4" s="23"/>
      <c r="O4" s="35"/>
      <c r="P4" s="24" t="s">
        <v>72</v>
      </c>
      <c r="Q4" s="24" t="s">
        <v>72</v>
      </c>
      <c r="R4" s="24" t="s">
        <v>72</v>
      </c>
      <c r="S4" s="24" t="s">
        <v>72</v>
      </c>
      <c r="T4" s="23"/>
      <c r="U4" s="23"/>
    </row>
    <row r="5" spans="1:21">
      <c r="A5" s="1"/>
      <c r="B5" s="25">
        <f>$E$5*0.5</f>
        <v>18373480679</v>
      </c>
      <c r="C5" s="25">
        <f>$E$5*0.25</f>
        <v>9186740339.5</v>
      </c>
      <c r="D5" s="25">
        <f>$E$5*0.25</f>
        <v>9186740339.5</v>
      </c>
      <c r="E5" s="25">
        <f>'Participación 2021'!B12-'Participación 2021'!B11-'Participación 2021'!B5</f>
        <v>36746961358</v>
      </c>
      <c r="F5" s="26"/>
      <c r="G5" s="99">
        <v>7.8576423041586241E-2</v>
      </c>
      <c r="H5" s="1"/>
      <c r="I5" s="25">
        <f>$L$5*0.5</f>
        <v>18373480679</v>
      </c>
      <c r="J5" s="25">
        <f>$L$5*0.25</f>
        <v>9186740339.5</v>
      </c>
      <c r="K5" s="25">
        <f>$L$5*0.25</f>
        <v>9186740339.5</v>
      </c>
      <c r="L5" s="25">
        <f>'Participación 2021'!B12-'Participación 2021'!B11-'Participación 2021'!B5</f>
        <v>36746961358</v>
      </c>
      <c r="M5" s="26"/>
      <c r="O5" s="1"/>
      <c r="P5" s="25">
        <f>$S$5*0.5</f>
        <v>18373480679</v>
      </c>
      <c r="Q5" s="25">
        <f>$S$5*0.25</f>
        <v>9186740339.5</v>
      </c>
      <c r="R5" s="25">
        <f>$S$5*0.25</f>
        <v>9186740339.5</v>
      </c>
      <c r="S5" s="25">
        <f>'Participación 2021'!B12-'Participación 2021'!B11-'Participación 2021'!B5</f>
        <v>36746961358</v>
      </c>
      <c r="T5" s="26"/>
      <c r="U5" s="99">
        <v>7.8576423041586241E-2</v>
      </c>
    </row>
    <row r="6" spans="1:21" ht="34.5" thickBot="1">
      <c r="A6" s="1"/>
      <c r="B6" s="25" t="s">
        <v>73</v>
      </c>
      <c r="C6" s="25" t="s">
        <v>74</v>
      </c>
      <c r="D6" s="25" t="s">
        <v>75</v>
      </c>
      <c r="E6" s="27" t="s">
        <v>76</v>
      </c>
      <c r="F6" s="27" t="s">
        <v>77</v>
      </c>
      <c r="G6" s="27"/>
      <c r="H6" s="1"/>
      <c r="I6" s="25" t="s">
        <v>73</v>
      </c>
      <c r="J6" s="25" t="s">
        <v>74</v>
      </c>
      <c r="K6" s="25" t="s">
        <v>75</v>
      </c>
      <c r="L6" s="27" t="s">
        <v>76</v>
      </c>
      <c r="M6" s="27" t="s">
        <v>77</v>
      </c>
      <c r="O6" s="1"/>
      <c r="P6" s="25" t="s">
        <v>73</v>
      </c>
      <c r="Q6" s="25" t="s">
        <v>74</v>
      </c>
      <c r="R6" s="25" t="s">
        <v>75</v>
      </c>
      <c r="S6" s="27" t="s">
        <v>76</v>
      </c>
      <c r="T6" s="27" t="s">
        <v>77</v>
      </c>
      <c r="U6" s="27"/>
    </row>
    <row r="7" spans="1:21" ht="13.5" thickTop="1">
      <c r="A7" s="47" t="s">
        <v>1</v>
      </c>
      <c r="B7" s="57">
        <f>IF('Datos Mun'!B5="AMM",$B$5*'Datos Mun'!AC5,0)</f>
        <v>0</v>
      </c>
      <c r="C7" s="51">
        <f>IF('Datos Mun'!B5="AMM",$C$5*'Datos Mun'!AF5,0)</f>
        <v>0</v>
      </c>
      <c r="D7" s="51">
        <f>IF('Datos Mun'!B5="AMM",$D$5*'Datos Mun'!AI5,0)</f>
        <v>0</v>
      </c>
      <c r="E7" s="52">
        <f>SUM(B7:D7)</f>
        <v>0</v>
      </c>
      <c r="F7" s="59">
        <f>E7/$E$58</f>
        <v>0</v>
      </c>
      <c r="G7" s="43"/>
      <c r="H7" s="47" t="s">
        <v>1</v>
      </c>
      <c r="I7" s="50">
        <f>IF('Datos Mun'!B5="AMM",0,$B$5*'Datos Mun'!AC5)</f>
        <v>258310.44591601272</v>
      </c>
      <c r="J7" s="51">
        <f>IF('Datos Mun'!B5="AMM",0,$J$5*'Datos Mun'!AF5)</f>
        <v>5032926.3539818535</v>
      </c>
      <c r="K7" s="51">
        <f>IF('Datos Mun'!B5="AMM",0,$K$5*'Datos Mun'!AI5)</f>
        <v>11046701.756775649</v>
      </c>
      <c r="L7" s="52">
        <f>SUM(I7:K7)</f>
        <v>16337938.556673516</v>
      </c>
      <c r="M7" s="59">
        <f>L7/$L$58</f>
        <v>2.1860281821536225E-3</v>
      </c>
      <c r="O7" s="47" t="s">
        <v>1</v>
      </c>
      <c r="P7" s="57">
        <f>IF('Datos Mun'!D5="Zona de Crec",'Datos Mun'!AC5*'Art 14 F I'!$P$5,0)</f>
        <v>0</v>
      </c>
      <c r="Q7" s="51">
        <f>IF('Datos Mun'!D5="Zona de Crec",$Q$5*'Datos Mun'!AF5,0)</f>
        <v>0</v>
      </c>
      <c r="R7" s="51">
        <f>IF('Datos Mun'!D5="Zona de Crec",$R$5*'Datos Mun'!AI5,0)</f>
        <v>0</v>
      </c>
      <c r="S7" s="52">
        <f>SUM(P7:R7)</f>
        <v>0</v>
      </c>
      <c r="T7" s="59">
        <f>S7/$S$58</f>
        <v>0</v>
      </c>
      <c r="U7" s="43"/>
    </row>
    <row r="8" spans="1:21">
      <c r="A8" s="48" t="s">
        <v>2</v>
      </c>
      <c r="B8" s="53">
        <f>IF('Datos Mun'!B6="AMM",$B$5*'Datos Mun'!AC6,0)</f>
        <v>0</v>
      </c>
      <c r="C8" s="53">
        <f>IF('Datos Mun'!B6="AMM",$C$5*'Datos Mun'!AF6,0)</f>
        <v>0</v>
      </c>
      <c r="D8" s="53">
        <f>IF('Datos Mun'!B6="AMM",$D$5*'Datos Mun'!AI6,0)</f>
        <v>0</v>
      </c>
      <c r="E8" s="54">
        <f t="shared" ref="E8:E57" si="0">SUM(B8:D8)</f>
        <v>0</v>
      </c>
      <c r="F8" s="60">
        <f t="shared" ref="F8:F57" si="1">E8/$E$58</f>
        <v>0</v>
      </c>
      <c r="G8" s="43"/>
      <c r="H8" s="48" t="s">
        <v>2</v>
      </c>
      <c r="I8" s="53">
        <f>IF('Datos Mun'!B6="AMM",0,$B$5*'Datos Mun'!AC6)</f>
        <v>4221094.1139619034</v>
      </c>
      <c r="J8" s="53">
        <f>IF('Datos Mun'!B6="AMM",0,$J$5*'Datos Mun'!AF6)</f>
        <v>25572334.337143313</v>
      </c>
      <c r="K8" s="53">
        <f>IF('Datos Mun'!B6="AMM",0,$K$5*'Datos Mun'!AI6)</f>
        <v>61554688.924516216</v>
      </c>
      <c r="L8" s="54">
        <f t="shared" ref="L8:L57" si="2">SUM(I8:K8)</f>
        <v>91348117.375621438</v>
      </c>
      <c r="M8" s="60">
        <f t="shared" ref="M8:M57" si="3">L8/$L$58</f>
        <v>1.2222445217130456E-2</v>
      </c>
      <c r="O8" s="48" t="s">
        <v>2</v>
      </c>
      <c r="P8" s="53">
        <f>IF('Datos Mun'!D6="Zona de Crec",'Datos Mun'!AC6*'Art 14 F I'!$P$5,0)</f>
        <v>0</v>
      </c>
      <c r="Q8" s="53">
        <f>IF('Datos Mun'!D6="Zona de Crec",$Q$5*'Datos Mun'!AF6,0)</f>
        <v>0</v>
      </c>
      <c r="R8" s="53">
        <f>IF('Datos Mun'!D6="Zona de Crec",$R$5*'Datos Mun'!AI6,0)</f>
        <v>0</v>
      </c>
      <c r="S8" s="54">
        <f t="shared" ref="S8:S57" si="4">SUM(P8:R8)</f>
        <v>0</v>
      </c>
      <c r="T8" s="60">
        <f t="shared" ref="T8:T57" si="5">S8/$S$58</f>
        <v>0</v>
      </c>
      <c r="U8" s="43"/>
    </row>
    <row r="9" spans="1:21">
      <c r="A9" s="48" t="s">
        <v>3</v>
      </c>
      <c r="B9" s="53">
        <f>IF('Datos Mun'!B7="AMM",$B$5*'Datos Mun'!AC7,0)</f>
        <v>0</v>
      </c>
      <c r="C9" s="53">
        <f>IF('Datos Mun'!B7="AMM",$C$5*'Datos Mun'!AF7,0)</f>
        <v>0</v>
      </c>
      <c r="D9" s="53">
        <f>IF('Datos Mun'!B7="AMM",$D$5*'Datos Mun'!AI7,0)</f>
        <v>0</v>
      </c>
      <c r="E9" s="54">
        <f t="shared" si="0"/>
        <v>0</v>
      </c>
      <c r="F9" s="60">
        <f t="shared" si="1"/>
        <v>0</v>
      </c>
      <c r="G9" s="43"/>
      <c r="H9" s="48" t="s">
        <v>3</v>
      </c>
      <c r="I9" s="53">
        <f>IF('Datos Mun'!B7="AMM",0,$B$5*'Datos Mun'!AC7)</f>
        <v>851072.2330347338</v>
      </c>
      <c r="J9" s="53">
        <f>IF('Datos Mun'!B7="AMM",0,$J$5*'Datos Mun'!AF7)</f>
        <v>16849978.331856787</v>
      </c>
      <c r="K9" s="53">
        <f>IF('Datos Mun'!B7="AMM",0,$K$5*'Datos Mun'!AI7)</f>
        <v>79976725.204088837</v>
      </c>
      <c r="L9" s="54">
        <f t="shared" si="2"/>
        <v>97677775.768980354</v>
      </c>
      <c r="M9" s="60">
        <f t="shared" si="3"/>
        <v>1.3069358160479475E-2</v>
      </c>
      <c r="O9" s="48" t="s">
        <v>3</v>
      </c>
      <c r="P9" s="53">
        <f>IF('Datos Mun'!D7="Zona de Crec",'Datos Mun'!AC7*'Art 14 F I'!$P$5,0)</f>
        <v>0</v>
      </c>
      <c r="Q9" s="53">
        <f>IF('Datos Mun'!D7="Zona de Crec",$Q$5*'Datos Mun'!AF7,0)</f>
        <v>0</v>
      </c>
      <c r="R9" s="53">
        <f>IF('Datos Mun'!D7="Zona de Crec",$R$5*'Datos Mun'!AI7,0)</f>
        <v>0</v>
      </c>
      <c r="S9" s="54">
        <f t="shared" si="4"/>
        <v>0</v>
      </c>
      <c r="T9" s="60">
        <f t="shared" si="5"/>
        <v>0</v>
      </c>
      <c r="U9" s="43"/>
    </row>
    <row r="10" spans="1:21">
      <c r="A10" s="48" t="s">
        <v>4</v>
      </c>
      <c r="B10" s="53">
        <f>IF('Datos Mun'!B8="AMM",$B$5*'Datos Mun'!AC8,0)</f>
        <v>0</v>
      </c>
      <c r="C10" s="53">
        <f>IF('Datos Mun'!B8="AMM",$C$5*'Datos Mun'!AF8,0)</f>
        <v>0</v>
      </c>
      <c r="D10" s="53">
        <f>IF('Datos Mun'!B8="AMM",$D$5*'Datos Mun'!AI8,0)</f>
        <v>0</v>
      </c>
      <c r="E10" s="54">
        <f t="shared" si="0"/>
        <v>0</v>
      </c>
      <c r="F10" s="60">
        <f t="shared" si="1"/>
        <v>0</v>
      </c>
      <c r="G10" s="43"/>
      <c r="H10" s="48" t="s">
        <v>4</v>
      </c>
      <c r="I10" s="53">
        <f>IF('Datos Mun'!B8="AMM",0,$B$5*'Datos Mun'!AC8)</f>
        <v>102011797.87002546</v>
      </c>
      <c r="J10" s="53">
        <f>IF('Datos Mun'!B8="AMM",0,$J$5*'Datos Mun'!AF8)</f>
        <v>51726623.453928515</v>
      </c>
      <c r="K10" s="53">
        <f>IF('Datos Mun'!B8="AMM",0,$K$5*'Datos Mun'!AI8)</f>
        <v>139542902.4635683</v>
      </c>
      <c r="L10" s="54">
        <f t="shared" si="2"/>
        <v>293281323.78752232</v>
      </c>
      <c r="M10" s="60">
        <f t="shared" si="3"/>
        <v>3.9241256592739984E-2</v>
      </c>
      <c r="O10" s="48" t="s">
        <v>4</v>
      </c>
      <c r="P10" s="53">
        <f>IF('Datos Mun'!D8="Zona de Crec",'Datos Mun'!AC8*'Art 14 F I'!$P$5,0)</f>
        <v>0</v>
      </c>
      <c r="Q10" s="53">
        <f>IF('Datos Mun'!D8="Zona de Crec",$Q$5*'Datos Mun'!AF8,0)</f>
        <v>0</v>
      </c>
      <c r="R10" s="53">
        <f>IF('Datos Mun'!D8="Zona de Crec",$R$5*'Datos Mun'!AI8,0)</f>
        <v>0</v>
      </c>
      <c r="S10" s="54">
        <f t="shared" si="4"/>
        <v>0</v>
      </c>
      <c r="T10" s="60">
        <f t="shared" si="5"/>
        <v>0</v>
      </c>
      <c r="U10" s="43"/>
    </row>
    <row r="11" spans="1:21">
      <c r="A11" s="48" t="s">
        <v>5</v>
      </c>
      <c r="B11" s="53">
        <f>IF('Datos Mun'!B9="AMM",$B$5*'Datos Mun'!AC9,0)</f>
        <v>0</v>
      </c>
      <c r="C11" s="53">
        <f>IF('Datos Mun'!B9="AMM",$C$5*'Datos Mun'!AF9,0)</f>
        <v>0</v>
      </c>
      <c r="D11" s="53">
        <f>IF('Datos Mun'!B9="AMM",$D$5*'Datos Mun'!AI9,0)</f>
        <v>0</v>
      </c>
      <c r="E11" s="54">
        <f t="shared" si="0"/>
        <v>0</v>
      </c>
      <c r="F11" s="60">
        <f t="shared" si="1"/>
        <v>0</v>
      </c>
      <c r="G11" s="43"/>
      <c r="H11" s="48" t="s">
        <v>5</v>
      </c>
      <c r="I11" s="53">
        <f>IF('Datos Mun'!B9="AMM",0,$B$5*'Datos Mun'!AC9)</f>
        <v>3226279.8661304554</v>
      </c>
      <c r="J11" s="53">
        <f>IF('Datos Mun'!B9="AMM",0,$J$5*'Datos Mun'!AF9)</f>
        <v>122462551.21159029</v>
      </c>
      <c r="K11" s="53">
        <f>IF('Datos Mun'!B9="AMM",0,$K$5*'Datos Mun'!AI9)</f>
        <v>136862647.1218228</v>
      </c>
      <c r="L11" s="54">
        <f t="shared" si="2"/>
        <v>262551478.19954354</v>
      </c>
      <c r="M11" s="60">
        <f t="shared" si="3"/>
        <v>3.5129580676251028E-2</v>
      </c>
      <c r="O11" s="48" t="s">
        <v>5</v>
      </c>
      <c r="P11" s="53">
        <f>IF('Datos Mun'!D9="Zona de Crec",'Datos Mun'!AC9*'Art 14 F I'!$P$5,0)</f>
        <v>0</v>
      </c>
      <c r="Q11" s="53">
        <f>IF('Datos Mun'!D9="Zona de Crec",$Q$5*'Datos Mun'!AF9,0)</f>
        <v>0</v>
      </c>
      <c r="R11" s="53">
        <f>IF('Datos Mun'!D9="Zona de Crec",$R$5*'Datos Mun'!AI9,0)</f>
        <v>0</v>
      </c>
      <c r="S11" s="54">
        <f t="shared" si="4"/>
        <v>0</v>
      </c>
      <c r="T11" s="60">
        <f t="shared" si="5"/>
        <v>0</v>
      </c>
      <c r="U11" s="43"/>
    </row>
    <row r="12" spans="1:21">
      <c r="A12" s="48" t="s">
        <v>6</v>
      </c>
      <c r="B12" s="53">
        <f>IF('Datos Mun'!B10="AMM",$B$5*'Datos Mun'!AC10,0)</f>
        <v>1385310939.9435148</v>
      </c>
      <c r="C12" s="53">
        <f>IF('Datos Mun'!B10="AMM",$C$5*'Datos Mun'!AF10,0)</f>
        <v>891303608.18833518</v>
      </c>
      <c r="D12" s="53">
        <f>IF('Datos Mun'!B10="AMM",$D$5*'Datos Mun'!AI10,0)</f>
        <v>367205825.08691543</v>
      </c>
      <c r="E12" s="54">
        <f t="shared" si="0"/>
        <v>2643820373.2187657</v>
      </c>
      <c r="F12" s="60">
        <f t="shared" si="1"/>
        <v>9.0315507352483462E-2</v>
      </c>
      <c r="G12" s="43"/>
      <c r="H12" s="48" t="s">
        <v>6</v>
      </c>
      <c r="I12" s="53">
        <f>IF('Datos Mun'!B10="AMM",0,$B$5*'Datos Mun'!AC10)</f>
        <v>0</v>
      </c>
      <c r="J12" s="53">
        <f>IF('Datos Mun'!B10="AMM",0,$J$5*'Datos Mun'!AF10)</f>
        <v>0</v>
      </c>
      <c r="K12" s="53">
        <f>IF('Datos Mun'!B10="AMM",0,$K$5*'Datos Mun'!AI10)</f>
        <v>0</v>
      </c>
      <c r="L12" s="54">
        <f t="shared" si="2"/>
        <v>0</v>
      </c>
      <c r="M12" s="60">
        <f t="shared" si="3"/>
        <v>0</v>
      </c>
      <c r="O12" s="48" t="s">
        <v>6</v>
      </c>
      <c r="P12" s="53">
        <f>IF('Datos Mun'!D10="Zona de Crec",'Datos Mun'!AC10*'Art 14 F I'!$P$5,0)</f>
        <v>1385310939.9435148</v>
      </c>
      <c r="Q12" s="53">
        <f>IF('Datos Mun'!D10="Zona de Crec",$Q$5*'Datos Mun'!AF10,0)</f>
        <v>891303608.18833518</v>
      </c>
      <c r="R12" s="53">
        <f>IF('Datos Mun'!D10="Zona de Crec",$R$5*'Datos Mun'!AI10,0)</f>
        <v>367205825.08691543</v>
      </c>
      <c r="S12" s="54">
        <f t="shared" si="4"/>
        <v>2643820373.2187657</v>
      </c>
      <c r="T12" s="60">
        <f t="shared" si="5"/>
        <v>0.2585515258771991</v>
      </c>
      <c r="U12" s="43"/>
    </row>
    <row r="13" spans="1:21">
      <c r="A13" s="48" t="s">
        <v>7</v>
      </c>
      <c r="B13" s="53">
        <f>IF('Datos Mun'!B11="AMM",$B$5*'Datos Mun'!AC11,0)</f>
        <v>0</v>
      </c>
      <c r="C13" s="53">
        <f>IF('Datos Mun'!B11="AMM",$C$5*'Datos Mun'!AF11,0)</f>
        <v>0</v>
      </c>
      <c r="D13" s="53">
        <f>IF('Datos Mun'!B11="AMM",$D$5*'Datos Mun'!AI11,0)</f>
        <v>0</v>
      </c>
      <c r="E13" s="54">
        <f t="shared" si="0"/>
        <v>0</v>
      </c>
      <c r="F13" s="60">
        <f t="shared" si="1"/>
        <v>0</v>
      </c>
      <c r="G13" s="43"/>
      <c r="H13" s="48" t="s">
        <v>7</v>
      </c>
      <c r="I13" s="53">
        <f>IF('Datos Mun'!B11="AMM",0,$B$5*'Datos Mun'!AC11)</f>
        <v>4539911.0461130897</v>
      </c>
      <c r="J13" s="53">
        <f>IF('Datos Mun'!B11="AMM",0,$J$5*'Datos Mun'!AF11)</f>
        <v>77418759.860101044</v>
      </c>
      <c r="K13" s="53">
        <f>IF('Datos Mun'!B11="AMM",0,$K$5*'Datos Mun'!AI11)</f>
        <v>300512534.41299039</v>
      </c>
      <c r="L13" s="54">
        <f t="shared" si="2"/>
        <v>382471205.31920451</v>
      </c>
      <c r="M13" s="60">
        <f t="shared" si="3"/>
        <v>5.1174928268323594E-2</v>
      </c>
      <c r="O13" s="48" t="s">
        <v>7</v>
      </c>
      <c r="P13" s="53">
        <f>IF('Datos Mun'!D11="Zona de Crec",'Datos Mun'!AC11*'Art 14 F I'!$P$5,0)</f>
        <v>0</v>
      </c>
      <c r="Q13" s="53">
        <f>IF('Datos Mun'!D11="Zona de Crec",$Q$5*'Datos Mun'!AF11,0)</f>
        <v>0</v>
      </c>
      <c r="R13" s="53">
        <f>IF('Datos Mun'!D11="Zona de Crec",$R$5*'Datos Mun'!AI11,0)</f>
        <v>0</v>
      </c>
      <c r="S13" s="54">
        <f t="shared" si="4"/>
        <v>0</v>
      </c>
      <c r="T13" s="60">
        <f t="shared" si="5"/>
        <v>0</v>
      </c>
      <c r="U13" s="43"/>
    </row>
    <row r="14" spans="1:21">
      <c r="A14" s="48" t="s">
        <v>8</v>
      </c>
      <c r="B14" s="53">
        <f>IF('Datos Mun'!B12="AMM",$B$5*'Datos Mun'!AC12,0)</f>
        <v>0</v>
      </c>
      <c r="C14" s="53">
        <f>IF('Datos Mun'!B12="AMM",$C$5*'Datos Mun'!AF12,0)</f>
        <v>0</v>
      </c>
      <c r="D14" s="53">
        <f>IF('Datos Mun'!B12="AMM",$D$5*'Datos Mun'!AI12,0)</f>
        <v>0</v>
      </c>
      <c r="E14" s="54">
        <f t="shared" si="0"/>
        <v>0</v>
      </c>
      <c r="F14" s="60">
        <f t="shared" si="1"/>
        <v>0</v>
      </c>
      <c r="G14" s="43"/>
      <c r="H14" s="48" t="s">
        <v>8</v>
      </c>
      <c r="I14" s="53">
        <f>IF('Datos Mun'!B12="AMM",0,$B$5*'Datos Mun'!AC12)</f>
        <v>4234789.2478166688</v>
      </c>
      <c r="J14" s="53">
        <f>IF('Datos Mun'!B12="AMM",0,$J$5*'Datos Mun'!AF12)</f>
        <v>14933275.534183063</v>
      </c>
      <c r="K14" s="53">
        <f>IF('Datos Mun'!B12="AMM",0,$K$5*'Datos Mun'!AI12)</f>
        <v>31640741.003507193</v>
      </c>
      <c r="L14" s="54">
        <f t="shared" si="2"/>
        <v>50808805.785506919</v>
      </c>
      <c r="M14" s="60">
        <f t="shared" si="3"/>
        <v>6.7982555426688079E-3</v>
      </c>
      <c r="O14" s="48" t="s">
        <v>8</v>
      </c>
      <c r="P14" s="53">
        <f>IF('Datos Mun'!D12="Zona de Crec",'Datos Mun'!AC12*'Art 14 F I'!$P$5,0)</f>
        <v>0</v>
      </c>
      <c r="Q14" s="53">
        <f>IF('Datos Mun'!D12="Zona de Crec",$Q$5*'Datos Mun'!AF12,0)</f>
        <v>0</v>
      </c>
      <c r="R14" s="53">
        <f>IF('Datos Mun'!D12="Zona de Crec",$R$5*'Datos Mun'!AI12,0)</f>
        <v>0</v>
      </c>
      <c r="S14" s="54">
        <f t="shared" si="4"/>
        <v>0</v>
      </c>
      <c r="T14" s="60">
        <f t="shared" si="5"/>
        <v>0</v>
      </c>
      <c r="U14" s="43"/>
    </row>
    <row r="15" spans="1:21">
      <c r="A15" s="48" t="s">
        <v>9</v>
      </c>
      <c r="B15" s="53">
        <f>IF('Datos Mun'!B13="AMM",$B$5*'Datos Mun'!AC13,0)</f>
        <v>87339066.298385054</v>
      </c>
      <c r="C15" s="53">
        <f>IF('Datos Mun'!B13="AMM",$C$5*'Datos Mun'!AF13,0)</f>
        <v>189631789.62280059</v>
      </c>
      <c r="D15" s="53">
        <f>IF('Datos Mun'!B13="AMM",$D$5*'Datos Mun'!AI13,0)</f>
        <v>195443823.00938523</v>
      </c>
      <c r="E15" s="54">
        <f t="shared" si="0"/>
        <v>472414678.93057084</v>
      </c>
      <c r="F15" s="60">
        <f t="shared" si="1"/>
        <v>1.6138150624972362E-2</v>
      </c>
      <c r="G15" s="43"/>
      <c r="H15" s="48" t="s">
        <v>9</v>
      </c>
      <c r="I15" s="53">
        <f>IF('Datos Mun'!B13="AMM",0,$B$5*'Datos Mun'!AC13)</f>
        <v>0</v>
      </c>
      <c r="J15" s="53">
        <f>IF('Datos Mun'!B13="AMM",0,$J$5*'Datos Mun'!AF13)</f>
        <v>0</v>
      </c>
      <c r="K15" s="53">
        <f>IF('Datos Mun'!B13="AMM",0,$K$5*'Datos Mun'!AI13)</f>
        <v>0</v>
      </c>
      <c r="L15" s="54">
        <f t="shared" si="2"/>
        <v>0</v>
      </c>
      <c r="M15" s="60">
        <f t="shared" si="3"/>
        <v>0</v>
      </c>
      <c r="O15" s="48" t="s">
        <v>9</v>
      </c>
      <c r="P15" s="53">
        <f>IF('Datos Mun'!D13="Zona de Crec",'Datos Mun'!AC13*'Art 14 F I'!$P$5,0)</f>
        <v>87339066.298385054</v>
      </c>
      <c r="Q15" s="53">
        <f>IF('Datos Mun'!D13="Zona de Crec",$Q$5*'Datos Mun'!AF13,0)</f>
        <v>189631789.62280059</v>
      </c>
      <c r="R15" s="53">
        <f>IF('Datos Mun'!D13="Zona de Crec",$R$5*'Datos Mun'!AI13,0)</f>
        <v>195443823.00938523</v>
      </c>
      <c r="S15" s="54">
        <f t="shared" si="4"/>
        <v>472414678.93057084</v>
      </c>
      <c r="T15" s="60">
        <f t="shared" si="5"/>
        <v>4.6199634937974389E-2</v>
      </c>
      <c r="U15" s="43"/>
    </row>
    <row r="16" spans="1:21">
      <c r="A16" s="48" t="s">
        <v>10</v>
      </c>
      <c r="B16" s="53">
        <f>IF('Datos Mun'!B14="AMM",$B$5*'Datos Mun'!AC14,0)</f>
        <v>0</v>
      </c>
      <c r="C16" s="53">
        <f>IF('Datos Mun'!B14="AMM",$C$5*'Datos Mun'!AF14,0)</f>
        <v>0</v>
      </c>
      <c r="D16" s="53">
        <f>IF('Datos Mun'!B14="AMM",$D$5*'Datos Mun'!AI14,0)</f>
        <v>0</v>
      </c>
      <c r="E16" s="54">
        <f t="shared" si="0"/>
        <v>0</v>
      </c>
      <c r="F16" s="60">
        <f t="shared" si="1"/>
        <v>0</v>
      </c>
      <c r="G16" s="43"/>
      <c r="H16" s="48" t="s">
        <v>10</v>
      </c>
      <c r="I16" s="53">
        <f>IF('Datos Mun'!B14="AMM",0,$B$5*'Datos Mun'!AC14)</f>
        <v>18475659.618270781</v>
      </c>
      <c r="J16" s="53">
        <f>IF('Datos Mun'!B14="AMM",0,$J$5*'Datos Mun'!AF14)</f>
        <v>143237300.68430915</v>
      </c>
      <c r="K16" s="53">
        <f>IF('Datos Mun'!B14="AMM",0,$K$5*'Datos Mun'!AI14)</f>
        <v>37235992.594457395</v>
      </c>
      <c r="L16" s="54">
        <f t="shared" si="2"/>
        <v>198948952.89703733</v>
      </c>
      <c r="M16" s="60">
        <f t="shared" si="3"/>
        <v>2.6619516062828589E-2</v>
      </c>
      <c r="O16" s="48" t="s">
        <v>10</v>
      </c>
      <c r="P16" s="53">
        <f>IF('Datos Mun'!D14="Zona de Crec",'Datos Mun'!AC14*'Art 14 F I'!$P$5,0)</f>
        <v>18475659.618270781</v>
      </c>
      <c r="Q16" s="53">
        <f>IF('Datos Mun'!D14="Zona de Crec",$Q$5*'Datos Mun'!AF14,0)</f>
        <v>143237300.68430915</v>
      </c>
      <c r="R16" s="53">
        <f>IF('Datos Mun'!D14="Zona de Crec",$R$5*'Datos Mun'!AI14,0)</f>
        <v>37235992.594457395</v>
      </c>
      <c r="S16" s="54">
        <f t="shared" si="4"/>
        <v>198948952.89703733</v>
      </c>
      <c r="T16" s="60">
        <f t="shared" si="5"/>
        <v>1.9456146062062165E-2</v>
      </c>
      <c r="U16" s="43"/>
    </row>
    <row r="17" spans="1:21">
      <c r="A17" s="48" t="s">
        <v>11</v>
      </c>
      <c r="B17" s="53">
        <f>IF('Datos Mun'!B15="AMM",$B$5*'Datos Mun'!AC15,0)</f>
        <v>0</v>
      </c>
      <c r="C17" s="53">
        <f>IF('Datos Mun'!B15="AMM",$C$5*'Datos Mun'!AF15,0)</f>
        <v>0</v>
      </c>
      <c r="D17" s="53">
        <f>IF('Datos Mun'!B15="AMM",$D$5*'Datos Mun'!AI15,0)</f>
        <v>0</v>
      </c>
      <c r="E17" s="54">
        <f t="shared" si="0"/>
        <v>0</v>
      </c>
      <c r="F17" s="60">
        <f t="shared" si="1"/>
        <v>0</v>
      </c>
      <c r="G17" s="43"/>
      <c r="H17" s="48" t="s">
        <v>11</v>
      </c>
      <c r="I17" s="53">
        <f>IF('Datos Mun'!B15="AMM",0,$B$5*'Datos Mun'!AC15)</f>
        <v>2431438.251182199</v>
      </c>
      <c r="J17" s="53">
        <f>IF('Datos Mun'!B15="AMM",0,$J$5*'Datos Mun'!AF15)</f>
        <v>31514118.824602634</v>
      </c>
      <c r="K17" s="53">
        <f>IF('Datos Mun'!B15="AMM",0,$K$5*'Datos Mun'!AI15)</f>
        <v>77779160.517673656</v>
      </c>
      <c r="L17" s="54">
        <f t="shared" si="2"/>
        <v>111724717.59345849</v>
      </c>
      <c r="M17" s="60">
        <f t="shared" si="3"/>
        <v>1.4948849296699891E-2</v>
      </c>
      <c r="O17" s="48" t="s">
        <v>11</v>
      </c>
      <c r="P17" s="53">
        <f>IF('Datos Mun'!D15="Zona de Crec",'Datos Mun'!AC15*'Art 14 F I'!$P$5,0)</f>
        <v>0</v>
      </c>
      <c r="Q17" s="53">
        <f>IF('Datos Mun'!D15="Zona de Crec",$Q$5*'Datos Mun'!AF15,0)</f>
        <v>0</v>
      </c>
      <c r="R17" s="53">
        <f>IF('Datos Mun'!D15="Zona de Crec",$R$5*'Datos Mun'!AI15,0)</f>
        <v>0</v>
      </c>
      <c r="S17" s="54">
        <f t="shared" si="4"/>
        <v>0</v>
      </c>
      <c r="T17" s="60">
        <f t="shared" si="5"/>
        <v>0</v>
      </c>
      <c r="U17" s="43"/>
    </row>
    <row r="18" spans="1:21">
      <c r="A18" s="48" t="s">
        <v>12</v>
      </c>
      <c r="B18" s="53">
        <f>IF('Datos Mun'!B16="AMM",$B$5*'Datos Mun'!AC16,0)</f>
        <v>0</v>
      </c>
      <c r="C18" s="53">
        <f>IF('Datos Mun'!B16="AMM",$C$5*'Datos Mun'!AF16,0)</f>
        <v>0</v>
      </c>
      <c r="D18" s="53">
        <f>IF('Datos Mun'!B16="AMM",$D$5*'Datos Mun'!AI16,0)</f>
        <v>0</v>
      </c>
      <c r="E18" s="54">
        <f t="shared" si="0"/>
        <v>0</v>
      </c>
      <c r="F18" s="60">
        <f t="shared" si="1"/>
        <v>0</v>
      </c>
      <c r="G18" s="43"/>
      <c r="H18" s="48" t="s">
        <v>12</v>
      </c>
      <c r="I18" s="53">
        <f>IF('Datos Mun'!B16="AMM",0,$B$5*'Datos Mun'!AC16)</f>
        <v>6717032.5692975717</v>
      </c>
      <c r="J18" s="53">
        <f>IF('Datos Mun'!B16="AMM",0,$J$5*'Datos Mun'!AF16)</f>
        <v>105502198.17508473</v>
      </c>
      <c r="K18" s="53">
        <f>IF('Datos Mun'!B16="AMM",0,$K$5*'Datos Mun'!AI16)</f>
        <v>145753713.45866686</v>
      </c>
      <c r="L18" s="54">
        <f t="shared" si="2"/>
        <v>257972944.20304915</v>
      </c>
      <c r="M18" s="60">
        <f t="shared" si="3"/>
        <v>3.4516969463730778E-2</v>
      </c>
      <c r="O18" s="48" t="s">
        <v>12</v>
      </c>
      <c r="P18" s="53">
        <f>IF('Datos Mun'!D16="Zona de Crec",'Datos Mun'!AC16*'Art 14 F I'!$P$5,0)</f>
        <v>0</v>
      </c>
      <c r="Q18" s="53">
        <f>IF('Datos Mun'!D16="Zona de Crec",$Q$5*'Datos Mun'!AF16,0)</f>
        <v>0</v>
      </c>
      <c r="R18" s="53">
        <f>IF('Datos Mun'!D16="Zona de Crec",$R$5*'Datos Mun'!AI16,0)</f>
        <v>0</v>
      </c>
      <c r="S18" s="54">
        <f t="shared" si="4"/>
        <v>0</v>
      </c>
      <c r="T18" s="60">
        <f t="shared" si="5"/>
        <v>0</v>
      </c>
      <c r="U18" s="43"/>
    </row>
    <row r="19" spans="1:21">
      <c r="A19" s="48" t="s">
        <v>13</v>
      </c>
      <c r="B19" s="53">
        <f>IF('Datos Mun'!B17="AMM",$B$5*'Datos Mun'!AC17,0)</f>
        <v>0</v>
      </c>
      <c r="C19" s="53">
        <f>IF('Datos Mun'!B17="AMM",$C$5*'Datos Mun'!AF17,0)</f>
        <v>0</v>
      </c>
      <c r="D19" s="53">
        <f>IF('Datos Mun'!B17="AMM",$D$5*'Datos Mun'!AI17,0)</f>
        <v>0</v>
      </c>
      <c r="E19" s="54">
        <f t="shared" si="0"/>
        <v>0</v>
      </c>
      <c r="F19" s="60">
        <f t="shared" si="1"/>
        <v>0</v>
      </c>
      <c r="G19" s="43"/>
      <c r="H19" s="48" t="s">
        <v>13</v>
      </c>
      <c r="I19" s="53">
        <f>IF('Datos Mun'!B17="AMM",0,$B$5*'Datos Mun'!AC17)</f>
        <v>50951901.8993285</v>
      </c>
      <c r="J19" s="53">
        <f>IF('Datos Mun'!B17="AMM",0,$J$5*'Datos Mun'!AF17)</f>
        <v>95950099.946529627</v>
      </c>
      <c r="K19" s="53">
        <f>IF('Datos Mun'!B17="AMM",0,$K$5*'Datos Mun'!AI17)</f>
        <v>28513508.526420005</v>
      </c>
      <c r="L19" s="54">
        <f t="shared" si="2"/>
        <v>175415510.37227812</v>
      </c>
      <c r="M19" s="60">
        <f t="shared" si="3"/>
        <v>2.3470724163302033E-2</v>
      </c>
      <c r="O19" s="48" t="s">
        <v>13</v>
      </c>
      <c r="P19" s="53">
        <f>IF('Datos Mun'!D17="Zona de Crec",'Datos Mun'!AC17*'Art 14 F I'!$P$5,0)</f>
        <v>50951901.8993285</v>
      </c>
      <c r="Q19" s="53">
        <f>IF('Datos Mun'!D17="Zona de Crec",$Q$5*'Datos Mun'!AF17,0)</f>
        <v>95950099.946529627</v>
      </c>
      <c r="R19" s="53">
        <f>IF('Datos Mun'!D17="Zona de Crec",$R$5*'Datos Mun'!AI17,0)</f>
        <v>28513508.526420005</v>
      </c>
      <c r="S19" s="54">
        <f t="shared" si="4"/>
        <v>175415510.37227812</v>
      </c>
      <c r="T19" s="60">
        <f t="shared" si="5"/>
        <v>1.7154700950451934E-2</v>
      </c>
      <c r="U19" s="43"/>
    </row>
    <row r="20" spans="1:21">
      <c r="A20" s="48" t="s">
        <v>14</v>
      </c>
      <c r="B20" s="53">
        <f>IF('Datos Mun'!B18="AMM",$B$5*'Datos Mun'!AC18,0)</f>
        <v>0</v>
      </c>
      <c r="C20" s="53">
        <f>IF('Datos Mun'!B18="AMM",$C$5*'Datos Mun'!AF18,0)</f>
        <v>0</v>
      </c>
      <c r="D20" s="53">
        <f>IF('Datos Mun'!B18="AMM",$D$5*'Datos Mun'!AI18,0)</f>
        <v>0</v>
      </c>
      <c r="E20" s="54">
        <f t="shared" si="0"/>
        <v>0</v>
      </c>
      <c r="F20" s="60">
        <f t="shared" si="1"/>
        <v>0</v>
      </c>
      <c r="G20" s="43"/>
      <c r="H20" s="48" t="s">
        <v>14</v>
      </c>
      <c r="I20" s="53">
        <f>IF('Datos Mun'!B18="AMM",0,$B$5*'Datos Mun'!AC18)</f>
        <v>1011015.8772244765</v>
      </c>
      <c r="J20" s="53">
        <f>IF('Datos Mun'!B18="AMM",0,$J$5*'Datos Mun'!AF18)</f>
        <v>157961712.92458177</v>
      </c>
      <c r="K20" s="53">
        <f>IF('Datos Mun'!B18="AMM",0,$K$5*'Datos Mun'!AI18)</f>
        <v>704192038.29627955</v>
      </c>
      <c r="L20" s="54">
        <f t="shared" si="2"/>
        <v>863164767.09808576</v>
      </c>
      <c r="M20" s="60">
        <f t="shared" si="3"/>
        <v>0.11549207999363818</v>
      </c>
      <c r="O20" s="48" t="s">
        <v>14</v>
      </c>
      <c r="P20" s="53">
        <f>IF('Datos Mun'!D18="Zona de Crec",'Datos Mun'!AC18*'Art 14 F I'!$P$5,0)</f>
        <v>0</v>
      </c>
      <c r="Q20" s="53">
        <f>IF('Datos Mun'!D18="Zona de Crec",$Q$5*'Datos Mun'!AF18,0)</f>
        <v>0</v>
      </c>
      <c r="R20" s="53">
        <f>IF('Datos Mun'!D18="Zona de Crec",$R$5*'Datos Mun'!AI18,0)</f>
        <v>0</v>
      </c>
      <c r="S20" s="54">
        <f t="shared" si="4"/>
        <v>0</v>
      </c>
      <c r="T20" s="60">
        <f t="shared" si="5"/>
        <v>0</v>
      </c>
      <c r="U20" s="43"/>
    </row>
    <row r="21" spans="1:21">
      <c r="A21" s="48" t="s">
        <v>15</v>
      </c>
      <c r="B21" s="53">
        <f>IF('Datos Mun'!B19="AMM",$B$5*'Datos Mun'!AC19,0)</f>
        <v>0</v>
      </c>
      <c r="C21" s="53">
        <f>IF('Datos Mun'!B19="AMM",$C$5*'Datos Mun'!AF19,0)</f>
        <v>0</v>
      </c>
      <c r="D21" s="53">
        <f>IF('Datos Mun'!B19="AMM",$D$5*'Datos Mun'!AI19,0)</f>
        <v>0</v>
      </c>
      <c r="E21" s="54">
        <f t="shared" si="0"/>
        <v>0</v>
      </c>
      <c r="F21" s="60">
        <f t="shared" si="1"/>
        <v>0</v>
      </c>
      <c r="G21" s="43"/>
      <c r="H21" s="48" t="s">
        <v>15</v>
      </c>
      <c r="I21" s="53">
        <f>IF('Datos Mun'!B19="AMM",0,$B$5*'Datos Mun'!AC19)</f>
        <v>782842.52363716275</v>
      </c>
      <c r="J21" s="53">
        <f>IF('Datos Mun'!B19="AMM",0,$J$5*'Datos Mun'!AF19)</f>
        <v>17301298.692807667</v>
      </c>
      <c r="K21" s="53">
        <f>IF('Datos Mun'!B19="AMM",0,$K$5*'Datos Mun'!AI19)</f>
        <v>92172920.347085565</v>
      </c>
      <c r="L21" s="54">
        <f t="shared" si="2"/>
        <v>110257061.5635304</v>
      </c>
      <c r="M21" s="60">
        <f t="shared" si="3"/>
        <v>1.4752475841627739E-2</v>
      </c>
      <c r="O21" s="48" t="s">
        <v>15</v>
      </c>
      <c r="P21" s="53">
        <f>IF('Datos Mun'!D19="Zona de Crec",'Datos Mun'!AC19*'Art 14 F I'!$P$5,0)</f>
        <v>0</v>
      </c>
      <c r="Q21" s="53">
        <f>IF('Datos Mun'!D19="Zona de Crec",$Q$5*'Datos Mun'!AF19,0)</f>
        <v>0</v>
      </c>
      <c r="R21" s="53">
        <f>IF('Datos Mun'!D19="Zona de Crec",$R$5*'Datos Mun'!AI19,0)</f>
        <v>0</v>
      </c>
      <c r="S21" s="54">
        <f t="shared" si="4"/>
        <v>0</v>
      </c>
      <c r="T21" s="60">
        <f t="shared" si="5"/>
        <v>0</v>
      </c>
      <c r="U21" s="43"/>
    </row>
    <row r="22" spans="1:21">
      <c r="A22" s="48" t="s">
        <v>16</v>
      </c>
      <c r="B22" s="53">
        <f>IF('Datos Mun'!B20="AMM",$B$5*'Datos Mun'!AC20,0)</f>
        <v>0</v>
      </c>
      <c r="C22" s="53">
        <f>IF('Datos Mun'!B20="AMM",$C$5*'Datos Mun'!AF20,0)</f>
        <v>0</v>
      </c>
      <c r="D22" s="53">
        <f>IF('Datos Mun'!B20="AMM",$D$5*'Datos Mun'!AI20,0)</f>
        <v>0</v>
      </c>
      <c r="E22" s="54">
        <f t="shared" si="0"/>
        <v>0</v>
      </c>
      <c r="F22" s="60">
        <f t="shared" si="1"/>
        <v>0</v>
      </c>
      <c r="G22" s="43"/>
      <c r="H22" s="48" t="s">
        <v>16</v>
      </c>
      <c r="I22" s="53">
        <f>IF('Datos Mun'!B20="AMM",0,$B$5*'Datos Mun'!AC20)</f>
        <v>2561100.5084142997</v>
      </c>
      <c r="J22" s="53">
        <f>IF('Datos Mun'!B20="AMM",0,$J$5*'Datos Mun'!AF20)</f>
        <v>17608619.752527107</v>
      </c>
      <c r="K22" s="53">
        <f>IF('Datos Mun'!B20="AMM",0,$K$5*'Datos Mun'!AI20)</f>
        <v>22299469.780065015</v>
      </c>
      <c r="L22" s="54">
        <f t="shared" si="2"/>
        <v>42469190.041006416</v>
      </c>
      <c r="M22" s="60">
        <f t="shared" si="3"/>
        <v>5.682408829047551E-3</v>
      </c>
      <c r="O22" s="48" t="s">
        <v>16</v>
      </c>
      <c r="P22" s="53">
        <f>IF('Datos Mun'!D20="Zona de Crec",'Datos Mun'!AC20*'Art 14 F I'!$P$5,0)</f>
        <v>0</v>
      </c>
      <c r="Q22" s="53">
        <f>IF('Datos Mun'!D20="Zona de Crec",$Q$5*'Datos Mun'!AF20,0)</f>
        <v>0</v>
      </c>
      <c r="R22" s="53">
        <f>IF('Datos Mun'!D20="Zona de Crec",$R$5*'Datos Mun'!AI20,0)</f>
        <v>0</v>
      </c>
      <c r="S22" s="54">
        <f t="shared" si="4"/>
        <v>0</v>
      </c>
      <c r="T22" s="60">
        <f t="shared" si="5"/>
        <v>0</v>
      </c>
      <c r="U22" s="43"/>
    </row>
    <row r="23" spans="1:21">
      <c r="A23" s="48" t="s">
        <v>17</v>
      </c>
      <c r="B23" s="53">
        <f>IF('Datos Mun'!B21="AMM",$B$5*'Datos Mun'!AC21,0)</f>
        <v>0</v>
      </c>
      <c r="C23" s="53">
        <f>IF('Datos Mun'!B21="AMM",$C$5*'Datos Mun'!AF21,0)</f>
        <v>0</v>
      </c>
      <c r="D23" s="53">
        <f>IF('Datos Mun'!B21="AMM",$D$5*'Datos Mun'!AI21,0)</f>
        <v>0</v>
      </c>
      <c r="E23" s="54">
        <f t="shared" si="0"/>
        <v>0</v>
      </c>
      <c r="F23" s="60">
        <f t="shared" si="1"/>
        <v>0</v>
      </c>
      <c r="G23" s="43"/>
      <c r="H23" s="48" t="s">
        <v>17</v>
      </c>
      <c r="I23" s="53">
        <f>IF('Datos Mun'!B21="AMM",0,$B$5*'Datos Mun'!AC21)</f>
        <v>1726670.9099603305</v>
      </c>
      <c r="J23" s="53">
        <f>IF('Datos Mun'!B21="AMM",0,$J$5*'Datos Mun'!AF21)</f>
        <v>205651993.00556061</v>
      </c>
      <c r="K23" s="53">
        <f>IF('Datos Mun'!B21="AMM",0,$K$5*'Datos Mun'!AI21)</f>
        <v>429757578.70262009</v>
      </c>
      <c r="L23" s="54">
        <f t="shared" si="2"/>
        <v>637136242.61814106</v>
      </c>
      <c r="M23" s="60">
        <f t="shared" si="3"/>
        <v>8.5249297358007986E-2</v>
      </c>
      <c r="O23" s="48" t="s">
        <v>17</v>
      </c>
      <c r="P23" s="53">
        <f>IF('Datos Mun'!D21="Zona de Crec",'Datos Mun'!AC21*'Art 14 F I'!$P$5,0)</f>
        <v>0</v>
      </c>
      <c r="Q23" s="53">
        <f>IF('Datos Mun'!D21="Zona de Crec",$Q$5*'Datos Mun'!AF21,0)</f>
        <v>0</v>
      </c>
      <c r="R23" s="53">
        <f>IF('Datos Mun'!D21="Zona de Crec",$R$5*'Datos Mun'!AI21,0)</f>
        <v>0</v>
      </c>
      <c r="S23" s="54">
        <f t="shared" si="4"/>
        <v>0</v>
      </c>
      <c r="T23" s="60">
        <f t="shared" si="5"/>
        <v>0</v>
      </c>
      <c r="U23" s="43"/>
    </row>
    <row r="24" spans="1:21">
      <c r="A24" s="48" t="s">
        <v>18</v>
      </c>
      <c r="B24" s="53">
        <f>IF('Datos Mun'!B22="AMM",$B$5*'Datos Mun'!AC22,0)</f>
        <v>239438136.30995971</v>
      </c>
      <c r="C24" s="53">
        <f>IF('Datos Mun'!B22="AMM",$C$5*'Datos Mun'!AF22,0)</f>
        <v>558524521.80476177</v>
      </c>
      <c r="D24" s="53">
        <f>IF('Datos Mun'!B22="AMM",$D$5*'Datos Mun'!AI22,0)</f>
        <v>250504756.0883114</v>
      </c>
      <c r="E24" s="54">
        <f t="shared" si="0"/>
        <v>1048467414.203033</v>
      </c>
      <c r="F24" s="60">
        <f t="shared" si="1"/>
        <v>3.5816679308287441E-2</v>
      </c>
      <c r="G24" s="43"/>
      <c r="H24" s="48" t="s">
        <v>18</v>
      </c>
      <c r="I24" s="53">
        <f>IF('Datos Mun'!B22="AMM",0,$B$5*'Datos Mun'!AC22)</f>
        <v>0</v>
      </c>
      <c r="J24" s="53">
        <f>IF('Datos Mun'!B22="AMM",0,$J$5*'Datos Mun'!AF22)</f>
        <v>0</v>
      </c>
      <c r="K24" s="53">
        <f>IF('Datos Mun'!B22="AMM",0,$K$5*'Datos Mun'!AI22)</f>
        <v>0</v>
      </c>
      <c r="L24" s="54">
        <f t="shared" si="2"/>
        <v>0</v>
      </c>
      <c r="M24" s="60">
        <f t="shared" si="3"/>
        <v>0</v>
      </c>
      <c r="O24" s="48" t="s">
        <v>18</v>
      </c>
      <c r="P24" s="53">
        <f>IF('Datos Mun'!D22="Zona de Crec",'Datos Mun'!AC22*'Art 14 F I'!$P$5,0)</f>
        <v>239438136.30995971</v>
      </c>
      <c r="Q24" s="53">
        <f>IF('Datos Mun'!D22="Zona de Crec",$Q$5*'Datos Mun'!AF22,0)</f>
        <v>558524521.80476177</v>
      </c>
      <c r="R24" s="53">
        <f>IF('Datos Mun'!D22="Zona de Crec",$R$5*'Datos Mun'!AI22,0)</f>
        <v>250504756.0883114</v>
      </c>
      <c r="S24" s="54">
        <f t="shared" si="4"/>
        <v>1048467414.203033</v>
      </c>
      <c r="T24" s="60">
        <f t="shared" si="5"/>
        <v>0.10253451880495228</v>
      </c>
      <c r="U24" s="43"/>
    </row>
    <row r="25" spans="1:21">
      <c r="A25" s="48" t="s">
        <v>19</v>
      </c>
      <c r="B25" s="53">
        <f>IF('Datos Mun'!B23="AMM",$B$5*'Datos Mun'!AC23,0)</f>
        <v>0</v>
      </c>
      <c r="C25" s="53">
        <f>IF('Datos Mun'!B23="AMM",$C$5*'Datos Mun'!AF23,0)</f>
        <v>0</v>
      </c>
      <c r="D25" s="53">
        <f>IF('Datos Mun'!B23="AMM",$D$5*'Datos Mun'!AI23,0)</f>
        <v>0</v>
      </c>
      <c r="E25" s="54">
        <f t="shared" si="0"/>
        <v>0</v>
      </c>
      <c r="F25" s="60">
        <f t="shared" si="1"/>
        <v>0</v>
      </c>
      <c r="G25" s="43"/>
      <c r="H25" s="48" t="s">
        <v>19</v>
      </c>
      <c r="I25" s="53">
        <f>IF('Datos Mun'!B23="AMM",0,$B$5*'Datos Mun'!AC23)</f>
        <v>2721687.4813179476</v>
      </c>
      <c r="J25" s="53">
        <f>IF('Datos Mun'!B23="AMM",0,$J$5*'Datos Mun'!AF23)</f>
        <v>48090734.703831017</v>
      </c>
      <c r="K25" s="53">
        <f>IF('Datos Mun'!B23="AMM",0,$K$5*'Datos Mun'!AI23)</f>
        <v>46664928.30958584</v>
      </c>
      <c r="L25" s="54">
        <f t="shared" si="2"/>
        <v>97477350.494734794</v>
      </c>
      <c r="M25" s="60">
        <f t="shared" si="3"/>
        <v>1.3042541111535581E-2</v>
      </c>
      <c r="O25" s="48" t="s">
        <v>19</v>
      </c>
      <c r="P25" s="53">
        <f>IF('Datos Mun'!D23="Zona de Crec",'Datos Mun'!AC23*'Art 14 F I'!$P$5,0)</f>
        <v>0</v>
      </c>
      <c r="Q25" s="53">
        <f>IF('Datos Mun'!D23="Zona de Crec",$Q$5*'Datos Mun'!AF23,0)</f>
        <v>0</v>
      </c>
      <c r="R25" s="53">
        <f>IF('Datos Mun'!D23="Zona de Crec",$R$5*'Datos Mun'!AI23,0)</f>
        <v>0</v>
      </c>
      <c r="S25" s="54">
        <f t="shared" si="4"/>
        <v>0</v>
      </c>
      <c r="T25" s="60">
        <f t="shared" si="5"/>
        <v>0</v>
      </c>
      <c r="U25" s="43"/>
    </row>
    <row r="26" spans="1:21">
      <c r="A26" s="48" t="s">
        <v>20</v>
      </c>
      <c r="B26" s="53">
        <f>IF('Datos Mun'!B24="AMM",$B$5*'Datos Mun'!AC24,0)</f>
        <v>557213594.73607934</v>
      </c>
      <c r="C26" s="53">
        <f>IF('Datos Mun'!B24="AMM",$C$5*'Datos Mun'!AF24,0)</f>
        <v>652861197.24820113</v>
      </c>
      <c r="D26" s="53">
        <f>IF('Datos Mun'!B24="AMM",$D$5*'Datos Mun'!AI24,0)</f>
        <v>549496236.11535311</v>
      </c>
      <c r="E26" s="54">
        <f t="shared" si="0"/>
        <v>1759571028.0996337</v>
      </c>
      <c r="F26" s="60">
        <f t="shared" si="1"/>
        <v>6.0108678991709866E-2</v>
      </c>
      <c r="G26" s="43"/>
      <c r="H26" s="48" t="s">
        <v>20</v>
      </c>
      <c r="I26" s="53">
        <f>IF('Datos Mun'!B24="AMM",0,$B$5*'Datos Mun'!AC24)</f>
        <v>0</v>
      </c>
      <c r="J26" s="53">
        <f>IF('Datos Mun'!B24="AMM",0,$J$5*'Datos Mun'!AF24)</f>
        <v>0</v>
      </c>
      <c r="K26" s="53">
        <f>IF('Datos Mun'!B24="AMM",0,$K$5*'Datos Mun'!AI24)</f>
        <v>0</v>
      </c>
      <c r="L26" s="54">
        <f t="shared" si="2"/>
        <v>0</v>
      </c>
      <c r="M26" s="60">
        <f t="shared" si="3"/>
        <v>0</v>
      </c>
      <c r="O26" s="48" t="s">
        <v>20</v>
      </c>
      <c r="P26" s="53">
        <f>IF('Datos Mun'!D24="Zona de Crec",'Datos Mun'!AC24*'Art 14 F I'!$P$5,0)</f>
        <v>557213594.73607934</v>
      </c>
      <c r="Q26" s="53">
        <f>IF('Datos Mun'!D24="Zona de Crec",$Q$5*'Datos Mun'!AF24,0)</f>
        <v>652861197.24820113</v>
      </c>
      <c r="R26" s="53">
        <f>IF('Datos Mun'!D24="Zona de Crec",$R$5*'Datos Mun'!AI24,0)</f>
        <v>549496236.11535311</v>
      </c>
      <c r="S26" s="54">
        <f t="shared" si="4"/>
        <v>1759571028.0996337</v>
      </c>
      <c r="T26" s="60">
        <f t="shared" si="5"/>
        <v>0.17207665801084579</v>
      </c>
      <c r="U26" s="43"/>
    </row>
    <row r="27" spans="1:21">
      <c r="A27" s="48" t="s">
        <v>21</v>
      </c>
      <c r="B27" s="53">
        <f>IF('Datos Mun'!B25="AMM",$B$5*'Datos Mun'!AC25,0)</f>
        <v>0</v>
      </c>
      <c r="C27" s="53">
        <f>IF('Datos Mun'!B25="AMM",$C$5*'Datos Mun'!AF25,0)</f>
        <v>0</v>
      </c>
      <c r="D27" s="53">
        <f>IF('Datos Mun'!B25="AMM",$D$5*'Datos Mun'!AI25,0)</f>
        <v>0</v>
      </c>
      <c r="E27" s="54">
        <f t="shared" si="0"/>
        <v>0</v>
      </c>
      <c r="F27" s="60">
        <f t="shared" si="1"/>
        <v>0</v>
      </c>
      <c r="G27" s="43"/>
      <c r="H27" s="48" t="s">
        <v>21</v>
      </c>
      <c r="I27" s="53">
        <f>IF('Datos Mun'!B25="AMM",0,$B$5*'Datos Mun'!AC25)</f>
        <v>16609021.621893777</v>
      </c>
      <c r="J27" s="53">
        <f>IF('Datos Mun'!B25="AMM",0,$J$5*'Datos Mun'!AF25)</f>
        <v>72243358.998669803</v>
      </c>
      <c r="K27" s="53">
        <f>IF('Datos Mun'!B25="AMM",0,$K$5*'Datos Mun'!AI25)</f>
        <v>146049726.10130838</v>
      </c>
      <c r="L27" s="54">
        <f t="shared" si="2"/>
        <v>234902106.72187197</v>
      </c>
      <c r="M27" s="60">
        <f t="shared" si="3"/>
        <v>3.1430074458905402E-2</v>
      </c>
      <c r="O27" s="48" t="s">
        <v>21</v>
      </c>
      <c r="P27" s="53">
        <f>IF('Datos Mun'!D25="Zona de Crec",'Datos Mun'!AC25*'Art 14 F I'!$P$5,0)</f>
        <v>0</v>
      </c>
      <c r="Q27" s="53">
        <f>IF('Datos Mun'!D25="Zona de Crec",$Q$5*'Datos Mun'!AF25,0)</f>
        <v>0</v>
      </c>
      <c r="R27" s="53">
        <f>IF('Datos Mun'!D25="Zona de Crec",$R$5*'Datos Mun'!AI25,0)</f>
        <v>0</v>
      </c>
      <c r="S27" s="54">
        <f t="shared" si="4"/>
        <v>0</v>
      </c>
      <c r="T27" s="60">
        <f t="shared" si="5"/>
        <v>0</v>
      </c>
      <c r="U27" s="43"/>
    </row>
    <row r="28" spans="1:21">
      <c r="A28" s="48" t="s">
        <v>22</v>
      </c>
      <c r="B28" s="53">
        <f>IF('Datos Mun'!B26="AMM",$B$5*'Datos Mun'!AC26,0)</f>
        <v>0</v>
      </c>
      <c r="C28" s="53">
        <f>IF('Datos Mun'!B26="AMM",$C$5*'Datos Mun'!AF26,0)</f>
        <v>0</v>
      </c>
      <c r="D28" s="53">
        <f>IF('Datos Mun'!B26="AMM",$D$5*'Datos Mun'!AI26,0)</f>
        <v>0</v>
      </c>
      <c r="E28" s="54">
        <f t="shared" si="0"/>
        <v>0</v>
      </c>
      <c r="F28" s="60">
        <f t="shared" si="1"/>
        <v>0</v>
      </c>
      <c r="G28" s="43"/>
      <c r="H28" s="48" t="s">
        <v>22</v>
      </c>
      <c r="I28" s="53">
        <f>IF('Datos Mun'!B26="AMM",0,$B$5*'Datos Mun'!AC26)</f>
        <v>1384603.6574714507</v>
      </c>
      <c r="J28" s="53">
        <f>IF('Datos Mun'!B26="AMM",0,$J$5*'Datos Mun'!AF26)</f>
        <v>10767343.987795029</v>
      </c>
      <c r="K28" s="53">
        <f>IF('Datos Mun'!B26="AMM",0,$K$5*'Datos Mun'!AI26)</f>
        <v>8929990.5471815001</v>
      </c>
      <c r="L28" s="54">
        <f t="shared" si="2"/>
        <v>21081938.192447979</v>
      </c>
      <c r="M28" s="60">
        <f t="shared" si="3"/>
        <v>2.8207788187750021E-3</v>
      </c>
      <c r="O28" s="48" t="s">
        <v>22</v>
      </c>
      <c r="P28" s="53">
        <f>IF('Datos Mun'!D26="Zona de Crec",'Datos Mun'!AC26*'Art 14 F I'!$P$5,0)</f>
        <v>0</v>
      </c>
      <c r="Q28" s="53">
        <f>IF('Datos Mun'!D26="Zona de Crec",$Q$5*'Datos Mun'!AF26,0)</f>
        <v>0</v>
      </c>
      <c r="R28" s="53">
        <f>IF('Datos Mun'!D26="Zona de Crec",$R$5*'Datos Mun'!AI26,0)</f>
        <v>0</v>
      </c>
      <c r="S28" s="54">
        <f t="shared" si="4"/>
        <v>0</v>
      </c>
      <c r="T28" s="60">
        <f t="shared" si="5"/>
        <v>0</v>
      </c>
      <c r="U28" s="43"/>
    </row>
    <row r="29" spans="1:21">
      <c r="A29" s="48" t="s">
        <v>23</v>
      </c>
      <c r="B29" s="53">
        <f>IF('Datos Mun'!B27="AMM",$B$5*'Datos Mun'!AC27,0)</f>
        <v>0</v>
      </c>
      <c r="C29" s="53">
        <f>IF('Datos Mun'!B27="AMM",$C$5*'Datos Mun'!AF27,0)</f>
        <v>0</v>
      </c>
      <c r="D29" s="53">
        <f>IF('Datos Mun'!B27="AMM",$D$5*'Datos Mun'!AI27,0)</f>
        <v>0</v>
      </c>
      <c r="E29" s="54">
        <f t="shared" si="0"/>
        <v>0</v>
      </c>
      <c r="F29" s="60">
        <f t="shared" si="1"/>
        <v>0</v>
      </c>
      <c r="G29" s="43"/>
      <c r="H29" s="48" t="s">
        <v>23</v>
      </c>
      <c r="I29" s="53">
        <f>IF('Datos Mun'!B27="AMM",0,$B$5*'Datos Mun'!AC27)</f>
        <v>284934.06263684743</v>
      </c>
      <c r="J29" s="53">
        <f>IF('Datos Mun'!B27="AMM",0,$J$5*'Datos Mun'!AF27)</f>
        <v>36686873.893153727</v>
      </c>
      <c r="K29" s="53">
        <f>IF('Datos Mun'!B27="AMM",0,$K$5*'Datos Mun'!AI27)</f>
        <v>153445217.8001115</v>
      </c>
      <c r="L29" s="54">
        <f t="shared" si="2"/>
        <v>190417025.75590208</v>
      </c>
      <c r="M29" s="60">
        <f t="shared" si="3"/>
        <v>2.5477937943048923E-2</v>
      </c>
      <c r="O29" s="48" t="s">
        <v>23</v>
      </c>
      <c r="P29" s="53">
        <f>IF('Datos Mun'!D27="Zona de Crec",'Datos Mun'!AC27*'Art 14 F I'!$P$5,0)</f>
        <v>0</v>
      </c>
      <c r="Q29" s="53">
        <f>IF('Datos Mun'!D27="Zona de Crec",$Q$5*'Datos Mun'!AF27,0)</f>
        <v>0</v>
      </c>
      <c r="R29" s="53">
        <f>IF('Datos Mun'!D27="Zona de Crec",$R$5*'Datos Mun'!AI27,0)</f>
        <v>0</v>
      </c>
      <c r="S29" s="54">
        <f t="shared" si="4"/>
        <v>0</v>
      </c>
      <c r="T29" s="60">
        <f t="shared" si="5"/>
        <v>0</v>
      </c>
      <c r="U29" s="43"/>
    </row>
    <row r="30" spans="1:21">
      <c r="A30" s="48" t="s">
        <v>24</v>
      </c>
      <c r="B30" s="53">
        <f>IF('Datos Mun'!B28="AMM",$B$5*'Datos Mun'!AC28,0)</f>
        <v>0</v>
      </c>
      <c r="C30" s="53">
        <f>IF('Datos Mun'!B28="AMM",$C$5*'Datos Mun'!AF28,0)</f>
        <v>0</v>
      </c>
      <c r="D30" s="53">
        <f>IF('Datos Mun'!B28="AMM",$D$5*'Datos Mun'!AI28,0)</f>
        <v>0</v>
      </c>
      <c r="E30" s="54">
        <f t="shared" si="0"/>
        <v>0</v>
      </c>
      <c r="F30" s="60">
        <f t="shared" si="1"/>
        <v>0</v>
      </c>
      <c r="G30" s="43"/>
      <c r="H30" s="48" t="s">
        <v>24</v>
      </c>
      <c r="I30" s="53">
        <f>IF('Datos Mun'!B28="AMM",0,$B$5*'Datos Mun'!AC28)</f>
        <v>9143107.4275851212</v>
      </c>
      <c r="J30" s="53">
        <f>IF('Datos Mun'!B28="AMM",0,$J$5*'Datos Mun'!AF28)</f>
        <v>141863297.02883619</v>
      </c>
      <c r="K30" s="53">
        <f>IF('Datos Mun'!B28="AMM",0,$K$5*'Datos Mun'!AI28)</f>
        <v>52868485.22387623</v>
      </c>
      <c r="L30" s="54">
        <f t="shared" si="2"/>
        <v>203874889.68029755</v>
      </c>
      <c r="M30" s="60">
        <f t="shared" si="3"/>
        <v>2.7278610023450417E-2</v>
      </c>
      <c r="O30" s="48" t="s">
        <v>24</v>
      </c>
      <c r="P30" s="53">
        <f>IF('Datos Mun'!D28="Zona de Crec",'Datos Mun'!AC28*'Art 14 F I'!$P$5,0)</f>
        <v>9143107.4275851212</v>
      </c>
      <c r="Q30" s="53">
        <f>IF('Datos Mun'!D28="Zona de Crec",$Q$5*'Datos Mun'!AF28,0)</f>
        <v>141863297.02883619</v>
      </c>
      <c r="R30" s="53">
        <f>IF('Datos Mun'!D28="Zona de Crec",$R$5*'Datos Mun'!AI28,0)</f>
        <v>52868485.22387623</v>
      </c>
      <c r="S30" s="54">
        <f t="shared" si="4"/>
        <v>203874889.68029755</v>
      </c>
      <c r="T30" s="60">
        <f t="shared" si="5"/>
        <v>1.9937876396160459E-2</v>
      </c>
      <c r="U30" s="43"/>
    </row>
    <row r="31" spans="1:21">
      <c r="A31" s="48" t="s">
        <v>25</v>
      </c>
      <c r="B31" s="53">
        <f>IF('Datos Mun'!B29="AMM",$B$5*'Datos Mun'!AC29,0)</f>
        <v>1336504235.801918</v>
      </c>
      <c r="C31" s="53">
        <f>IF('Datos Mun'!B29="AMM",$C$5*'Datos Mun'!AF29,0)</f>
        <v>870740810.36125767</v>
      </c>
      <c r="D31" s="53">
        <f>IF('Datos Mun'!B29="AMM",$D$5*'Datos Mun'!AI29,0)</f>
        <v>623835988.80549455</v>
      </c>
      <c r="E31" s="54">
        <f t="shared" si="0"/>
        <v>2831081034.9686699</v>
      </c>
      <c r="F31" s="60">
        <f t="shared" si="1"/>
        <v>9.671251595580016E-2</v>
      </c>
      <c r="G31" s="43"/>
      <c r="H31" s="48" t="s">
        <v>25</v>
      </c>
      <c r="I31" s="53">
        <f>IF('Datos Mun'!B29="AMM",0,$B$5*'Datos Mun'!AC29)</f>
        <v>0</v>
      </c>
      <c r="J31" s="53">
        <f>IF('Datos Mun'!B29="AMM",0,$J$5*'Datos Mun'!AF29)</f>
        <v>0</v>
      </c>
      <c r="K31" s="53">
        <f>IF('Datos Mun'!B29="AMM",0,$K$5*'Datos Mun'!AI29)</f>
        <v>0</v>
      </c>
      <c r="L31" s="54">
        <f t="shared" si="2"/>
        <v>0</v>
      </c>
      <c r="M31" s="60">
        <f t="shared" si="3"/>
        <v>0</v>
      </c>
      <c r="O31" s="48" t="s">
        <v>25</v>
      </c>
      <c r="P31" s="53">
        <f>IF('Datos Mun'!D29="Zona de Crec",'Datos Mun'!AC29*'Art 14 F I'!$P$5,0)</f>
        <v>0</v>
      </c>
      <c r="Q31" s="53">
        <f>IF('Datos Mun'!D29="Zona de Crec",$Q$5*'Datos Mun'!AF29,0)</f>
        <v>0</v>
      </c>
      <c r="R31" s="53">
        <f>IF('Datos Mun'!D29="Zona de Crec",$R$5*'Datos Mun'!AI29,0)</f>
        <v>0</v>
      </c>
      <c r="S31" s="54">
        <f t="shared" si="4"/>
        <v>0</v>
      </c>
      <c r="T31" s="60">
        <f t="shared" si="5"/>
        <v>0</v>
      </c>
      <c r="U31" s="43"/>
    </row>
    <row r="32" spans="1:21">
      <c r="A32" s="48" t="s">
        <v>26</v>
      </c>
      <c r="B32" s="53">
        <f>IF('Datos Mun'!B30="AMM",$B$5*'Datos Mun'!AC30,0)</f>
        <v>0</v>
      </c>
      <c r="C32" s="53">
        <f>IF('Datos Mun'!B30="AMM",$C$5*'Datos Mun'!AF30,0)</f>
        <v>0</v>
      </c>
      <c r="D32" s="53">
        <f>IF('Datos Mun'!B30="AMM",$D$5*'Datos Mun'!AI30,0)</f>
        <v>0</v>
      </c>
      <c r="E32" s="54">
        <f t="shared" si="0"/>
        <v>0</v>
      </c>
      <c r="F32" s="60">
        <f t="shared" si="1"/>
        <v>0</v>
      </c>
      <c r="G32" s="43"/>
      <c r="H32" s="48" t="s">
        <v>26</v>
      </c>
      <c r="I32" s="53">
        <f>IF('Datos Mun'!B30="AMM",0,$B$5*'Datos Mun'!AC30)</f>
        <v>1120833.874638401</v>
      </c>
      <c r="J32" s="53">
        <f>IF('Datos Mun'!B30="AMM",0,$J$5*'Datos Mun'!AF30)</f>
        <v>13314787.737110285</v>
      </c>
      <c r="K32" s="53">
        <f>IF('Datos Mun'!B30="AMM",0,$K$5*'Datos Mun'!AI30)</f>
        <v>36549615.814510413</v>
      </c>
      <c r="L32" s="54">
        <f t="shared" si="2"/>
        <v>50985237.4262591</v>
      </c>
      <c r="M32" s="60">
        <f t="shared" si="3"/>
        <v>6.8218622258234786E-3</v>
      </c>
      <c r="O32" s="48" t="s">
        <v>26</v>
      </c>
      <c r="P32" s="53">
        <f>IF('Datos Mun'!D30="Zona de Crec",'Datos Mun'!AC30*'Art 14 F I'!$P$5,0)</f>
        <v>0</v>
      </c>
      <c r="Q32" s="53">
        <f>IF('Datos Mun'!D30="Zona de Crec",$Q$5*'Datos Mun'!AF30,0)</f>
        <v>0</v>
      </c>
      <c r="R32" s="53">
        <f>IF('Datos Mun'!D30="Zona de Crec",$R$5*'Datos Mun'!AI30,0)</f>
        <v>0</v>
      </c>
      <c r="S32" s="54">
        <f t="shared" si="4"/>
        <v>0</v>
      </c>
      <c r="T32" s="60">
        <f t="shared" si="5"/>
        <v>0</v>
      </c>
      <c r="U32" s="43"/>
    </row>
    <row r="33" spans="1:21">
      <c r="A33" s="48" t="s">
        <v>27</v>
      </c>
      <c r="B33" s="53">
        <f>IF('Datos Mun'!B31="AMM",$B$5*'Datos Mun'!AC31,0)</f>
        <v>0</v>
      </c>
      <c r="C33" s="53">
        <f>IF('Datos Mun'!B31="AMM",$C$5*'Datos Mun'!AF31,0)</f>
        <v>0</v>
      </c>
      <c r="D33" s="53">
        <f>IF('Datos Mun'!B31="AMM",$D$5*'Datos Mun'!AI31,0)</f>
        <v>0</v>
      </c>
      <c r="E33" s="54">
        <f t="shared" si="0"/>
        <v>0</v>
      </c>
      <c r="F33" s="60">
        <f t="shared" si="1"/>
        <v>0</v>
      </c>
      <c r="G33" s="43"/>
      <c r="H33" s="48" t="s">
        <v>27</v>
      </c>
      <c r="I33" s="53">
        <f>IF('Datos Mun'!B31="AMM",0,$B$5*'Datos Mun'!AC31)</f>
        <v>1219501.5052265059</v>
      </c>
      <c r="J33" s="53">
        <f>IF('Datos Mun'!B31="AMM",0,$J$5*'Datos Mun'!AF31)</f>
        <v>25365725.847896375</v>
      </c>
      <c r="K33" s="53">
        <f>IF('Datos Mun'!B31="AMM",0,$K$5*'Datos Mun'!AI31)</f>
        <v>91952169.906874508</v>
      </c>
      <c r="L33" s="54">
        <f t="shared" si="2"/>
        <v>118537397.2599974</v>
      </c>
      <c r="M33" s="60">
        <f t="shared" si="3"/>
        <v>1.5860390841269834E-2</v>
      </c>
      <c r="O33" s="48" t="s">
        <v>27</v>
      </c>
      <c r="P33" s="53">
        <f>IF('Datos Mun'!D31="Zona de Crec",'Datos Mun'!AC31*'Art 14 F I'!$P$5,0)</f>
        <v>0</v>
      </c>
      <c r="Q33" s="53">
        <f>IF('Datos Mun'!D31="Zona de Crec",$Q$5*'Datos Mun'!AF31,0)</f>
        <v>0</v>
      </c>
      <c r="R33" s="53">
        <f>IF('Datos Mun'!D31="Zona de Crec",$R$5*'Datos Mun'!AI31,0)</f>
        <v>0</v>
      </c>
      <c r="S33" s="54">
        <f t="shared" si="4"/>
        <v>0</v>
      </c>
      <c r="T33" s="60">
        <f t="shared" si="5"/>
        <v>0</v>
      </c>
      <c r="U33" s="43"/>
    </row>
    <row r="34" spans="1:21">
      <c r="A34" s="48" t="s">
        <v>28</v>
      </c>
      <c r="B34" s="53">
        <f>IF('Datos Mun'!B32="AMM",$B$5*'Datos Mun'!AC32,0)</f>
        <v>0</v>
      </c>
      <c r="C34" s="53">
        <f>IF('Datos Mun'!B32="AMM",$C$5*'Datos Mun'!AF32,0)</f>
        <v>0</v>
      </c>
      <c r="D34" s="53">
        <f>IF('Datos Mun'!B32="AMM",$D$5*'Datos Mun'!AI32,0)</f>
        <v>0</v>
      </c>
      <c r="E34" s="54">
        <f t="shared" si="0"/>
        <v>0</v>
      </c>
      <c r="F34" s="60">
        <f t="shared" si="1"/>
        <v>0</v>
      </c>
      <c r="G34" s="43"/>
      <c r="H34" s="48" t="s">
        <v>28</v>
      </c>
      <c r="I34" s="53">
        <f>IF('Datos Mun'!B32="AMM",0,$B$5*'Datos Mun'!AC32)</f>
        <v>1543059.9038409793</v>
      </c>
      <c r="J34" s="53">
        <f>IF('Datos Mun'!B32="AMM",0,$J$5*'Datos Mun'!AF32)</f>
        <v>11400577.403602356</v>
      </c>
      <c r="K34" s="53">
        <f>IF('Datos Mun'!B32="AMM",0,$K$5*'Datos Mun'!AI32)</f>
        <v>64316919.039417043</v>
      </c>
      <c r="L34" s="54">
        <f t="shared" si="2"/>
        <v>77260556.346860379</v>
      </c>
      <c r="M34" s="60">
        <f t="shared" si="3"/>
        <v>1.0337519201534586E-2</v>
      </c>
      <c r="O34" s="48" t="s">
        <v>28</v>
      </c>
      <c r="P34" s="53">
        <f>IF('Datos Mun'!D32="Zona de Crec",'Datos Mun'!AC32*'Art 14 F I'!$P$5,0)</f>
        <v>0</v>
      </c>
      <c r="Q34" s="53">
        <f>IF('Datos Mun'!D32="Zona de Crec",$Q$5*'Datos Mun'!AF32,0)</f>
        <v>0</v>
      </c>
      <c r="R34" s="53">
        <f>IF('Datos Mun'!D32="Zona de Crec",$R$5*'Datos Mun'!AI32,0)</f>
        <v>0</v>
      </c>
      <c r="S34" s="54">
        <f t="shared" si="4"/>
        <v>0</v>
      </c>
      <c r="T34" s="60">
        <f t="shared" si="5"/>
        <v>0</v>
      </c>
      <c r="U34" s="43"/>
    </row>
    <row r="35" spans="1:21">
      <c r="A35" s="48" t="s">
        <v>29</v>
      </c>
      <c r="B35" s="53">
        <f>IF('Datos Mun'!B33="AMM",$B$5*'Datos Mun'!AC33,0)</f>
        <v>0</v>
      </c>
      <c r="C35" s="53">
        <f>IF('Datos Mun'!B33="AMM",$C$5*'Datos Mun'!AF33,0)</f>
        <v>0</v>
      </c>
      <c r="D35" s="53">
        <f>IF('Datos Mun'!B33="AMM",$D$5*'Datos Mun'!AI33,0)</f>
        <v>0</v>
      </c>
      <c r="E35" s="54">
        <f t="shared" si="0"/>
        <v>0</v>
      </c>
      <c r="F35" s="60">
        <f t="shared" si="1"/>
        <v>0</v>
      </c>
      <c r="G35" s="43"/>
      <c r="H35" s="48" t="s">
        <v>29</v>
      </c>
      <c r="I35" s="53">
        <f>IF('Datos Mun'!B33="AMM",0,$B$5*'Datos Mun'!AC33)</f>
        <v>2034347.1715577266</v>
      </c>
      <c r="J35" s="53">
        <f>IF('Datos Mun'!B33="AMM",0,$J$5*'Datos Mun'!AF33)</f>
        <v>12227058.41206567</v>
      </c>
      <c r="K35" s="53">
        <f>IF('Datos Mun'!B33="AMM",0,$K$5*'Datos Mun'!AI33)</f>
        <v>70889074.044069573</v>
      </c>
      <c r="L35" s="54">
        <f t="shared" si="2"/>
        <v>85150479.627692968</v>
      </c>
      <c r="M35" s="60">
        <f t="shared" si="3"/>
        <v>1.1393196733133878E-2</v>
      </c>
      <c r="O35" s="48" t="s">
        <v>29</v>
      </c>
      <c r="P35" s="53">
        <f>IF('Datos Mun'!D33="Zona de Crec",'Datos Mun'!AC33*'Art 14 F I'!$P$5,0)</f>
        <v>0</v>
      </c>
      <c r="Q35" s="53">
        <f>IF('Datos Mun'!D33="Zona de Crec",$Q$5*'Datos Mun'!AF33,0)</f>
        <v>0</v>
      </c>
      <c r="R35" s="53">
        <f>IF('Datos Mun'!D33="Zona de Crec",$R$5*'Datos Mun'!AI33,0)</f>
        <v>0</v>
      </c>
      <c r="S35" s="54">
        <f t="shared" si="4"/>
        <v>0</v>
      </c>
      <c r="T35" s="60">
        <f t="shared" si="5"/>
        <v>0</v>
      </c>
      <c r="U35" s="43"/>
    </row>
    <row r="36" spans="1:21">
      <c r="A36" s="48" t="s">
        <v>30</v>
      </c>
      <c r="B36" s="53">
        <f>IF('Datos Mun'!B34="AMM",$B$5*'Datos Mun'!AC34,0)</f>
        <v>0</v>
      </c>
      <c r="C36" s="53">
        <f>IF('Datos Mun'!B34="AMM",$C$5*'Datos Mun'!AF34,0)</f>
        <v>0</v>
      </c>
      <c r="D36" s="53">
        <f>IF('Datos Mun'!B34="AMM",$D$5*'Datos Mun'!AI34,0)</f>
        <v>0</v>
      </c>
      <c r="E36" s="54">
        <f t="shared" si="0"/>
        <v>0</v>
      </c>
      <c r="F36" s="60">
        <f t="shared" si="1"/>
        <v>0</v>
      </c>
      <c r="G36" s="43"/>
      <c r="H36" s="48" t="s">
        <v>30</v>
      </c>
      <c r="I36" s="53">
        <f>IF('Datos Mun'!B34="AMM",0,$B$5*'Datos Mun'!AC34)</f>
        <v>222381.32947903645</v>
      </c>
      <c r="J36" s="53">
        <f>IF('Datos Mun'!B34="AMM",0,$J$5*'Datos Mun'!AF34)</f>
        <v>16508752.352689885</v>
      </c>
      <c r="K36" s="53">
        <f>IF('Datos Mun'!B34="AMM",0,$K$5*'Datos Mun'!AI34)</f>
        <v>82413516.449362457</v>
      </c>
      <c r="L36" s="54">
        <f t="shared" si="2"/>
        <v>99144650.131531373</v>
      </c>
      <c r="M36" s="60">
        <f t="shared" si="3"/>
        <v>1.3265627027882294E-2</v>
      </c>
      <c r="O36" s="48" t="s">
        <v>30</v>
      </c>
      <c r="P36" s="53">
        <f>IF('Datos Mun'!D34="Zona de Crec",'Datos Mun'!AC34*'Art 14 F I'!$P$5,0)</f>
        <v>0</v>
      </c>
      <c r="Q36" s="53">
        <f>IF('Datos Mun'!D34="Zona de Crec",$Q$5*'Datos Mun'!AF34,0)</f>
        <v>0</v>
      </c>
      <c r="R36" s="53">
        <f>IF('Datos Mun'!D34="Zona de Crec",$R$5*'Datos Mun'!AI34,0)</f>
        <v>0</v>
      </c>
      <c r="S36" s="54">
        <f t="shared" si="4"/>
        <v>0</v>
      </c>
      <c r="T36" s="60">
        <f t="shared" si="5"/>
        <v>0</v>
      </c>
      <c r="U36" s="43"/>
    </row>
    <row r="37" spans="1:21">
      <c r="A37" s="48" t="s">
        <v>31</v>
      </c>
      <c r="B37" s="53">
        <f>IF('Datos Mun'!B35="AMM",$B$5*'Datos Mun'!AC35,0)</f>
        <v>309049444.85565782</v>
      </c>
      <c r="C37" s="53">
        <f>IF('Datos Mun'!B35="AMM",$C$5*'Datos Mun'!AF35,0)</f>
        <v>641834282.71250534</v>
      </c>
      <c r="D37" s="53">
        <f>IF('Datos Mun'!B35="AMM",$D$5*'Datos Mun'!AI35,0)</f>
        <v>264163889.73542845</v>
      </c>
      <c r="E37" s="54">
        <f t="shared" si="0"/>
        <v>1215047617.3035917</v>
      </c>
      <c r="F37" s="60">
        <f t="shared" si="1"/>
        <v>4.1507223079833531E-2</v>
      </c>
      <c r="G37" s="43"/>
      <c r="H37" s="48" t="s">
        <v>31</v>
      </c>
      <c r="I37" s="53">
        <f>IF('Datos Mun'!B35="AMM",0,$B$5*'Datos Mun'!AC35)</f>
        <v>0</v>
      </c>
      <c r="J37" s="53">
        <f>IF('Datos Mun'!B35="AMM",0,$J$5*'Datos Mun'!AF35)</f>
        <v>0</v>
      </c>
      <c r="K37" s="53">
        <f>IF('Datos Mun'!B35="AMM",0,$K$5*'Datos Mun'!AI35)</f>
        <v>0</v>
      </c>
      <c r="L37" s="54">
        <f t="shared" si="2"/>
        <v>0</v>
      </c>
      <c r="M37" s="60">
        <f t="shared" si="3"/>
        <v>0</v>
      </c>
      <c r="O37" s="48" t="s">
        <v>31</v>
      </c>
      <c r="P37" s="53">
        <f>IF('Datos Mun'!D35="Zona de Crec",'Datos Mun'!AC35*'Art 14 F I'!$P$5,0)</f>
        <v>309049444.85565782</v>
      </c>
      <c r="Q37" s="53">
        <f>IF('Datos Mun'!D35="Zona de Crec",$Q$5*'Datos Mun'!AF35,0)</f>
        <v>641834282.71250534</v>
      </c>
      <c r="R37" s="53">
        <f>IF('Datos Mun'!D35="Zona de Crec",$R$5*'Datos Mun'!AI35,0)</f>
        <v>264163889.73542845</v>
      </c>
      <c r="S37" s="54">
        <f t="shared" si="4"/>
        <v>1215047617.3035917</v>
      </c>
      <c r="T37" s="60">
        <f t="shared" si="5"/>
        <v>0.11882517384674977</v>
      </c>
      <c r="U37" s="43"/>
    </row>
    <row r="38" spans="1:21">
      <c r="A38" s="48" t="s">
        <v>32</v>
      </c>
      <c r="B38" s="53">
        <f>IF('Datos Mun'!B36="AMM",$B$5*'Datos Mun'!AC36,0)</f>
        <v>0</v>
      </c>
      <c r="C38" s="53">
        <f>IF('Datos Mun'!B36="AMM",$C$5*'Datos Mun'!AF36,0)</f>
        <v>0</v>
      </c>
      <c r="D38" s="53">
        <f>IF('Datos Mun'!B36="AMM",$D$5*'Datos Mun'!AI36,0)</f>
        <v>0</v>
      </c>
      <c r="E38" s="54">
        <f t="shared" si="0"/>
        <v>0</v>
      </c>
      <c r="F38" s="60">
        <f t="shared" si="1"/>
        <v>0</v>
      </c>
      <c r="G38" s="43"/>
      <c r="H38" s="48" t="s">
        <v>32</v>
      </c>
      <c r="I38" s="53">
        <f>IF('Datos Mun'!B36="AMM",0,$B$5*'Datos Mun'!AC36)</f>
        <v>5493373.5005074516</v>
      </c>
      <c r="J38" s="53">
        <f>IF('Datos Mun'!B36="AMM",0,$J$5*'Datos Mun'!AF36)</f>
        <v>80794898.641672879</v>
      </c>
      <c r="K38" s="53">
        <f>IF('Datos Mun'!B36="AMM",0,$K$5*'Datos Mun'!AI36)</f>
        <v>77019531.839791521</v>
      </c>
      <c r="L38" s="54">
        <f t="shared" si="2"/>
        <v>163307803.98197186</v>
      </c>
      <c r="M38" s="60">
        <f t="shared" si="3"/>
        <v>2.1850704152904837E-2</v>
      </c>
      <c r="O38" s="48" t="s">
        <v>32</v>
      </c>
      <c r="P38" s="53">
        <f>IF('Datos Mun'!D36="Zona de Crec",'Datos Mun'!AC36*'Art 14 F I'!$P$5,0)</f>
        <v>0</v>
      </c>
      <c r="Q38" s="53">
        <f>IF('Datos Mun'!D36="Zona de Crec",$Q$5*'Datos Mun'!AF36,0)</f>
        <v>0</v>
      </c>
      <c r="R38" s="53">
        <f>IF('Datos Mun'!D36="Zona de Crec",$R$5*'Datos Mun'!AI36,0)</f>
        <v>0</v>
      </c>
      <c r="S38" s="54">
        <f t="shared" si="4"/>
        <v>0</v>
      </c>
      <c r="T38" s="60">
        <f t="shared" si="5"/>
        <v>0</v>
      </c>
      <c r="U38" s="43"/>
    </row>
    <row r="39" spans="1:21">
      <c r="A39" s="48" t="s">
        <v>33</v>
      </c>
      <c r="B39" s="53">
        <f>IF('Datos Mun'!B37="AMM",$B$5*'Datos Mun'!AC37,0)</f>
        <v>0</v>
      </c>
      <c r="C39" s="53">
        <f>IF('Datos Mun'!B37="AMM",$C$5*'Datos Mun'!AF37,0)</f>
        <v>0</v>
      </c>
      <c r="D39" s="53">
        <f>IF('Datos Mun'!B37="AMM",$D$5*'Datos Mun'!AI37,0)</f>
        <v>0</v>
      </c>
      <c r="E39" s="54">
        <f t="shared" si="0"/>
        <v>0</v>
      </c>
      <c r="F39" s="60">
        <f t="shared" si="1"/>
        <v>0</v>
      </c>
      <c r="G39" s="43"/>
      <c r="H39" s="48" t="s">
        <v>33</v>
      </c>
      <c r="I39" s="53">
        <f>IF('Datos Mun'!B37="AMM",0,$B$5*'Datos Mun'!AC37)</f>
        <v>32813838.994782235</v>
      </c>
      <c r="J39" s="53">
        <f>IF('Datos Mun'!B37="AMM",0,$J$5*'Datos Mun'!AF37)</f>
        <v>168790447.48370299</v>
      </c>
      <c r="K39" s="53">
        <f>IF('Datos Mun'!B37="AMM",0,$K$5*'Datos Mun'!AI37)</f>
        <v>418344746.22281241</v>
      </c>
      <c r="L39" s="54">
        <f t="shared" si="2"/>
        <v>619949032.70129764</v>
      </c>
      <c r="M39" s="60">
        <f t="shared" si="3"/>
        <v>8.2949636043915018E-2</v>
      </c>
      <c r="O39" s="48" t="s">
        <v>33</v>
      </c>
      <c r="P39" s="53">
        <f>IF('Datos Mun'!D37="Zona de Crec",'Datos Mun'!AC37*'Art 14 F I'!$P$5,0)</f>
        <v>0</v>
      </c>
      <c r="Q39" s="53">
        <f>IF('Datos Mun'!D37="Zona de Crec",$Q$5*'Datos Mun'!AF37,0)</f>
        <v>0</v>
      </c>
      <c r="R39" s="53">
        <f>IF('Datos Mun'!D37="Zona de Crec",$R$5*'Datos Mun'!AI37,0)</f>
        <v>0</v>
      </c>
      <c r="S39" s="54">
        <f t="shared" si="4"/>
        <v>0</v>
      </c>
      <c r="T39" s="60">
        <f t="shared" si="5"/>
        <v>0</v>
      </c>
      <c r="U39" s="43"/>
    </row>
    <row r="40" spans="1:21">
      <c r="A40" s="48" t="s">
        <v>34</v>
      </c>
      <c r="B40" s="53">
        <f>IF('Datos Mun'!B38="AMM",$B$5*'Datos Mun'!AC38,0)</f>
        <v>0</v>
      </c>
      <c r="C40" s="53">
        <f>IF('Datos Mun'!B38="AMM",$C$5*'Datos Mun'!AF38,0)</f>
        <v>0</v>
      </c>
      <c r="D40" s="53">
        <f>IF('Datos Mun'!B38="AMM",$D$5*'Datos Mun'!AI38,0)</f>
        <v>0</v>
      </c>
      <c r="E40" s="54">
        <f t="shared" si="0"/>
        <v>0</v>
      </c>
      <c r="F40" s="60">
        <f t="shared" si="1"/>
        <v>0</v>
      </c>
      <c r="G40" s="43"/>
      <c r="H40" s="48" t="s">
        <v>34</v>
      </c>
      <c r="I40" s="53">
        <f>IF('Datos Mun'!B38="AMM",0,$B$5*'Datos Mun'!AC38)</f>
        <v>9060408.7488522585</v>
      </c>
      <c r="J40" s="53">
        <f>IF('Datos Mun'!B38="AMM",0,$J$5*'Datos Mun'!AF38)</f>
        <v>12580159.010584146</v>
      </c>
      <c r="K40" s="53">
        <f>IF('Datos Mun'!B38="AMM",0,$K$5*'Datos Mun'!AI38)</f>
        <v>128285145.21398598</v>
      </c>
      <c r="L40" s="54">
        <f t="shared" si="2"/>
        <v>149925712.97342238</v>
      </c>
      <c r="M40" s="60">
        <f t="shared" si="3"/>
        <v>2.0060170544312913E-2</v>
      </c>
      <c r="O40" s="48" t="s">
        <v>34</v>
      </c>
      <c r="P40" s="53">
        <f>IF('Datos Mun'!D38="Zona de Crec",'Datos Mun'!AC38*'Art 14 F I'!$P$5,0)</f>
        <v>0</v>
      </c>
      <c r="Q40" s="53">
        <f>IF('Datos Mun'!D38="Zona de Crec",$Q$5*'Datos Mun'!AF38,0)</f>
        <v>0</v>
      </c>
      <c r="R40" s="53">
        <f>IF('Datos Mun'!D38="Zona de Crec",$R$5*'Datos Mun'!AI38,0)</f>
        <v>0</v>
      </c>
      <c r="S40" s="54">
        <f t="shared" si="4"/>
        <v>0</v>
      </c>
      <c r="T40" s="60">
        <f t="shared" si="5"/>
        <v>0</v>
      </c>
      <c r="U40" s="43"/>
    </row>
    <row r="41" spans="1:21">
      <c r="A41" s="48" t="s">
        <v>35</v>
      </c>
      <c r="B41" s="53">
        <f>IF('Datos Mun'!B39="AMM",$B$5*'Datos Mun'!AC39,0)</f>
        <v>0</v>
      </c>
      <c r="C41" s="53">
        <f>IF('Datos Mun'!B39="AMM",$C$5*'Datos Mun'!AF39,0)</f>
        <v>0</v>
      </c>
      <c r="D41" s="53">
        <f>IF('Datos Mun'!B39="AMM",$D$5*'Datos Mun'!AI39,0)</f>
        <v>0</v>
      </c>
      <c r="E41" s="54">
        <f t="shared" si="0"/>
        <v>0</v>
      </c>
      <c r="F41" s="60">
        <f t="shared" si="1"/>
        <v>0</v>
      </c>
      <c r="G41" s="43"/>
      <c r="H41" s="48" t="s">
        <v>35</v>
      </c>
      <c r="I41" s="53">
        <f>IF('Datos Mun'!B39="AMM",0,$B$5*'Datos Mun'!AC39)</f>
        <v>1460366.7270128713</v>
      </c>
      <c r="J41" s="53">
        <f>IF('Datos Mun'!B39="AMM",0,$J$5*'Datos Mun'!AF39)</f>
        <v>6463448.789986643</v>
      </c>
      <c r="K41" s="53">
        <f>IF('Datos Mun'!B39="AMM",0,$K$5*'Datos Mun'!AI39)</f>
        <v>132734881.52482511</v>
      </c>
      <c r="L41" s="54">
        <f t="shared" si="2"/>
        <v>140658697.04182464</v>
      </c>
      <c r="M41" s="60">
        <f t="shared" si="3"/>
        <v>1.8820237004309206E-2</v>
      </c>
      <c r="O41" s="48" t="s">
        <v>35</v>
      </c>
      <c r="P41" s="53">
        <f>IF('Datos Mun'!D39="Zona de Crec",'Datos Mun'!AC39*'Art 14 F I'!$P$5,0)</f>
        <v>0</v>
      </c>
      <c r="Q41" s="53">
        <f>IF('Datos Mun'!D39="Zona de Crec",$Q$5*'Datos Mun'!AF39,0)</f>
        <v>0</v>
      </c>
      <c r="R41" s="53">
        <f>IF('Datos Mun'!D39="Zona de Crec",$R$5*'Datos Mun'!AI39,0)</f>
        <v>0</v>
      </c>
      <c r="S41" s="54">
        <f t="shared" si="4"/>
        <v>0</v>
      </c>
      <c r="T41" s="60">
        <f t="shared" si="5"/>
        <v>0</v>
      </c>
      <c r="U41" s="43"/>
    </row>
    <row r="42" spans="1:21">
      <c r="A42" s="48" t="s">
        <v>36</v>
      </c>
      <c r="B42" s="53">
        <f>IF('Datos Mun'!B40="AMM",$B$5*'Datos Mun'!AC40,0)</f>
        <v>0</v>
      </c>
      <c r="C42" s="53">
        <f>IF('Datos Mun'!B40="AMM",$C$5*'Datos Mun'!AF40,0)</f>
        <v>0</v>
      </c>
      <c r="D42" s="53">
        <f>IF('Datos Mun'!B40="AMM",$D$5*'Datos Mun'!AI40,0)</f>
        <v>0</v>
      </c>
      <c r="E42" s="54">
        <f t="shared" si="0"/>
        <v>0</v>
      </c>
      <c r="F42" s="60">
        <f t="shared" si="1"/>
        <v>0</v>
      </c>
      <c r="G42" s="43"/>
      <c r="H42" s="48" t="s">
        <v>36</v>
      </c>
      <c r="I42" s="53">
        <f>IF('Datos Mun'!B40="AMM",0,$B$5*'Datos Mun'!AC40)</f>
        <v>68449.489566535776</v>
      </c>
      <c r="J42" s="53">
        <f>IF('Datos Mun'!B40="AMM",0,$J$5*'Datos Mun'!AF40)</f>
        <v>31932944.063352372</v>
      </c>
      <c r="K42" s="53">
        <f>IF('Datos Mun'!B40="AMM",0,$K$5*'Datos Mun'!AI40)</f>
        <v>108805637.29631482</v>
      </c>
      <c r="L42" s="54">
        <f t="shared" si="2"/>
        <v>140807030.84923372</v>
      </c>
      <c r="M42" s="60">
        <f t="shared" si="3"/>
        <v>1.8840084176719455E-2</v>
      </c>
      <c r="O42" s="48" t="s">
        <v>36</v>
      </c>
      <c r="P42" s="53">
        <f>IF('Datos Mun'!D40="Zona de Crec",'Datos Mun'!AC40*'Art 14 F I'!$P$5,0)</f>
        <v>0</v>
      </c>
      <c r="Q42" s="53">
        <f>IF('Datos Mun'!D40="Zona de Crec",$Q$5*'Datos Mun'!AF40,0)</f>
        <v>0</v>
      </c>
      <c r="R42" s="53">
        <f>IF('Datos Mun'!D40="Zona de Crec",$R$5*'Datos Mun'!AI40,0)</f>
        <v>0</v>
      </c>
      <c r="S42" s="54">
        <f t="shared" si="4"/>
        <v>0</v>
      </c>
      <c r="T42" s="60">
        <f t="shared" si="5"/>
        <v>0</v>
      </c>
      <c r="U42" s="43"/>
    </row>
    <row r="43" spans="1:21">
      <c r="A43" s="48" t="s">
        <v>37</v>
      </c>
      <c r="B43" s="53">
        <f>IF('Datos Mun'!B41="AMM",$B$5*'Datos Mun'!AC41,0)</f>
        <v>0</v>
      </c>
      <c r="C43" s="53">
        <f>IF('Datos Mun'!B41="AMM",$C$5*'Datos Mun'!AF41,0)</f>
        <v>0</v>
      </c>
      <c r="D43" s="53">
        <f>IF('Datos Mun'!B41="AMM",$D$5*'Datos Mun'!AI41,0)</f>
        <v>0</v>
      </c>
      <c r="E43" s="54">
        <f t="shared" si="0"/>
        <v>0</v>
      </c>
      <c r="F43" s="60">
        <f t="shared" si="1"/>
        <v>0</v>
      </c>
      <c r="G43" s="43"/>
      <c r="H43" s="48" t="s">
        <v>37</v>
      </c>
      <c r="I43" s="53">
        <f>IF('Datos Mun'!B41="AMM",0,$B$5*'Datos Mun'!AC41)</f>
        <v>1854750.2020463955</v>
      </c>
      <c r="J43" s="53">
        <f>IF('Datos Mun'!B41="AMM",0,$J$5*'Datos Mun'!AF41)</f>
        <v>91253985.361303389</v>
      </c>
      <c r="K43" s="53">
        <f>IF('Datos Mun'!B41="AMM",0,$K$5*'Datos Mun'!AI41)</f>
        <v>86300941.703824982</v>
      </c>
      <c r="L43" s="54">
        <f t="shared" si="2"/>
        <v>179409677.26717478</v>
      </c>
      <c r="M43" s="60">
        <f t="shared" si="3"/>
        <v>2.4005146628301614E-2</v>
      </c>
      <c r="O43" s="48" t="s">
        <v>37</v>
      </c>
      <c r="P43" s="53">
        <f>IF('Datos Mun'!D41="Zona de Crec",'Datos Mun'!AC41*'Art 14 F I'!$P$5,0)</f>
        <v>0</v>
      </c>
      <c r="Q43" s="53">
        <f>IF('Datos Mun'!D41="Zona de Crec",$Q$5*'Datos Mun'!AF41,0)</f>
        <v>0</v>
      </c>
      <c r="R43" s="53">
        <f>IF('Datos Mun'!D41="Zona de Crec",$R$5*'Datos Mun'!AI41,0)</f>
        <v>0</v>
      </c>
      <c r="S43" s="54">
        <f t="shared" si="4"/>
        <v>0</v>
      </c>
      <c r="T43" s="60">
        <f t="shared" si="5"/>
        <v>0</v>
      </c>
      <c r="U43" s="43"/>
    </row>
    <row r="44" spans="1:21">
      <c r="A44" s="48" t="s">
        <v>38</v>
      </c>
      <c r="B44" s="53">
        <f>IF('Datos Mun'!B42="AMM",$B$5*'Datos Mun'!AC42,0)</f>
        <v>0</v>
      </c>
      <c r="C44" s="53">
        <f>IF('Datos Mun'!B42="AMM",$C$5*'Datos Mun'!AF42,0)</f>
        <v>0</v>
      </c>
      <c r="D44" s="53">
        <f>IF('Datos Mun'!B42="AMM",$D$5*'Datos Mun'!AI42,0)</f>
        <v>0</v>
      </c>
      <c r="E44" s="54">
        <f t="shared" si="0"/>
        <v>0</v>
      </c>
      <c r="F44" s="60">
        <f t="shared" si="1"/>
        <v>0</v>
      </c>
      <c r="G44" s="43"/>
      <c r="H44" s="48" t="s">
        <v>38</v>
      </c>
      <c r="I44" s="53">
        <f>IF('Datos Mun'!B42="AMM",0,$B$5*'Datos Mun'!AC42)</f>
        <v>44002913.019800387</v>
      </c>
      <c r="J44" s="53">
        <f>IF('Datos Mun'!B42="AMM",0,$J$5*'Datos Mun'!AF42)</f>
        <v>131135402.89831433</v>
      </c>
      <c r="K44" s="53">
        <f>IF('Datos Mun'!B42="AMM",0,$K$5*'Datos Mun'!AI42)</f>
        <v>263155595.06350005</v>
      </c>
      <c r="L44" s="54">
        <f t="shared" si="2"/>
        <v>438293910.98161477</v>
      </c>
      <c r="M44" s="60">
        <f t="shared" si="3"/>
        <v>5.8644047298169022E-2</v>
      </c>
      <c r="O44" s="48" t="s">
        <v>38</v>
      </c>
      <c r="P44" s="53">
        <f>IF('Datos Mun'!D42="Zona de Crec",'Datos Mun'!AC42*'Art 14 F I'!$P$5,0)</f>
        <v>0</v>
      </c>
      <c r="Q44" s="53">
        <f>IF('Datos Mun'!D42="Zona de Crec",$Q$5*'Datos Mun'!AF42,0)</f>
        <v>0</v>
      </c>
      <c r="R44" s="53">
        <f>IF('Datos Mun'!D42="Zona de Crec",$R$5*'Datos Mun'!AI42,0)</f>
        <v>0</v>
      </c>
      <c r="S44" s="54">
        <f t="shared" si="4"/>
        <v>0</v>
      </c>
      <c r="T44" s="60">
        <f t="shared" si="5"/>
        <v>0</v>
      </c>
      <c r="U44" s="43"/>
    </row>
    <row r="45" spans="1:21">
      <c r="A45" s="48" t="s">
        <v>39</v>
      </c>
      <c r="B45" s="53">
        <f>IF('Datos Mun'!B43="AMM",$B$5*'Datos Mun'!AC43,0)</f>
        <v>6704832192.0273333</v>
      </c>
      <c r="C45" s="53">
        <f>IF('Datos Mun'!B43="AMM",$C$5*'Datos Mun'!AF43,0)</f>
        <v>1549932744.3173609</v>
      </c>
      <c r="D45" s="53">
        <f>IF('Datos Mun'!B43="AMM",$D$5*'Datos Mun'!AI43,0)</f>
        <v>1268584715.3557661</v>
      </c>
      <c r="E45" s="54">
        <f t="shared" si="0"/>
        <v>9523349651.7004604</v>
      </c>
      <c r="F45" s="60">
        <f t="shared" si="1"/>
        <v>0.3253270018648326</v>
      </c>
      <c r="G45" s="43"/>
      <c r="H45" s="48" t="s">
        <v>39</v>
      </c>
      <c r="I45" s="53">
        <f>IF('Datos Mun'!B43="AMM",0,$B$5*'Datos Mun'!AC43)</f>
        <v>0</v>
      </c>
      <c r="J45" s="53">
        <f>IF('Datos Mun'!B43="AMM",0,$J$5*'Datos Mun'!AF43)</f>
        <v>0</v>
      </c>
      <c r="K45" s="53">
        <f>IF('Datos Mun'!B43="AMM",0,$K$5*'Datos Mun'!AI43)</f>
        <v>0</v>
      </c>
      <c r="L45" s="54">
        <f t="shared" si="2"/>
        <v>0</v>
      </c>
      <c r="M45" s="60">
        <f t="shared" si="3"/>
        <v>0</v>
      </c>
      <c r="O45" s="48" t="s">
        <v>39</v>
      </c>
      <c r="P45" s="53">
        <f>IF('Datos Mun'!D43="Zona de Crec",'Datos Mun'!AC43*'Art 14 F I'!$P$5,0)</f>
        <v>0</v>
      </c>
      <c r="Q45" s="53">
        <f>IF('Datos Mun'!D43="Zona de Crec",$Q$5*'Datos Mun'!AF43,0)</f>
        <v>0</v>
      </c>
      <c r="R45" s="53">
        <f>IF('Datos Mun'!D43="Zona de Crec",$R$5*'Datos Mun'!AI43,0)</f>
        <v>0</v>
      </c>
      <c r="S45" s="54">
        <f t="shared" si="4"/>
        <v>0</v>
      </c>
      <c r="T45" s="60">
        <f t="shared" si="5"/>
        <v>0</v>
      </c>
      <c r="U45" s="43"/>
    </row>
    <row r="46" spans="1:21">
      <c r="A46" s="48" t="s">
        <v>40</v>
      </c>
      <c r="B46" s="53">
        <f>IF('Datos Mun'!B44="AMM",$B$5*'Datos Mun'!AC44,0)</f>
        <v>0</v>
      </c>
      <c r="C46" s="53">
        <f>IF('Datos Mun'!B44="AMM",$C$5*'Datos Mun'!AF44,0)</f>
        <v>0</v>
      </c>
      <c r="D46" s="53">
        <f>IF('Datos Mun'!B44="AMM",$D$5*'Datos Mun'!AI44,0)</f>
        <v>0</v>
      </c>
      <c r="E46" s="54">
        <f t="shared" si="0"/>
        <v>0</v>
      </c>
      <c r="F46" s="60">
        <f t="shared" si="1"/>
        <v>0</v>
      </c>
      <c r="G46" s="43"/>
      <c r="H46" s="48" t="s">
        <v>40</v>
      </c>
      <c r="I46" s="53">
        <f>IF('Datos Mun'!B44="AMM",0,$B$5*'Datos Mun'!AC44)</f>
        <v>1809578.8569032319</v>
      </c>
      <c r="J46" s="53">
        <f>IF('Datos Mun'!B44="AMM",0,$J$5*'Datos Mun'!AF44)</f>
        <v>26385545.133106906</v>
      </c>
      <c r="K46" s="53">
        <f>IF('Datos Mun'!B44="AMM",0,$K$5*'Datos Mun'!AI44)</f>
        <v>9604065.2481577918</v>
      </c>
      <c r="L46" s="54">
        <f t="shared" si="2"/>
        <v>37799189.238167927</v>
      </c>
      <c r="M46" s="60">
        <f t="shared" si="3"/>
        <v>5.057559290638983E-3</v>
      </c>
      <c r="O46" s="48" t="s">
        <v>40</v>
      </c>
      <c r="P46" s="53">
        <f>IF('Datos Mun'!D44="Zona de Crec",'Datos Mun'!AC44*'Art 14 F I'!$P$5,0)</f>
        <v>0</v>
      </c>
      <c r="Q46" s="53">
        <f>IF('Datos Mun'!D44="Zona de Crec",$Q$5*'Datos Mun'!AF44,0)</f>
        <v>0</v>
      </c>
      <c r="R46" s="53">
        <f>IF('Datos Mun'!D44="Zona de Crec",$R$5*'Datos Mun'!AI44,0)</f>
        <v>0</v>
      </c>
      <c r="S46" s="54">
        <f t="shared" si="4"/>
        <v>0</v>
      </c>
      <c r="T46" s="60">
        <f t="shared" si="5"/>
        <v>0</v>
      </c>
      <c r="U46" s="43"/>
    </row>
    <row r="47" spans="1:21">
      <c r="A47" s="48" t="s">
        <v>41</v>
      </c>
      <c r="B47" s="53">
        <f>IF('Datos Mun'!B45="AMM",$B$5*'Datos Mun'!AC45,0)</f>
        <v>0</v>
      </c>
      <c r="C47" s="53">
        <f>IF('Datos Mun'!B45="AMM",$C$5*'Datos Mun'!AF45,0)</f>
        <v>0</v>
      </c>
      <c r="D47" s="53">
        <f>IF('Datos Mun'!B45="AMM",$D$5*'Datos Mun'!AI45,0)</f>
        <v>0</v>
      </c>
      <c r="E47" s="54">
        <f t="shared" si="0"/>
        <v>0</v>
      </c>
      <c r="F47" s="60">
        <f t="shared" si="1"/>
        <v>0</v>
      </c>
      <c r="G47" s="43"/>
      <c r="H47" s="48" t="s">
        <v>41</v>
      </c>
      <c r="I47" s="53">
        <f>IF('Datos Mun'!B45="AMM",0,$B$5*'Datos Mun'!AC45)</f>
        <v>36202796.559368871</v>
      </c>
      <c r="J47" s="53">
        <f>IF('Datos Mun'!B45="AMM",0,$J$5*'Datos Mun'!AF45)</f>
        <v>205913618.18037701</v>
      </c>
      <c r="K47" s="53">
        <f>IF('Datos Mun'!B45="AMM",0,$K$5*'Datos Mun'!AI45)</f>
        <v>66945819.538837545</v>
      </c>
      <c r="L47" s="54">
        <f t="shared" si="2"/>
        <v>309062234.27858341</v>
      </c>
      <c r="M47" s="60">
        <f t="shared" si="3"/>
        <v>4.1352754010473398E-2</v>
      </c>
      <c r="O47" s="48" t="s">
        <v>41</v>
      </c>
      <c r="P47" s="53">
        <f>IF('Datos Mun'!D45="Zona de Crec",'Datos Mun'!AC45*'Art 14 F I'!$P$5,0)</f>
        <v>36202796.559368871</v>
      </c>
      <c r="Q47" s="53">
        <f>IF('Datos Mun'!D45="Zona de Crec",$Q$5*'Datos Mun'!AF45,0)</f>
        <v>205913618.18037701</v>
      </c>
      <c r="R47" s="53">
        <f>IF('Datos Mun'!D45="Zona de Crec",$R$5*'Datos Mun'!AI45,0)</f>
        <v>66945819.538837545</v>
      </c>
      <c r="S47" s="54">
        <f t="shared" si="4"/>
        <v>309062234.27858341</v>
      </c>
      <c r="T47" s="60">
        <f t="shared" si="5"/>
        <v>3.0224637450107134E-2</v>
      </c>
      <c r="U47" s="43"/>
    </row>
    <row r="48" spans="1:21">
      <c r="A48" s="48" t="s">
        <v>42</v>
      </c>
      <c r="B48" s="53">
        <f>IF('Datos Mun'!B46="AMM",$B$5*'Datos Mun'!AC46,0)</f>
        <v>0</v>
      </c>
      <c r="C48" s="53">
        <f>IF('Datos Mun'!B46="AMM",$C$5*'Datos Mun'!AF46,0)</f>
        <v>0</v>
      </c>
      <c r="D48" s="53">
        <f>IF('Datos Mun'!B46="AMM",$D$5*'Datos Mun'!AI46,0)</f>
        <v>0</v>
      </c>
      <c r="E48" s="54">
        <f t="shared" si="0"/>
        <v>0</v>
      </c>
      <c r="F48" s="60">
        <f t="shared" si="1"/>
        <v>0</v>
      </c>
      <c r="G48" s="43"/>
      <c r="H48" s="48" t="s">
        <v>42</v>
      </c>
      <c r="I48" s="53">
        <f>IF('Datos Mun'!B46="AMM",0,$B$5*'Datos Mun'!AC46)</f>
        <v>2287475.0613475395</v>
      </c>
      <c r="J48" s="53">
        <f>IF('Datos Mun'!B46="AMM",0,$J$5*'Datos Mun'!AF46)</f>
        <v>36062008.24280034</v>
      </c>
      <c r="K48" s="53">
        <f>IF('Datos Mun'!B46="AMM",0,$K$5*'Datos Mun'!AI46)</f>
        <v>32984444.032532446</v>
      </c>
      <c r="L48" s="54">
        <f t="shared" si="2"/>
        <v>71333927.336680323</v>
      </c>
      <c r="M48" s="60">
        <f t="shared" si="3"/>
        <v>9.5445318857553356E-3</v>
      </c>
      <c r="O48" s="48" t="s">
        <v>42</v>
      </c>
      <c r="P48" s="53">
        <f>IF('Datos Mun'!D46="Zona de Crec",'Datos Mun'!AC46*'Art 14 F I'!$P$5,0)</f>
        <v>0</v>
      </c>
      <c r="Q48" s="53">
        <f>IF('Datos Mun'!D46="Zona de Crec",$Q$5*'Datos Mun'!AF46,0)</f>
        <v>0</v>
      </c>
      <c r="R48" s="53">
        <f>IF('Datos Mun'!D46="Zona de Crec",$R$5*'Datos Mun'!AI46,0)</f>
        <v>0</v>
      </c>
      <c r="S48" s="54">
        <f t="shared" si="4"/>
        <v>0</v>
      </c>
      <c r="T48" s="60">
        <f t="shared" si="5"/>
        <v>0</v>
      </c>
      <c r="U48" s="43"/>
    </row>
    <row r="49" spans="1:21">
      <c r="A49" s="48" t="s">
        <v>43</v>
      </c>
      <c r="B49" s="53">
        <f>IF('Datos Mun'!B47="AMM",$B$5*'Datos Mun'!AC47,0)</f>
        <v>0</v>
      </c>
      <c r="C49" s="53">
        <f>IF('Datos Mun'!B47="AMM",$C$5*'Datos Mun'!AF47,0)</f>
        <v>0</v>
      </c>
      <c r="D49" s="53">
        <f>IF('Datos Mun'!B47="AMM",$D$5*'Datos Mun'!AI47,0)</f>
        <v>0</v>
      </c>
      <c r="E49" s="54">
        <f t="shared" si="0"/>
        <v>0</v>
      </c>
      <c r="F49" s="60">
        <f t="shared" si="1"/>
        <v>0</v>
      </c>
      <c r="G49" s="43"/>
      <c r="H49" s="48" t="s">
        <v>43</v>
      </c>
      <c r="I49" s="53">
        <f>IF('Datos Mun'!B47="AMM",0,$B$5*'Datos Mun'!AC47)</f>
        <v>4020429.1102359421</v>
      </c>
      <c r="J49" s="53">
        <f>IF('Datos Mun'!B47="AMM",0,$J$5*'Datos Mun'!AF47)</f>
        <v>17666122.916327029</v>
      </c>
      <c r="K49" s="53">
        <f>IF('Datos Mun'!B47="AMM",0,$K$5*'Datos Mun'!AI47)</f>
        <v>98272742.581438139</v>
      </c>
      <c r="L49" s="54">
        <f t="shared" si="2"/>
        <v>119959294.60800111</v>
      </c>
      <c r="M49" s="60">
        <f t="shared" si="3"/>
        <v>1.6050641751082197E-2</v>
      </c>
      <c r="O49" s="48" t="s">
        <v>43</v>
      </c>
      <c r="P49" s="53">
        <f>IF('Datos Mun'!D47="Zona de Crec",'Datos Mun'!AC47*'Art 14 F I'!$P$5,0)</f>
        <v>0</v>
      </c>
      <c r="Q49" s="53">
        <f>IF('Datos Mun'!D47="Zona de Crec",$Q$5*'Datos Mun'!AF47,0)</f>
        <v>0</v>
      </c>
      <c r="R49" s="53">
        <f>IF('Datos Mun'!D47="Zona de Crec",$R$5*'Datos Mun'!AI47,0)</f>
        <v>0</v>
      </c>
      <c r="S49" s="54">
        <f t="shared" si="4"/>
        <v>0</v>
      </c>
      <c r="T49" s="60">
        <f t="shared" si="5"/>
        <v>0</v>
      </c>
      <c r="U49" s="43"/>
    </row>
    <row r="50" spans="1:21">
      <c r="A50" s="48" t="s">
        <v>44</v>
      </c>
      <c r="B50" s="53">
        <f>IF('Datos Mun'!B48="AMM",$B$5*'Datos Mun'!AC48,0)</f>
        <v>0</v>
      </c>
      <c r="C50" s="53">
        <f>IF('Datos Mun'!B48="AMM",$C$5*'Datos Mun'!AF48,0)</f>
        <v>0</v>
      </c>
      <c r="D50" s="53">
        <f>IF('Datos Mun'!B48="AMM",$D$5*'Datos Mun'!AI48,0)</f>
        <v>0</v>
      </c>
      <c r="E50" s="54">
        <f t="shared" si="0"/>
        <v>0</v>
      </c>
      <c r="F50" s="60">
        <f t="shared" si="1"/>
        <v>0</v>
      </c>
      <c r="G50" s="43"/>
      <c r="H50" s="48" t="s">
        <v>44</v>
      </c>
      <c r="I50" s="53">
        <f>IF('Datos Mun'!B48="AMM",0,$B$5*'Datos Mun'!AC48)</f>
        <v>49753481.492033571</v>
      </c>
      <c r="J50" s="53">
        <f>IF('Datos Mun'!B48="AMM",0,$J$5*'Datos Mun'!AF48)</f>
        <v>79946406.672722876</v>
      </c>
      <c r="K50" s="53">
        <f>IF('Datos Mun'!B48="AMM",0,$K$5*'Datos Mun'!AI48)</f>
        <v>93996369.426216468</v>
      </c>
      <c r="L50" s="54">
        <f t="shared" si="2"/>
        <v>223696257.5909729</v>
      </c>
      <c r="M50" s="60">
        <f t="shared" si="3"/>
        <v>2.9930723612399669E-2</v>
      </c>
      <c r="O50" s="48" t="s">
        <v>44</v>
      </c>
      <c r="P50" s="53">
        <f>IF('Datos Mun'!D48="Zona de Crec",'Datos Mun'!AC48*'Art 14 F I'!$P$5,0)</f>
        <v>0</v>
      </c>
      <c r="Q50" s="53">
        <f>IF('Datos Mun'!D48="Zona de Crec",$Q$5*'Datos Mun'!AF48,0)</f>
        <v>0</v>
      </c>
      <c r="R50" s="53">
        <f>IF('Datos Mun'!D48="Zona de Crec",$R$5*'Datos Mun'!AI48,0)</f>
        <v>0</v>
      </c>
      <c r="S50" s="54">
        <f t="shared" si="4"/>
        <v>0</v>
      </c>
      <c r="T50" s="60">
        <f t="shared" si="5"/>
        <v>0</v>
      </c>
      <c r="U50" s="43"/>
    </row>
    <row r="51" spans="1:21">
      <c r="A51" s="48" t="s">
        <v>45</v>
      </c>
      <c r="B51" s="53">
        <f>IF('Datos Mun'!B49="AMM",$B$5*'Datos Mun'!AC49,0)</f>
        <v>12704850.234803773</v>
      </c>
      <c r="C51" s="53">
        <f>IF('Datos Mun'!B49="AMM",$C$5*'Datos Mun'!AF49,0)</f>
        <v>152708531.43538517</v>
      </c>
      <c r="D51" s="53">
        <f>IF('Datos Mun'!B49="AMM",$D$5*'Datos Mun'!AI49,0)</f>
        <v>163777754.39920995</v>
      </c>
      <c r="E51" s="54">
        <f t="shared" si="0"/>
        <v>329191136.06939888</v>
      </c>
      <c r="F51" s="60">
        <f t="shared" si="1"/>
        <v>1.1245493366802212E-2</v>
      </c>
      <c r="G51" s="43"/>
      <c r="H51" s="48" t="s">
        <v>45</v>
      </c>
      <c r="I51" s="53">
        <f>IF('Datos Mun'!B49="AMM",0,$B$5*'Datos Mun'!AC49)</f>
        <v>0</v>
      </c>
      <c r="J51" s="53">
        <f>IF('Datos Mun'!B49="AMM",0,$J$5*'Datos Mun'!AF49)</f>
        <v>0</v>
      </c>
      <c r="K51" s="53">
        <f>IF('Datos Mun'!B49="AMM",0,$K$5*'Datos Mun'!AI49)</f>
        <v>0</v>
      </c>
      <c r="L51" s="54">
        <f t="shared" si="2"/>
        <v>0</v>
      </c>
      <c r="M51" s="60">
        <f t="shared" si="3"/>
        <v>0</v>
      </c>
      <c r="O51" s="48" t="s">
        <v>45</v>
      </c>
      <c r="P51" s="53">
        <f>IF('Datos Mun'!D49="Zona de Crec",'Datos Mun'!AC49*'Art 14 F I'!$P$5,0)</f>
        <v>12704850.234803773</v>
      </c>
      <c r="Q51" s="53">
        <f>IF('Datos Mun'!D49="Zona de Crec",$Q$5*'Datos Mun'!AF49,0)</f>
        <v>152708531.43538517</v>
      </c>
      <c r="R51" s="53">
        <f>IF('Datos Mun'!D49="Zona de Crec",$R$5*'Datos Mun'!AI49,0)</f>
        <v>163777754.39920995</v>
      </c>
      <c r="S51" s="54">
        <f t="shared" si="4"/>
        <v>329191136.06939888</v>
      </c>
      <c r="T51" s="60">
        <f t="shared" si="5"/>
        <v>3.2193136643534369E-2</v>
      </c>
      <c r="U51" s="43"/>
    </row>
    <row r="52" spans="1:21">
      <c r="A52" s="48" t="s">
        <v>46</v>
      </c>
      <c r="B52" s="53">
        <f>IF('Datos Mun'!B50="AMM",$B$5*'Datos Mun'!AC50,0)</f>
        <v>1433073209.1674187</v>
      </c>
      <c r="C52" s="53">
        <f>IF('Datos Mun'!B50="AMM",$C$5*'Datos Mun'!AF50,0)</f>
        <v>557739196.94974732</v>
      </c>
      <c r="D52" s="53">
        <f>IF('Datos Mun'!B50="AMM",$D$5*'Datos Mun'!AI50,0)</f>
        <v>320035240.70467687</v>
      </c>
      <c r="E52" s="54">
        <f t="shared" si="0"/>
        <v>2310847646.8218431</v>
      </c>
      <c r="F52" s="60">
        <f t="shared" si="1"/>
        <v>7.8940831136313255E-2</v>
      </c>
      <c r="G52" s="43"/>
      <c r="H52" s="48" t="s">
        <v>46</v>
      </c>
      <c r="I52" s="53">
        <f>IF('Datos Mun'!B50="AMM",0,$B$5*'Datos Mun'!AC50)</f>
        <v>0</v>
      </c>
      <c r="J52" s="53">
        <f>IF('Datos Mun'!B50="AMM",0,$J$5*'Datos Mun'!AF50)</f>
        <v>0</v>
      </c>
      <c r="K52" s="53">
        <f>IF('Datos Mun'!B50="AMM",0,$K$5*'Datos Mun'!AI50)</f>
        <v>0</v>
      </c>
      <c r="L52" s="54">
        <f t="shared" si="2"/>
        <v>0</v>
      </c>
      <c r="M52" s="60">
        <f t="shared" si="3"/>
        <v>0</v>
      </c>
      <c r="O52" s="48" t="s">
        <v>46</v>
      </c>
      <c r="P52" s="53">
        <f>IF('Datos Mun'!D50="Zona de Crec",'Datos Mun'!AC50*'Art 14 F I'!$P$5,0)</f>
        <v>0</v>
      </c>
      <c r="Q52" s="53">
        <f>IF('Datos Mun'!D50="Zona de Crec",$Q$5*'Datos Mun'!AF50,0)</f>
        <v>0</v>
      </c>
      <c r="R52" s="53">
        <f>IF('Datos Mun'!D50="Zona de Crec",$R$5*'Datos Mun'!AI50,0)</f>
        <v>0</v>
      </c>
      <c r="S52" s="54">
        <f t="shared" si="4"/>
        <v>0</v>
      </c>
      <c r="T52" s="60">
        <f t="shared" si="5"/>
        <v>0</v>
      </c>
      <c r="U52" s="43"/>
    </row>
    <row r="53" spans="1:21">
      <c r="A53" s="48" t="s">
        <v>47</v>
      </c>
      <c r="B53" s="53">
        <f>IF('Datos Mun'!B51="AMM",$B$5*'Datos Mun'!AC51,0)</f>
        <v>4956178340.4064932</v>
      </c>
      <c r="C53" s="53">
        <f>IF('Datos Mun'!B51="AMM",$C$5*'Datos Mun'!AF51,0)</f>
        <v>179967202.77229768</v>
      </c>
      <c r="D53" s="53">
        <f>IF('Datos Mun'!B51="AMM",$D$5*'Datos Mun'!AI51,0)</f>
        <v>133531801.60893147</v>
      </c>
      <c r="E53" s="54">
        <f t="shared" si="0"/>
        <v>5269677344.7877226</v>
      </c>
      <c r="F53" s="60">
        <f t="shared" si="1"/>
        <v>0.18001736721582084</v>
      </c>
      <c r="G53" s="43"/>
      <c r="H53" s="48" t="s">
        <v>47</v>
      </c>
      <c r="I53" s="53">
        <f>IF('Datos Mun'!B51="AMM",0,$B$5*'Datos Mun'!AC51)</f>
        <v>0</v>
      </c>
      <c r="J53" s="53">
        <f>IF('Datos Mun'!B51="AMM",0,$J$5*'Datos Mun'!AF51)</f>
        <v>0</v>
      </c>
      <c r="K53" s="53">
        <f>IF('Datos Mun'!B51="AMM",0,$K$5*'Datos Mun'!AI51)</f>
        <v>0</v>
      </c>
      <c r="L53" s="54">
        <f t="shared" si="2"/>
        <v>0</v>
      </c>
      <c r="M53" s="60">
        <f t="shared" si="3"/>
        <v>0</v>
      </c>
      <c r="O53" s="48" t="s">
        <v>47</v>
      </c>
      <c r="P53" s="53">
        <f>IF('Datos Mun'!D51="Zona de Crec",'Datos Mun'!AC51*'Art 14 F I'!$P$5,0)</f>
        <v>0</v>
      </c>
      <c r="Q53" s="53">
        <f>IF('Datos Mun'!D51="Zona de Crec",$Q$5*'Datos Mun'!AF51,0)</f>
        <v>0</v>
      </c>
      <c r="R53" s="53">
        <f>IF('Datos Mun'!D51="Zona de Crec",$R$5*'Datos Mun'!AI51,0)</f>
        <v>0</v>
      </c>
      <c r="S53" s="54">
        <f t="shared" si="4"/>
        <v>0</v>
      </c>
      <c r="T53" s="60">
        <f t="shared" si="5"/>
        <v>0</v>
      </c>
      <c r="U53" s="43"/>
    </row>
    <row r="54" spans="1:21">
      <c r="A54" s="48" t="s">
        <v>48</v>
      </c>
      <c r="B54" s="53">
        <f>IF('Datos Mun'!B52="AMM",$B$5*'Datos Mun'!AC52,0)</f>
        <v>529176425.44588459</v>
      </c>
      <c r="C54" s="53">
        <f>IF('Datos Mun'!B52="AMM",$C$5*'Datos Mun'!AF52,0)</f>
        <v>432510742.92065495</v>
      </c>
      <c r="D54" s="53">
        <f>IF('Datos Mun'!B52="AMM",$D$5*'Datos Mun'!AI52,0)</f>
        <v>339712967.79635602</v>
      </c>
      <c r="E54" s="54">
        <f t="shared" si="0"/>
        <v>1301400136.1628954</v>
      </c>
      <c r="F54" s="60">
        <f t="shared" si="1"/>
        <v>4.4457110156483869E-2</v>
      </c>
      <c r="G54" s="43"/>
      <c r="H54" s="48" t="s">
        <v>48</v>
      </c>
      <c r="I54" s="53">
        <f>IF('Datos Mun'!B52="AMM",0,$B$5*'Datos Mun'!AC52)</f>
        <v>0</v>
      </c>
      <c r="J54" s="53">
        <f>IF('Datos Mun'!B52="AMM",0,$J$5*'Datos Mun'!AF52)</f>
        <v>0</v>
      </c>
      <c r="K54" s="53">
        <f>IF('Datos Mun'!B52="AMM",0,$K$5*'Datos Mun'!AI52)</f>
        <v>0</v>
      </c>
      <c r="L54" s="54">
        <f t="shared" si="2"/>
        <v>0</v>
      </c>
      <c r="M54" s="60">
        <f t="shared" si="3"/>
        <v>0</v>
      </c>
      <c r="O54" s="48" t="s">
        <v>48</v>
      </c>
      <c r="P54" s="53">
        <f>IF('Datos Mun'!D52="Zona de Crec",'Datos Mun'!AC52*'Art 14 F I'!$P$5,0)</f>
        <v>529176425.44588459</v>
      </c>
      <c r="Q54" s="53">
        <f>IF('Datos Mun'!D52="Zona de Crec",$Q$5*'Datos Mun'!AF52,0)</f>
        <v>432510742.92065495</v>
      </c>
      <c r="R54" s="53">
        <f>IF('Datos Mun'!D52="Zona de Crec",$R$5*'Datos Mun'!AI52,0)</f>
        <v>339712967.79635602</v>
      </c>
      <c r="S54" s="54">
        <f t="shared" si="4"/>
        <v>1301400136.1628954</v>
      </c>
      <c r="T54" s="60">
        <f t="shared" si="5"/>
        <v>0.12726998944034121</v>
      </c>
      <c r="U54" s="43"/>
    </row>
    <row r="55" spans="1:21">
      <c r="A55" s="48" t="s">
        <v>49</v>
      </c>
      <c r="B55" s="53">
        <f>IF('Datos Mun'!B53="AMM",$B$5*'Datos Mun'!AC53,0)</f>
        <v>387928995.42613828</v>
      </c>
      <c r="C55" s="53">
        <f>IF('Datos Mun'!B53="AMM",$C$5*'Datos Mun'!AF53,0)</f>
        <v>79173917.782159835</v>
      </c>
      <c r="D55" s="53">
        <f>IF('Datos Mun'!B53="AMM",$D$5*'Datos Mun'!AI53,0)</f>
        <v>101189866.11193697</v>
      </c>
      <c r="E55" s="54">
        <f t="shared" si="0"/>
        <v>568292779.32023501</v>
      </c>
      <c r="F55" s="60">
        <f t="shared" si="1"/>
        <v>1.9413440946660317E-2</v>
      </c>
      <c r="G55" s="43"/>
      <c r="H55" s="48" t="s">
        <v>49</v>
      </c>
      <c r="I55" s="53">
        <f>IF('Datos Mun'!B53="AMM",0,$B$5*'Datos Mun'!AC53)</f>
        <v>0</v>
      </c>
      <c r="J55" s="53">
        <f>IF('Datos Mun'!B53="AMM",0,$J$5*'Datos Mun'!AF53)</f>
        <v>0</v>
      </c>
      <c r="K55" s="53">
        <f>IF('Datos Mun'!B53="AMM",0,$K$5*'Datos Mun'!AI53)</f>
        <v>0</v>
      </c>
      <c r="L55" s="54">
        <f t="shared" si="2"/>
        <v>0</v>
      </c>
      <c r="M55" s="60">
        <f t="shared" si="3"/>
        <v>0</v>
      </c>
      <c r="O55" s="48" t="s">
        <v>49</v>
      </c>
      <c r="P55" s="53">
        <f>IF('Datos Mun'!D53="Zona de Crec",'Datos Mun'!AC53*'Art 14 F I'!$P$5,0)</f>
        <v>387928995.42613828</v>
      </c>
      <c r="Q55" s="53">
        <f>IF('Datos Mun'!D53="Zona de Crec",$Q$5*'Datos Mun'!AF53,0)</f>
        <v>79173917.782159835</v>
      </c>
      <c r="R55" s="53">
        <f>IF('Datos Mun'!D53="Zona de Crec",$R$5*'Datos Mun'!AI53,0)</f>
        <v>101189866.11193697</v>
      </c>
      <c r="S55" s="54">
        <f t="shared" si="4"/>
        <v>568292779.32023501</v>
      </c>
      <c r="T55" s="60">
        <f t="shared" si="5"/>
        <v>5.5576001579621316E-2</v>
      </c>
      <c r="U55" s="43"/>
    </row>
    <row r="56" spans="1:21">
      <c r="A56" s="48" t="s">
        <v>50</v>
      </c>
      <c r="B56" s="53">
        <f>IF('Datos Mun'!B54="AMM",$B$5*'Datos Mun'!AC54,0)</f>
        <v>0</v>
      </c>
      <c r="C56" s="53">
        <f>IF('Datos Mun'!B54="AMM",$C$5*'Datos Mun'!AF54,0)</f>
        <v>0</v>
      </c>
      <c r="D56" s="53">
        <f>IF('Datos Mun'!B54="AMM",$D$5*'Datos Mun'!AI54,0)</f>
        <v>0</v>
      </c>
      <c r="E56" s="54">
        <f t="shared" si="0"/>
        <v>0</v>
      </c>
      <c r="F56" s="60">
        <f t="shared" si="1"/>
        <v>0</v>
      </c>
      <c r="G56" s="43"/>
      <c r="H56" s="48" t="s">
        <v>50</v>
      </c>
      <c r="I56" s="53">
        <f>IF('Datos Mun'!B54="AMM",0,$B$5*'Datos Mun'!AC54)</f>
        <v>4273492.3333122106</v>
      </c>
      <c r="J56" s="53">
        <f>IF('Datos Mun'!B54="AMM",0,$J$5*'Datos Mun'!AF54)</f>
        <v>39995284.792043544</v>
      </c>
      <c r="K56" s="53">
        <f>IF('Datos Mun'!B54="AMM",0,$K$5*'Datos Mun'!AI54)</f>
        <v>20605501.819717411</v>
      </c>
      <c r="L56" s="54">
        <f t="shared" si="2"/>
        <v>64874278.945073172</v>
      </c>
      <c r="M56" s="60">
        <f t="shared" si="3"/>
        <v>8.6802261851387438E-3</v>
      </c>
      <c r="O56" s="48" t="s">
        <v>50</v>
      </c>
      <c r="P56" s="53">
        <f>IF('Datos Mun'!D54="Zona de Crec",'Datos Mun'!AC54*'Art 14 F I'!$P$5,0)</f>
        <v>0</v>
      </c>
      <c r="Q56" s="53">
        <f>IF('Datos Mun'!D54="Zona de Crec",$Q$5*'Datos Mun'!AF54,0)</f>
        <v>0</v>
      </c>
      <c r="R56" s="53">
        <f>IF('Datos Mun'!D54="Zona de Crec",$R$5*'Datos Mun'!AI54,0)</f>
        <v>0</v>
      </c>
      <c r="S56" s="54">
        <f t="shared" si="4"/>
        <v>0</v>
      </c>
      <c r="T56" s="60">
        <f t="shared" si="5"/>
        <v>0</v>
      </c>
      <c r="U56" s="43"/>
    </row>
    <row r="57" spans="1:21">
      <c r="A57" s="48" t="s">
        <v>51</v>
      </c>
      <c r="B57" s="53">
        <f>IF('Datos Mun'!B55="AMM",$B$5*'Datos Mun'!AC55,0)</f>
        <v>0</v>
      </c>
      <c r="C57" s="53">
        <f>IF('Datos Mun'!B55="AMM",$C$5*'Datos Mun'!AF55,0)</f>
        <v>0</v>
      </c>
      <c r="D57" s="53">
        <f>IF('Datos Mun'!B55="AMM",$D$5*'Datos Mun'!AI55,0)</f>
        <v>0</v>
      </c>
      <c r="E57" s="54">
        <f t="shared" si="0"/>
        <v>0</v>
      </c>
      <c r="F57" s="60">
        <f t="shared" si="1"/>
        <v>0</v>
      </c>
      <c r="G57" s="43"/>
      <c r="H57" s="48" t="s">
        <v>51</v>
      </c>
      <c r="I57" s="53">
        <f>IF('Datos Mun'!B55="AMM",0,$B$5*'Datos Mun'!AC55)</f>
        <v>1345499.2346850995</v>
      </c>
      <c r="J57" s="53">
        <f>IF('Datos Mun'!B55="AMM",0,$J$5*'Datos Mun'!AF55)</f>
        <v>23699219.743798546</v>
      </c>
      <c r="K57" s="53">
        <f>IF('Datos Mun'!B55="AMM",0,$K$5*'Datos Mun'!AI55)</f>
        <v>19281086.823445484</v>
      </c>
      <c r="L57" s="54">
        <f t="shared" si="2"/>
        <v>44325805.801929131</v>
      </c>
      <c r="M57" s="60">
        <f t="shared" si="3"/>
        <v>5.9308253818904332E-3</v>
      </c>
      <c r="O57" s="48" t="s">
        <v>51</v>
      </c>
      <c r="P57" s="53">
        <f>IF('Datos Mun'!D55="Zona de Crec",'Datos Mun'!AC55*'Art 14 F I'!$P$5,0)</f>
        <v>0</v>
      </c>
      <c r="Q57" s="53">
        <f>IF('Datos Mun'!D55="Zona de Crec",$Q$5*'Datos Mun'!AF55,0)</f>
        <v>0</v>
      </c>
      <c r="R57" s="53">
        <f>IF('Datos Mun'!D55="Zona de Crec",$R$5*'Datos Mun'!AI55,0)</f>
        <v>0</v>
      </c>
      <c r="S57" s="54">
        <f t="shared" si="4"/>
        <v>0</v>
      </c>
      <c r="T57" s="60">
        <f t="shared" si="5"/>
        <v>0</v>
      </c>
      <c r="U57" s="43"/>
    </row>
    <row r="58" spans="1:21" ht="13.5" thickBot="1">
      <c r="A58" s="49" t="s">
        <v>52</v>
      </c>
      <c r="B58" s="55">
        <f>SUM(B7:B57)</f>
        <v>17938749430.653587</v>
      </c>
      <c r="C58" s="55">
        <f>SUM(C7:C57)</f>
        <v>6756928546.1154671</v>
      </c>
      <c r="D58" s="55">
        <f>SUM(D7:D57)</f>
        <v>4577482864.8177652</v>
      </c>
      <c r="E58" s="56">
        <f>SUM(E7:E57)</f>
        <v>29273160841.586823</v>
      </c>
      <c r="F58" s="63">
        <f>SUM(F7:F57)</f>
        <v>0.99999999999999989</v>
      </c>
      <c r="G58" s="44"/>
      <c r="H58" s="49" t="s">
        <v>52</v>
      </c>
      <c r="I58" s="55">
        <f>SUM(I7:I57)</f>
        <v>434731248.346416</v>
      </c>
      <c r="J58" s="55">
        <f>SUM(J7:J57)</f>
        <v>2429811793.3845315</v>
      </c>
      <c r="K58" s="55">
        <f>SUM(K7:K57)</f>
        <v>4609257474.6822348</v>
      </c>
      <c r="L58" s="56">
        <f>SUM(L7:L57)</f>
        <v>7473800516.4131832</v>
      </c>
      <c r="M58" s="58">
        <f>SUM(M7:M57)</f>
        <v>0.99999999999999989</v>
      </c>
      <c r="O58" s="49" t="s">
        <v>52</v>
      </c>
      <c r="P58" s="55">
        <f>SUM(P7:P57)</f>
        <v>3622934918.7549772</v>
      </c>
      <c r="Q58" s="55">
        <f>SUM(Q7:Q57)</f>
        <v>4185512907.5548563</v>
      </c>
      <c r="R58" s="55">
        <f>SUM(R7:R57)</f>
        <v>2417058924.2264881</v>
      </c>
      <c r="S58" s="56">
        <f>SUM(S7:S57)</f>
        <v>10225506750.536322</v>
      </c>
      <c r="T58" s="63">
        <f>SUM(T7:T57)</f>
        <v>0.99999999999999989</v>
      </c>
      <c r="U58" s="44"/>
    </row>
    <row r="59" spans="1:21" ht="13.5" thickTop="1"/>
    <row r="61" spans="1:21">
      <c r="E61" s="62"/>
      <c r="F61" s="62"/>
      <c r="S61" s="62"/>
      <c r="T61" s="62"/>
    </row>
    <row r="62" spans="1:21">
      <c r="E62" s="62"/>
      <c r="F62" s="62"/>
      <c r="L62" s="22">
        <f>L58+E58</f>
        <v>36746961358.000008</v>
      </c>
      <c r="S62" s="62"/>
      <c r="T62" s="62"/>
    </row>
    <row r="63" spans="1:21">
      <c r="E63" s="62"/>
      <c r="F63" s="62"/>
      <c r="S63" s="62"/>
      <c r="T63" s="62"/>
    </row>
    <row r="64" spans="1:21">
      <c r="E64" s="62"/>
      <c r="F64" s="62"/>
      <c r="S64" s="62"/>
      <c r="T64" s="62"/>
    </row>
    <row r="65" spans="5:20">
      <c r="E65" s="62"/>
      <c r="F65" s="62"/>
      <c r="S65" s="62"/>
      <c r="T65" s="62"/>
    </row>
    <row r="66" spans="5:20">
      <c r="E66" s="62"/>
      <c r="F66" s="62"/>
      <c r="S66" s="62"/>
      <c r="T66" s="62"/>
    </row>
    <row r="67" spans="5:20">
      <c r="E67" s="62"/>
      <c r="F67" s="62"/>
      <c r="S67" s="62"/>
      <c r="T67" s="62"/>
    </row>
    <row r="68" spans="5:20">
      <c r="E68" s="62"/>
      <c r="F68" s="62"/>
      <c r="S68" s="62"/>
      <c r="T68" s="62"/>
    </row>
    <row r="69" spans="5:20">
      <c r="E69" s="62"/>
      <c r="F69" s="62"/>
      <c r="S69" s="62"/>
      <c r="T69" s="62"/>
    </row>
    <row r="70" spans="5:20">
      <c r="E70" s="62"/>
      <c r="F70" s="62"/>
      <c r="S70" s="62"/>
      <c r="T70" s="62"/>
    </row>
    <row r="71" spans="5:20">
      <c r="E71" s="62"/>
      <c r="F71" s="62"/>
      <c r="S71" s="62"/>
      <c r="T71" s="62"/>
    </row>
    <row r="72" spans="5:20">
      <c r="E72" s="62"/>
      <c r="F72" s="62"/>
      <c r="S72" s="62"/>
      <c r="T72" s="62"/>
    </row>
    <row r="73" spans="5:20">
      <c r="E73" s="62"/>
      <c r="F73" s="62"/>
      <c r="S73" s="62"/>
      <c r="T73" s="62"/>
    </row>
    <row r="74" spans="5:20">
      <c r="E74" s="62"/>
      <c r="F74" s="62"/>
      <c r="S74" s="62"/>
      <c r="T74" s="62"/>
    </row>
    <row r="75" spans="5:20">
      <c r="E75" s="62"/>
      <c r="F75" s="62"/>
      <c r="S75" s="62"/>
      <c r="T75" s="62"/>
    </row>
    <row r="76" spans="5:20">
      <c r="E76" s="62"/>
      <c r="F76" s="62"/>
      <c r="S76" s="62"/>
      <c r="T76" s="62"/>
    </row>
    <row r="77" spans="5:20">
      <c r="E77" s="62"/>
      <c r="F77" s="62"/>
      <c r="S77" s="62"/>
      <c r="T77" s="62"/>
    </row>
    <row r="78" spans="5:20">
      <c r="E78" s="62"/>
      <c r="F78" s="62"/>
      <c r="S78" s="62"/>
      <c r="T78" s="62"/>
    </row>
    <row r="79" spans="5:20">
      <c r="E79" s="62"/>
      <c r="F79" s="62"/>
      <c r="S79" s="62"/>
      <c r="T79" s="62"/>
    </row>
    <row r="80" spans="5:20">
      <c r="E80" s="62"/>
      <c r="F80" s="62"/>
      <c r="S80" s="62"/>
      <c r="T80" s="62"/>
    </row>
    <row r="81" spans="5:20">
      <c r="E81" s="62"/>
      <c r="F81" s="62"/>
      <c r="S81" s="62"/>
      <c r="T81" s="62"/>
    </row>
    <row r="82" spans="5:20">
      <c r="E82" s="62"/>
      <c r="F82" s="62"/>
      <c r="S82" s="62"/>
      <c r="T82" s="62"/>
    </row>
    <row r="83" spans="5:20">
      <c r="E83" s="62"/>
      <c r="F83" s="62"/>
      <c r="S83" s="62"/>
      <c r="T83" s="62"/>
    </row>
    <row r="84" spans="5:20">
      <c r="E84" s="62"/>
      <c r="F84" s="62"/>
      <c r="S84" s="62"/>
      <c r="T84" s="62"/>
    </row>
    <row r="85" spans="5:20">
      <c r="E85" s="62"/>
      <c r="F85" s="62"/>
      <c r="S85" s="62"/>
      <c r="T85" s="62"/>
    </row>
    <row r="86" spans="5:20">
      <c r="E86" s="62"/>
      <c r="F86" s="62"/>
      <c r="S86" s="62"/>
      <c r="T86" s="62"/>
    </row>
    <row r="87" spans="5:20">
      <c r="E87" s="62"/>
      <c r="F87" s="62"/>
      <c r="S87" s="62"/>
      <c r="T87" s="62"/>
    </row>
    <row r="88" spans="5:20">
      <c r="E88" s="62"/>
      <c r="F88" s="62"/>
      <c r="S88" s="62"/>
      <c r="T88" s="62"/>
    </row>
    <row r="89" spans="5:20">
      <c r="E89" s="62"/>
      <c r="F89" s="62"/>
      <c r="S89" s="62"/>
      <c r="T89" s="62"/>
    </row>
    <row r="90" spans="5:20">
      <c r="E90" s="62"/>
      <c r="F90" s="62"/>
      <c r="S90" s="62"/>
      <c r="T90" s="62"/>
    </row>
    <row r="91" spans="5:20">
      <c r="E91" s="62"/>
      <c r="F91" s="62"/>
      <c r="S91" s="62"/>
      <c r="T91" s="62"/>
    </row>
    <row r="92" spans="5:20">
      <c r="E92" s="62"/>
      <c r="F92" s="62"/>
      <c r="S92" s="62"/>
      <c r="T92" s="62"/>
    </row>
    <row r="93" spans="5:20">
      <c r="E93" s="62"/>
      <c r="F93" s="62"/>
      <c r="S93" s="62"/>
      <c r="T93" s="62"/>
    </row>
    <row r="94" spans="5:20">
      <c r="E94" s="62"/>
      <c r="F94" s="62"/>
      <c r="S94" s="62"/>
      <c r="T94" s="62"/>
    </row>
    <row r="95" spans="5:20">
      <c r="E95" s="62"/>
      <c r="F95" s="62"/>
      <c r="S95" s="62"/>
      <c r="T95" s="62"/>
    </row>
    <row r="96" spans="5:20">
      <c r="E96" s="62"/>
      <c r="F96" s="62"/>
      <c r="S96" s="62"/>
      <c r="T96" s="62"/>
    </row>
    <row r="97" spans="5:20">
      <c r="E97" s="62"/>
      <c r="F97" s="62"/>
      <c r="S97" s="62"/>
      <c r="T97" s="62"/>
    </row>
    <row r="98" spans="5:20">
      <c r="E98" s="62"/>
      <c r="F98" s="62"/>
      <c r="S98" s="62"/>
      <c r="T98" s="62"/>
    </row>
    <row r="99" spans="5:20">
      <c r="E99" s="62"/>
      <c r="F99" s="62"/>
      <c r="S99" s="62"/>
      <c r="T99" s="62"/>
    </row>
    <row r="100" spans="5:20">
      <c r="E100" s="62"/>
      <c r="F100" s="62"/>
      <c r="S100" s="62"/>
      <c r="T100" s="62"/>
    </row>
    <row r="101" spans="5:20">
      <c r="E101" s="62"/>
      <c r="F101" s="62"/>
      <c r="S101" s="62"/>
      <c r="T101" s="62"/>
    </row>
    <row r="102" spans="5:20">
      <c r="E102" s="62"/>
      <c r="F102" s="62"/>
      <c r="S102" s="62"/>
      <c r="T102" s="62"/>
    </row>
    <row r="103" spans="5:20">
      <c r="E103" s="62"/>
      <c r="F103" s="62"/>
      <c r="S103" s="62"/>
      <c r="T103" s="62"/>
    </row>
    <row r="104" spans="5:20">
      <c r="E104" s="62"/>
      <c r="F104" s="62"/>
      <c r="S104" s="62"/>
      <c r="T104" s="62"/>
    </row>
    <row r="105" spans="5:20">
      <c r="E105" s="62"/>
      <c r="F105" s="62"/>
      <c r="S105" s="62"/>
      <c r="T105" s="62"/>
    </row>
    <row r="106" spans="5:20">
      <c r="E106" s="62"/>
      <c r="F106" s="62"/>
      <c r="S106" s="62"/>
      <c r="T106" s="62"/>
    </row>
    <row r="107" spans="5:20">
      <c r="E107" s="62"/>
      <c r="F107" s="62"/>
      <c r="S107" s="62"/>
      <c r="T107" s="62"/>
    </row>
    <row r="108" spans="5:20">
      <c r="E108" s="62"/>
      <c r="F108" s="62"/>
      <c r="S108" s="62"/>
      <c r="T108" s="62"/>
    </row>
    <row r="109" spans="5:20">
      <c r="E109" s="62"/>
      <c r="F109" s="62"/>
      <c r="S109" s="62"/>
      <c r="T109" s="62"/>
    </row>
    <row r="110" spans="5:20">
      <c r="E110" s="62"/>
      <c r="F110" s="62"/>
      <c r="S110" s="62"/>
      <c r="T110" s="62"/>
    </row>
    <row r="111" spans="5:20">
      <c r="E111" s="62"/>
      <c r="F111" s="62"/>
      <c r="S111" s="62"/>
      <c r="T111" s="62"/>
    </row>
  </sheetData>
  <mergeCells count="6"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zoomScaleNormal="100" zoomScaleSheetLayoutView="100" workbookViewId="0">
      <selection activeCell="B30" sqref="B30"/>
    </sheetView>
  </sheetViews>
  <sheetFormatPr baseColWidth="10" defaultColWidth="11.42578125" defaultRowHeight="12.75"/>
  <cols>
    <col min="1" max="1" width="50.5703125" style="70" customWidth="1"/>
    <col min="2" max="2" width="19.7109375" style="70" customWidth="1"/>
    <col min="3" max="3" width="13.7109375" style="70" bestFit="1" customWidth="1"/>
    <col min="4" max="4" width="25.7109375" style="70" bestFit="1" customWidth="1"/>
    <col min="5" max="5" width="18.42578125" style="70" customWidth="1"/>
    <col min="6" max="6" width="16.42578125" style="70" bestFit="1" customWidth="1"/>
    <col min="7" max="16384" width="11.42578125" style="70"/>
  </cols>
  <sheetData>
    <row r="1" spans="1:7" ht="27.75" customHeight="1">
      <c r="A1" s="295" t="s">
        <v>207</v>
      </c>
      <c r="B1" s="295"/>
      <c r="C1" s="295"/>
      <c r="D1" s="295"/>
      <c r="E1" s="295"/>
      <c r="F1" s="295"/>
    </row>
    <row r="2" spans="1:7" ht="25.5">
      <c r="A2" s="103" t="s">
        <v>125</v>
      </c>
      <c r="B2" s="103" t="s">
        <v>205</v>
      </c>
      <c r="C2" s="103" t="s">
        <v>206</v>
      </c>
      <c r="D2" s="103" t="s">
        <v>108</v>
      </c>
      <c r="E2" s="103" t="s">
        <v>109</v>
      </c>
      <c r="F2" s="103" t="s">
        <v>128</v>
      </c>
    </row>
    <row r="3" spans="1:7" ht="25.5" customHeight="1">
      <c r="A3" s="104" t="s">
        <v>55</v>
      </c>
      <c r="B3" s="287">
        <v>2381489463</v>
      </c>
      <c r="C3" s="296"/>
      <c r="D3" s="106">
        <v>0.2</v>
      </c>
      <c r="E3" s="114">
        <f>(B3+C3)*D3</f>
        <v>476297892.60000002</v>
      </c>
      <c r="F3" s="114">
        <f>(B3+C3)-E3</f>
        <v>1905191570.4000001</v>
      </c>
    </row>
    <row r="4" spans="1:7" ht="25.5" customHeight="1">
      <c r="A4" s="104" t="s">
        <v>60</v>
      </c>
      <c r="B4" s="287">
        <v>63930152</v>
      </c>
      <c r="C4" s="297"/>
      <c r="D4" s="106">
        <v>1</v>
      </c>
      <c r="E4" s="114">
        <f t="shared" ref="E4:E11" si="0">(B4+C4)*D4</f>
        <v>63930152</v>
      </c>
      <c r="F4" s="114">
        <f t="shared" ref="F4:F11" si="1">(B4+C4)-E4</f>
        <v>0</v>
      </c>
    </row>
    <row r="5" spans="1:7" ht="25.5" customHeight="1">
      <c r="A5" s="104" t="s">
        <v>61</v>
      </c>
      <c r="B5" s="287">
        <v>14876363</v>
      </c>
      <c r="C5" s="297"/>
      <c r="D5" s="106">
        <v>1</v>
      </c>
      <c r="E5" s="114">
        <f t="shared" si="0"/>
        <v>14876363</v>
      </c>
      <c r="F5" s="114">
        <f t="shared" si="1"/>
        <v>0</v>
      </c>
      <c r="G5" s="71"/>
    </row>
    <row r="6" spans="1:7" ht="25.5" customHeight="1">
      <c r="A6" s="104" t="s">
        <v>56</v>
      </c>
      <c r="B6" s="287">
        <v>80538724</v>
      </c>
      <c r="C6" s="298"/>
      <c r="D6" s="106">
        <v>0.2</v>
      </c>
      <c r="E6" s="114">
        <f t="shared" si="0"/>
        <v>16107744.800000001</v>
      </c>
      <c r="F6" s="114">
        <f t="shared" si="1"/>
        <v>64430979.200000003</v>
      </c>
    </row>
    <row r="7" spans="1:7" ht="25.5" customHeight="1">
      <c r="A7" s="104" t="s">
        <v>57</v>
      </c>
      <c r="B7" s="287">
        <v>75298111</v>
      </c>
      <c r="C7" s="287">
        <v>118259589.6192629</v>
      </c>
      <c r="D7" s="106">
        <v>0.2</v>
      </c>
      <c r="E7" s="114">
        <f t="shared" si="0"/>
        <v>38711540.123852581</v>
      </c>
      <c r="F7" s="114">
        <f t="shared" si="1"/>
        <v>154846160.49541032</v>
      </c>
    </row>
    <row r="8" spans="1:7" ht="25.5" customHeight="1">
      <c r="A8" s="104" t="s">
        <v>58</v>
      </c>
      <c r="B8" s="287">
        <v>83251280</v>
      </c>
      <c r="C8" s="296"/>
      <c r="D8" s="106">
        <v>0.2</v>
      </c>
      <c r="E8" s="114">
        <f t="shared" si="0"/>
        <v>16650256</v>
      </c>
      <c r="F8" s="114">
        <f t="shared" si="1"/>
        <v>66601024</v>
      </c>
    </row>
    <row r="9" spans="1:7" ht="25.5" customHeight="1">
      <c r="A9" s="104" t="s">
        <v>126</v>
      </c>
      <c r="B9" s="287">
        <v>16345374</v>
      </c>
      <c r="C9" s="297"/>
      <c r="D9" s="106">
        <v>0.2</v>
      </c>
      <c r="E9" s="114">
        <f t="shared" si="0"/>
        <v>3269074.8000000003</v>
      </c>
      <c r="F9" s="114">
        <f t="shared" si="1"/>
        <v>13076299.199999999</v>
      </c>
    </row>
    <row r="10" spans="1:7" ht="25.5" customHeight="1">
      <c r="A10" s="104" t="s">
        <v>59</v>
      </c>
      <c r="B10" s="287">
        <v>59176282</v>
      </c>
      <c r="C10" s="298"/>
      <c r="D10" s="106">
        <v>0.2</v>
      </c>
      <c r="E10" s="114">
        <f t="shared" si="0"/>
        <v>11835256.4</v>
      </c>
      <c r="F10" s="114">
        <f t="shared" si="1"/>
        <v>47341025.600000001</v>
      </c>
    </row>
    <row r="11" spans="1:7" ht="25.5" customHeight="1">
      <c r="A11" s="104" t="s">
        <v>192</v>
      </c>
      <c r="B11" s="287">
        <v>61075485</v>
      </c>
      <c r="C11" s="288"/>
      <c r="D11" s="106">
        <v>0.2</v>
      </c>
      <c r="E11" s="114">
        <f t="shared" si="0"/>
        <v>12215097</v>
      </c>
      <c r="F11" s="114">
        <f t="shared" si="1"/>
        <v>48860388</v>
      </c>
    </row>
    <row r="12" spans="1:7" ht="25.5" customHeight="1">
      <c r="A12" s="107" t="s">
        <v>53</v>
      </c>
      <c r="B12" s="108">
        <f>SUM(B3:B11)</f>
        <v>2835981234</v>
      </c>
      <c r="C12" s="108">
        <f>SUM(C7:C11)</f>
        <v>118259589.6192629</v>
      </c>
      <c r="D12" s="107"/>
      <c r="E12" s="108">
        <f>SUM(E3:E11)</f>
        <v>653893376.72385252</v>
      </c>
      <c r="F12" s="108">
        <f>SUM(F3:F11)</f>
        <v>2300347446.8954101</v>
      </c>
    </row>
    <row r="13" spans="1:7">
      <c r="A13" s="109"/>
      <c r="B13" s="109"/>
      <c r="C13" s="110"/>
      <c r="D13" s="111"/>
    </row>
    <row r="14" spans="1:7">
      <c r="A14" s="112" t="s">
        <v>127</v>
      </c>
      <c r="B14" s="112"/>
    </row>
    <row r="15" spans="1:7" ht="13.5" thickBot="1">
      <c r="B15" s="113"/>
    </row>
    <row r="16" spans="1:7" ht="64.5" thickTop="1">
      <c r="A16" s="118" t="s">
        <v>135</v>
      </c>
      <c r="B16" s="119" t="s">
        <v>129</v>
      </c>
      <c r="C16" s="119" t="s">
        <v>130</v>
      </c>
      <c r="D16" s="120" t="s">
        <v>191</v>
      </c>
    </row>
    <row r="17" spans="1:4" ht="17.25" customHeight="1">
      <c r="A17" s="121" t="s">
        <v>133</v>
      </c>
      <c r="B17" s="115">
        <f>F12</f>
        <v>2300347446.8954101</v>
      </c>
      <c r="C17" s="115">
        <v>40429695</v>
      </c>
      <c r="D17" s="122">
        <v>0</v>
      </c>
    </row>
    <row r="18" spans="1:4" ht="17.25" customHeight="1">
      <c r="A18" s="121" t="s">
        <v>108</v>
      </c>
      <c r="B18" s="116">
        <v>1.84E-2</v>
      </c>
      <c r="C18" s="116">
        <v>0.35</v>
      </c>
      <c r="D18" s="123">
        <v>1</v>
      </c>
    </row>
    <row r="19" spans="1:4" ht="17.25" customHeight="1">
      <c r="A19" s="121" t="s">
        <v>107</v>
      </c>
      <c r="B19" s="117">
        <f>B17*B18</f>
        <v>42326393.022875547</v>
      </c>
      <c r="C19" s="117">
        <f>C17*C18</f>
        <v>14150393.25</v>
      </c>
      <c r="D19" s="286">
        <v>0</v>
      </c>
    </row>
    <row r="20" spans="1:4" ht="17.25" customHeight="1">
      <c r="A20" s="125"/>
      <c r="B20" s="126"/>
      <c r="C20" s="126"/>
      <c r="D20" s="127"/>
    </row>
    <row r="21" spans="1:4" ht="24.75" customHeight="1">
      <c r="A21" s="301" t="s">
        <v>132</v>
      </c>
      <c r="B21" s="304" t="s">
        <v>131</v>
      </c>
      <c r="C21" s="305"/>
      <c r="D21" s="306"/>
    </row>
    <row r="22" spans="1:4">
      <c r="A22" s="302"/>
      <c r="B22" s="307" t="str">
        <f>IF(B19&gt;D19,"1.84% Particpaciones del Estado","Ley de Egresos 2020")</f>
        <v>1.84% Particpaciones del Estado</v>
      </c>
      <c r="C22" s="307"/>
      <c r="D22" s="308"/>
    </row>
    <row r="23" spans="1:4">
      <c r="A23" s="303"/>
      <c r="B23" s="126"/>
      <c r="C23" s="126"/>
      <c r="D23" s="127"/>
    </row>
    <row r="24" spans="1:4" ht="13.5" thickBot="1">
      <c r="A24" s="128" t="s">
        <v>134</v>
      </c>
      <c r="B24" s="299">
        <f>IF(B22="Ley de Egresos 2020",D19+C19,B19+C19)</f>
        <v>56476786.272875547</v>
      </c>
      <c r="C24" s="309"/>
      <c r="D24" s="300"/>
    </row>
    <row r="25" spans="1:4" ht="13.5" thickTop="1"/>
    <row r="26" spans="1:4" ht="13.5" thickBot="1"/>
    <row r="27" spans="1:4" ht="26.25" thickTop="1">
      <c r="A27" s="118" t="s">
        <v>183</v>
      </c>
      <c r="B27" s="120" t="s">
        <v>129</v>
      </c>
    </row>
    <row r="28" spans="1:4">
      <c r="A28" s="121" t="s">
        <v>172</v>
      </c>
      <c r="B28" s="122">
        <f>F12</f>
        <v>2300347446.8954101</v>
      </c>
    </row>
    <row r="29" spans="1:4">
      <c r="A29" s="121" t="s">
        <v>108</v>
      </c>
      <c r="B29" s="123">
        <v>1.5299999999999999E-2</v>
      </c>
    </row>
    <row r="30" spans="1:4" ht="13.5" thickBot="1">
      <c r="A30" s="128" t="s">
        <v>107</v>
      </c>
      <c r="B30" s="340">
        <f>B28*B29</f>
        <v>35195315.937499769</v>
      </c>
    </row>
    <row r="31" spans="1:4" ht="14.25" thickTop="1" thickBot="1"/>
    <row r="32" spans="1:4" ht="27.75" customHeight="1" thickTop="1">
      <c r="A32" s="118" t="s">
        <v>169</v>
      </c>
      <c r="B32" s="120" t="s">
        <v>129</v>
      </c>
    </row>
    <row r="33" spans="1:3">
      <c r="A33" s="121" t="s">
        <v>133</v>
      </c>
      <c r="B33" s="122">
        <f>$F$12</f>
        <v>2300347446.8954101</v>
      </c>
    </row>
    <row r="34" spans="1:3">
      <c r="A34" s="121" t="s">
        <v>108</v>
      </c>
      <c r="B34" s="123">
        <v>5.4000000000000003E-3</v>
      </c>
    </row>
    <row r="35" spans="1:3" ht="13.5" thickBot="1">
      <c r="A35" s="128" t="s">
        <v>107</v>
      </c>
      <c r="B35" s="205">
        <f>B33*B34</f>
        <v>12421876.213235214</v>
      </c>
    </row>
    <row r="36" spans="1:3" ht="14.25" thickTop="1" thickBot="1"/>
    <row r="37" spans="1:3" ht="26.25" thickTop="1">
      <c r="A37" s="118" t="s">
        <v>171</v>
      </c>
      <c r="B37" s="119" t="s">
        <v>129</v>
      </c>
      <c r="C37" s="120" t="s">
        <v>191</v>
      </c>
    </row>
    <row r="38" spans="1:3">
      <c r="A38" s="121" t="s">
        <v>133</v>
      </c>
      <c r="B38" s="115">
        <f>$F$12</f>
        <v>2300347446.8954101</v>
      </c>
      <c r="C38" s="122">
        <f>367143657/12</f>
        <v>30595304.75</v>
      </c>
    </row>
    <row r="39" spans="1:3">
      <c r="A39" s="121" t="s">
        <v>108</v>
      </c>
      <c r="B39" s="116">
        <v>1.2800000000000001E-2</v>
      </c>
      <c r="C39" s="123">
        <v>1</v>
      </c>
    </row>
    <row r="40" spans="1:3">
      <c r="A40" s="121" t="s">
        <v>107</v>
      </c>
      <c r="B40" s="117">
        <f>B38*B39</f>
        <v>29444447.320261251</v>
      </c>
      <c r="C40" s="124">
        <f>C38*C39</f>
        <v>30595304.75</v>
      </c>
    </row>
    <row r="41" spans="1:3">
      <c r="A41" s="125"/>
      <c r="B41" s="126"/>
      <c r="C41" s="127"/>
    </row>
    <row r="42" spans="1:3" ht="24" customHeight="1">
      <c r="A42" s="301" t="s">
        <v>132</v>
      </c>
      <c r="B42" s="304" t="s">
        <v>173</v>
      </c>
      <c r="C42" s="310"/>
    </row>
    <row r="43" spans="1:3">
      <c r="A43" s="302"/>
      <c r="B43" s="311" t="str">
        <f>IF(B40&gt;C40,"1.28% Particpaciones del Estado","Ley de Egresos 2021")</f>
        <v>Ley de Egresos 2021</v>
      </c>
      <c r="C43" s="312"/>
    </row>
    <row r="44" spans="1:3">
      <c r="A44" s="303"/>
      <c r="B44" s="313"/>
      <c r="C44" s="314"/>
    </row>
    <row r="45" spans="1:3" ht="13.5" thickBot="1">
      <c r="A45" s="128" t="s">
        <v>184</v>
      </c>
      <c r="B45" s="299">
        <f>IF(B43="Ley de Egresos 2021",C40,B40)</f>
        <v>30595304.75</v>
      </c>
      <c r="C45" s="300"/>
    </row>
    <row r="46" spans="1:3" ht="13.5" thickTop="1"/>
  </sheetData>
  <mergeCells count="11">
    <mergeCell ref="A1:F1"/>
    <mergeCell ref="C3:C6"/>
    <mergeCell ref="C8:C10"/>
    <mergeCell ref="B45:C45"/>
    <mergeCell ref="A21:A23"/>
    <mergeCell ref="B21:D21"/>
    <mergeCell ref="B22:D22"/>
    <mergeCell ref="B24:D24"/>
    <mergeCell ref="A42:A44"/>
    <mergeCell ref="B42:C42"/>
    <mergeCell ref="B43:C44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7" workbookViewId="0">
      <selection activeCell="F57" sqref="F57"/>
    </sheetView>
  </sheetViews>
  <sheetFormatPr baseColWidth="10" defaultColWidth="11.42578125" defaultRowHeight="12.75"/>
  <cols>
    <col min="1" max="1" width="29" style="13" customWidth="1"/>
    <col min="2" max="2" width="15.7109375" style="13" customWidth="1"/>
    <col min="3" max="3" width="16.28515625" style="13" customWidth="1"/>
    <col min="4" max="4" width="17.85546875" style="13" customWidth="1"/>
    <col min="5" max="5" width="14.85546875" style="13" bestFit="1" customWidth="1"/>
    <col min="6" max="6" width="14" style="13" bestFit="1" customWidth="1"/>
    <col min="7" max="16384" width="11.42578125" style="13"/>
  </cols>
  <sheetData>
    <row r="1" spans="1:5">
      <c r="A1" s="319" t="s">
        <v>105</v>
      </c>
      <c r="B1" s="319"/>
      <c r="C1" s="319"/>
      <c r="D1" s="319"/>
      <c r="E1" s="319"/>
    </row>
    <row r="2" spans="1:5">
      <c r="A2" s="319" t="s">
        <v>106</v>
      </c>
      <c r="B2" s="319"/>
      <c r="C2" s="319"/>
      <c r="D2" s="319"/>
      <c r="E2" s="319"/>
    </row>
    <row r="3" spans="1:5">
      <c r="A3" s="320" t="s">
        <v>193</v>
      </c>
      <c r="B3" s="320"/>
      <c r="C3" s="320"/>
      <c r="D3" s="320"/>
      <c r="E3" s="320"/>
    </row>
    <row r="4" spans="1:5" ht="13.5" thickBot="1"/>
    <row r="5" spans="1:5" ht="37.5" customHeight="1">
      <c r="A5" s="206" t="s">
        <v>0</v>
      </c>
      <c r="B5" s="240" t="s">
        <v>203</v>
      </c>
      <c r="C5" s="237" t="s">
        <v>178</v>
      </c>
      <c r="D5" s="237" t="s">
        <v>179</v>
      </c>
      <c r="E5" s="246"/>
    </row>
    <row r="6" spans="1:5">
      <c r="A6" s="238" t="s">
        <v>1</v>
      </c>
      <c r="B6" s="241">
        <f>'Datos Mun'!AA5</f>
        <v>1718741.9791512869</v>
      </c>
      <c r="C6" s="236">
        <f>IF('Datos Mun'!B5="AMM",Descentralizados!$B$62*'Datos Mun'!AP5,Descentralizados!$B$63*'Datos Mun'!AP5)</f>
        <v>321034.55244037724</v>
      </c>
      <c r="D6" s="236" t="str">
        <f>IF('Datos Mun'!C5="No AMM",IF(Descentralizados!C6-Descentralizados!B6&lt;0,"SI","NO"),0)</f>
        <v>SI</v>
      </c>
      <c r="E6" s="247">
        <f>IF(D6="SI",B6,C6)</f>
        <v>1718741.9791512869</v>
      </c>
    </row>
    <row r="7" spans="1:5">
      <c r="A7" s="238" t="s">
        <v>2</v>
      </c>
      <c r="B7" s="241">
        <f>'Datos Mun'!AA6</f>
        <v>2900632.6783973104</v>
      </c>
      <c r="C7" s="236">
        <f>IF('Datos Mun'!B6="AMM",Descentralizados!$B$62*'Datos Mun'!AP6,Descentralizados!$B$63*'Datos Mun'!AP6)</f>
        <v>1794957.293799774</v>
      </c>
      <c r="D7" s="236" t="str">
        <f>IF('Datos Mun'!C6="No AMM",IF(Descentralizados!C7-Descentralizados!B7&lt;0,"SI","NO"),0)</f>
        <v>SI</v>
      </c>
      <c r="E7" s="247">
        <f t="shared" ref="E7:E56" si="0">IF(D7="SI",B7,C7)</f>
        <v>2900632.6783973104</v>
      </c>
    </row>
    <row r="8" spans="1:5">
      <c r="A8" s="238" t="s">
        <v>3</v>
      </c>
      <c r="B8" s="241">
        <f>'Datos Mun'!AA7</f>
        <v>2086699.1551099622</v>
      </c>
      <c r="C8" s="236">
        <f>IF('Datos Mun'!B7="AMM",Descentralizados!$B$62*'Datos Mun'!AP7,Descentralizados!$B$63*'Datos Mun'!AP7)</f>
        <v>1919332.779872491</v>
      </c>
      <c r="D8" s="236" t="str">
        <f>IF('Datos Mun'!C7="No AMM",IF(Descentralizados!C8-Descentralizados!B8&lt;0,"SI","NO"),0)</f>
        <v>SI</v>
      </c>
      <c r="E8" s="247">
        <f t="shared" si="0"/>
        <v>2086699.1551099622</v>
      </c>
    </row>
    <row r="9" spans="1:5">
      <c r="A9" s="238" t="s">
        <v>4</v>
      </c>
      <c r="B9" s="241">
        <f>'Datos Mun'!AA8</f>
        <v>8518240.6165178325</v>
      </c>
      <c r="C9" s="236">
        <f>IF('Datos Mun'!B8="AMM",Descentralizados!$B$62*'Datos Mun'!AP8,Descentralizados!$B$63*'Datos Mun'!AP8)</f>
        <v>5762871.3802935677</v>
      </c>
      <c r="D9" s="236" t="str">
        <f>IF('Datos Mun'!C8="No AMM",IF(Descentralizados!C9-Descentralizados!B9&lt;0,"SI","NO"),0)</f>
        <v>SI</v>
      </c>
      <c r="E9" s="247">
        <f t="shared" si="0"/>
        <v>8518240.6165178325</v>
      </c>
    </row>
    <row r="10" spans="1:5">
      <c r="A10" s="238" t="s">
        <v>5</v>
      </c>
      <c r="B10" s="241">
        <f>'Datos Mun'!AA9</f>
        <v>6137628.4181850413</v>
      </c>
      <c r="C10" s="236">
        <f>IF('Datos Mun'!B9="AMM",Descentralizados!$B$62*'Datos Mun'!AP9,Descentralizados!$B$63*'Datos Mun'!AP9)</f>
        <v>5159041.0873421347</v>
      </c>
      <c r="D10" s="236" t="str">
        <f>IF('Datos Mun'!C9="No AMM",IF(Descentralizados!C10-Descentralizados!B10&lt;0,"SI","NO"),0)</f>
        <v>SI</v>
      </c>
      <c r="E10" s="247">
        <f t="shared" si="0"/>
        <v>6137628.4181850413</v>
      </c>
    </row>
    <row r="11" spans="1:5">
      <c r="A11" s="238" t="s">
        <v>6</v>
      </c>
      <c r="B11" s="241">
        <f>'Datos Mun'!AA10</f>
        <v>19810827.893906925</v>
      </c>
      <c r="C11" s="236">
        <f>IF('Datos Mun'!B10="AMM",Descentralizados!$B$62*'Datos Mun'!AP10,Descentralizados!$B$63*'Datos Mun'!AP10)</f>
        <v>19895259.391920697</v>
      </c>
      <c r="D11" s="236">
        <f>IF('Datos Mun'!C10="No AMM",IF(Descentralizados!C11-Descentralizados!B11&lt;0,"SI","NO"),0)</f>
        <v>0</v>
      </c>
      <c r="E11" s="247">
        <f t="shared" si="0"/>
        <v>19895259.391920697</v>
      </c>
    </row>
    <row r="12" spans="1:5">
      <c r="A12" s="238" t="s">
        <v>7</v>
      </c>
      <c r="B12" s="241">
        <f>'Datos Mun'!AA11</f>
        <v>8224675.0942434939</v>
      </c>
      <c r="C12" s="236">
        <f>IF('Datos Mun'!B11="AMM",Descentralizados!$B$62*'Datos Mun'!AP11,Descentralizados!$B$63*'Datos Mun'!AP11)</f>
        <v>7515420.124458001</v>
      </c>
      <c r="D12" s="236" t="str">
        <f>IF('Datos Mun'!C11="No AMM",IF(Descentralizados!C12-Descentralizados!B12&lt;0,"SI","NO"),0)</f>
        <v>SI</v>
      </c>
      <c r="E12" s="247">
        <f t="shared" si="0"/>
        <v>8224675.0942434939</v>
      </c>
    </row>
    <row r="13" spans="1:5">
      <c r="A13" s="238" t="s">
        <v>8</v>
      </c>
      <c r="B13" s="241">
        <f>'Datos Mun'!AA12</f>
        <v>2974219.0794317215</v>
      </c>
      <c r="C13" s="236">
        <f>IF('Datos Mun'!B12="AMM",Descentralizados!$B$62*'Datos Mun'!AP12,Descentralizados!$B$63*'Datos Mun'!AP12)</f>
        <v>998374.56046237831</v>
      </c>
      <c r="D13" s="236" t="str">
        <f>IF('Datos Mun'!C12="No AMM",IF(Descentralizados!C13-Descentralizados!B13&lt;0,"SI","NO"),0)</f>
        <v>SI</v>
      </c>
      <c r="E13" s="247">
        <f t="shared" si="0"/>
        <v>2974219.0794317215</v>
      </c>
    </row>
    <row r="14" spans="1:5">
      <c r="A14" s="238" t="s">
        <v>9</v>
      </c>
      <c r="B14" s="241">
        <f>'Datos Mun'!AA13</f>
        <v>6080772.1412531286</v>
      </c>
      <c r="C14" s="236">
        <f>IF('Datos Mun'!B13="AMM",Descentralizados!$B$62*'Datos Mun'!AP13,Descentralizados!$B$63*'Datos Mun'!AP13)</f>
        <v>3555011.782601513</v>
      </c>
      <c r="D14" s="236" t="str">
        <f>IF('Datos Mun'!C13="No AMM",IF(Descentralizados!C14-Descentralizados!B14&lt;0,"SI","NO"),0)</f>
        <v>SI</v>
      </c>
      <c r="E14" s="247">
        <f t="shared" si="0"/>
        <v>6080772.1412531286</v>
      </c>
    </row>
    <row r="15" spans="1:5">
      <c r="A15" s="238" t="s">
        <v>10</v>
      </c>
      <c r="B15" s="241">
        <f>'Datos Mun'!AA14</f>
        <v>3660359.1184544452</v>
      </c>
      <c r="C15" s="236">
        <f>IF('Datos Mun'!B14="AMM",Descentralizados!$B$62*'Datos Mun'!AP14,Descentralizados!$B$63*'Datos Mun'!AP14)</f>
        <v>3909274.5899508521</v>
      </c>
      <c r="D15" s="236" t="str">
        <f>IF('Datos Mun'!C14="No AMM",IF(Descentralizados!C15-Descentralizados!B15&lt;0,"SI","NO"),0)</f>
        <v>NO</v>
      </c>
      <c r="E15" s="247">
        <f t="shared" si="0"/>
        <v>3909274.5899508521</v>
      </c>
    </row>
    <row r="16" spans="1:5">
      <c r="A16" s="238" t="s">
        <v>11</v>
      </c>
      <c r="B16" s="241">
        <f>'Datos Mun'!AA15</f>
        <v>3693123.3689814457</v>
      </c>
      <c r="C16" s="236">
        <f>IF('Datos Mun'!B15="AMM",Descentralizados!$B$62*'Datos Mun'!AP15,Descentralizados!$B$63*'Datos Mun'!AP15)</f>
        <v>2195350.0794929103</v>
      </c>
      <c r="D16" s="236" t="str">
        <f>IF('Datos Mun'!C15="No AMM",IF(Descentralizados!C16-Descentralizados!B16&lt;0,"SI","NO"),0)</f>
        <v>SI</v>
      </c>
      <c r="E16" s="247">
        <f t="shared" si="0"/>
        <v>3693123.3689814457</v>
      </c>
    </row>
    <row r="17" spans="1:5">
      <c r="A17" s="238" t="s">
        <v>12</v>
      </c>
      <c r="B17" s="241">
        <f>'Datos Mun'!AA16</f>
        <v>5563132.2810582956</v>
      </c>
      <c r="C17" s="236">
        <f>IF('Datos Mun'!B16="AMM",Descentralizados!$B$62*'Datos Mun'!AP16,Descentralizados!$B$63*'Datos Mun'!AP16)</f>
        <v>5069074.5589885786</v>
      </c>
      <c r="D17" s="236" t="str">
        <f>IF('Datos Mun'!C16="No AMM",IF(Descentralizados!C17-Descentralizados!B17&lt;0,"SI","NO"),0)</f>
        <v>SI</v>
      </c>
      <c r="E17" s="247">
        <f t="shared" si="0"/>
        <v>5563132.2810582956</v>
      </c>
    </row>
    <row r="18" spans="1:5">
      <c r="A18" s="238" t="s">
        <v>13</v>
      </c>
      <c r="B18" s="241">
        <f>'Datos Mun'!AA17</f>
        <v>3096584.7941487241</v>
      </c>
      <c r="C18" s="236">
        <f>IF('Datos Mun'!B17="AMM",Descentralizados!$B$62*'Datos Mun'!AP17,Descentralizados!$B$63*'Datos Mun'!AP17)</f>
        <v>3446851.00070119</v>
      </c>
      <c r="D18" s="236" t="str">
        <f>IF('Datos Mun'!C17="No AMM",IF(Descentralizados!C18-Descentralizados!B18&lt;0,"SI","NO"),0)</f>
        <v>NO</v>
      </c>
      <c r="E18" s="247">
        <f t="shared" si="0"/>
        <v>3446851.00070119</v>
      </c>
    </row>
    <row r="19" spans="1:5">
      <c r="A19" s="238" t="s">
        <v>14</v>
      </c>
      <c r="B19" s="241">
        <f>'Datos Mun'!AA18</f>
        <v>18511579.143657368</v>
      </c>
      <c r="C19" s="236">
        <f>IF('Datos Mun'!B18="AMM",Descentralizados!$B$62*'Datos Mun'!AP18,Descentralizados!$B$63*'Datos Mun'!AP18)</f>
        <v>16960873.841360345</v>
      </c>
      <c r="D19" s="236" t="str">
        <f>IF('Datos Mun'!C18="No AMM",IF(Descentralizados!C19-Descentralizados!B19&lt;0,"SI","NO"),0)</f>
        <v>SI</v>
      </c>
      <c r="E19" s="247">
        <f t="shared" si="0"/>
        <v>18511579.143657368</v>
      </c>
    </row>
    <row r="20" spans="1:5">
      <c r="A20" s="238" t="s">
        <v>15</v>
      </c>
      <c r="B20" s="241">
        <f>'Datos Mun'!AA19</f>
        <v>2627805.792300446</v>
      </c>
      <c r="C20" s="236">
        <f>IF('Datos Mun'!B19="AMM",Descentralizados!$B$62*'Datos Mun'!AP19,Descentralizados!$B$63*'Datos Mun'!AP19)</f>
        <v>2166511.1721197446</v>
      </c>
      <c r="D20" s="236" t="str">
        <f>IF('Datos Mun'!C19="No AMM",IF(Descentralizados!C20-Descentralizados!B20&lt;0,"SI","NO"),0)</f>
        <v>SI</v>
      </c>
      <c r="E20" s="247">
        <f t="shared" si="0"/>
        <v>2627805.792300446</v>
      </c>
    </row>
    <row r="21" spans="1:5">
      <c r="A21" s="238" t="s">
        <v>16</v>
      </c>
      <c r="B21" s="241">
        <f>'Datos Mun'!AA20</f>
        <v>896589.74590828759</v>
      </c>
      <c r="C21" s="236">
        <f>IF('Datos Mun'!B20="AMM",Descentralizados!$B$62*'Datos Mun'!AP20,Descentralizados!$B$63*'Datos Mun'!AP20)</f>
        <v>834504.14322624239</v>
      </c>
      <c r="D21" s="236" t="str">
        <f>IF('Datos Mun'!C20="No AMM",IF(Descentralizados!C21-Descentralizados!B21&lt;0,"SI","NO"),0)</f>
        <v>SI</v>
      </c>
      <c r="E21" s="247">
        <f t="shared" si="0"/>
        <v>896589.74590828759</v>
      </c>
    </row>
    <row r="22" spans="1:5">
      <c r="A22" s="238" t="s">
        <v>17</v>
      </c>
      <c r="B22" s="241">
        <f>'Datos Mun'!AA21</f>
        <v>13770707.582336776</v>
      </c>
      <c r="C22" s="236">
        <f>IF('Datos Mun'!B21="AMM",Descentralizados!$B$62*'Datos Mun'!AP21,Descentralizados!$B$63*'Datos Mun'!AP21)</f>
        <v>12519495.515479797</v>
      </c>
      <c r="D22" s="236" t="str">
        <f>IF('Datos Mun'!C21="No AMM",IF(Descentralizados!C22-Descentralizados!B22&lt;0,"SI","NO"),0)</f>
        <v>SI</v>
      </c>
      <c r="E22" s="247">
        <f t="shared" si="0"/>
        <v>13770707.582336776</v>
      </c>
    </row>
    <row r="23" spans="1:5">
      <c r="A23" s="238" t="s">
        <v>18</v>
      </c>
      <c r="B23" s="241">
        <f>'Datos Mun'!AA22</f>
        <v>6970001.4448454408</v>
      </c>
      <c r="C23" s="236">
        <f>IF('Datos Mun'!B22="AMM",Descentralizados!$B$62*'Datos Mun'!AP22,Descentralizados!$B$63*'Datos Mun'!AP22)</f>
        <v>7889919.973704529</v>
      </c>
      <c r="D23" s="236">
        <f>IF('Datos Mun'!C22="No AMM",IF(Descentralizados!C23-Descentralizados!B23&lt;0,"SI","NO"),0)</f>
        <v>0</v>
      </c>
      <c r="E23" s="247">
        <f t="shared" si="0"/>
        <v>7889919.973704529</v>
      </c>
    </row>
    <row r="24" spans="1:5">
      <c r="A24" s="238" t="s">
        <v>19</v>
      </c>
      <c r="B24" s="241">
        <f>'Datos Mun'!AA23</f>
        <v>2314156.6642328231</v>
      </c>
      <c r="C24" s="236">
        <f>IF('Datos Mun'!B23="AMM",Descentralizados!$B$62*'Datos Mun'!AP23,Descentralizados!$B$63*'Datos Mun'!AP23)</f>
        <v>1915394.4961048074</v>
      </c>
      <c r="D24" s="236" t="str">
        <f>IF('Datos Mun'!C23="No AMM",IF(Descentralizados!C24-Descentralizados!B24&lt;0,"SI","NO"),0)</f>
        <v>SI</v>
      </c>
      <c r="E24" s="247">
        <f t="shared" si="0"/>
        <v>2314156.6642328231</v>
      </c>
    </row>
    <row r="25" spans="1:5">
      <c r="A25" s="238" t="s">
        <v>20</v>
      </c>
      <c r="B25" s="241">
        <f>'Datos Mun'!AA24</f>
        <v>13667505.466545394</v>
      </c>
      <c r="C25" s="236">
        <f>IF('Datos Mun'!B24="AMM",Descentralizados!$B$62*'Datos Mun'!AP24,Descentralizados!$B$63*'Datos Mun'!AP24)</f>
        <v>13241112.133473258</v>
      </c>
      <c r="D25" s="236">
        <f>IF('Datos Mun'!C24="No AMM",IF(Descentralizados!C25-Descentralizados!B25&lt;0,"SI","NO"),0)</f>
        <v>0</v>
      </c>
      <c r="E25" s="247">
        <f t="shared" si="0"/>
        <v>13241112.133473258</v>
      </c>
    </row>
    <row r="26" spans="1:5">
      <c r="A26" s="238" t="s">
        <v>21</v>
      </c>
      <c r="B26" s="241">
        <f>'Datos Mun'!AA25</f>
        <v>5035804.9607381914</v>
      </c>
      <c r="C26" s="236">
        <f>IF('Datos Mun'!B25="AMM",Descentralizados!$B$62*'Datos Mun'!AP25,Descentralizados!$B$63*'Datos Mun'!AP25)</f>
        <v>4615740.9906499302</v>
      </c>
      <c r="D26" s="236" t="str">
        <f>IF('Datos Mun'!C25="No AMM",IF(Descentralizados!C26-Descentralizados!B26&lt;0,"SI","NO"),0)</f>
        <v>SI</v>
      </c>
      <c r="E26" s="247">
        <f t="shared" si="0"/>
        <v>5035804.9607381914</v>
      </c>
    </row>
    <row r="27" spans="1:5">
      <c r="A27" s="238" t="s">
        <v>22</v>
      </c>
      <c r="B27" s="241">
        <f>'Datos Mun'!AA26</f>
        <v>2579267.2849072521</v>
      </c>
      <c r="C27" s="236">
        <f>IF('Datos Mun'!B26="AMM",Descentralizados!$B$62*'Datos Mun'!AP26,Descentralizados!$B$63*'Datos Mun'!AP26)</f>
        <v>414252.42044527788</v>
      </c>
      <c r="D27" s="236" t="str">
        <f>IF('Datos Mun'!C26="No AMM",IF(Descentralizados!C27-Descentralizados!B27&lt;0,"SI","NO"),0)</f>
        <v>SI</v>
      </c>
      <c r="E27" s="247">
        <f t="shared" si="0"/>
        <v>2579267.2849072521</v>
      </c>
    </row>
    <row r="28" spans="1:5">
      <c r="A28" s="238" t="s">
        <v>23</v>
      </c>
      <c r="B28" s="241">
        <f>'Datos Mun'!AA27</f>
        <v>4083989.3872715947</v>
      </c>
      <c r="C28" s="236">
        <f>IF('Datos Mun'!B27="AMM",Descentralizados!$B$62*'Datos Mun'!AP27,Descentralizados!$B$63*'Datos Mun'!AP27)</f>
        <v>3741625.3236920158</v>
      </c>
      <c r="D28" s="236" t="str">
        <f>IF('Datos Mun'!C27="No AMM",IF(Descentralizados!C28-Descentralizados!B28&lt;0,"SI","NO"),0)</f>
        <v>SI</v>
      </c>
      <c r="E28" s="247">
        <f t="shared" si="0"/>
        <v>4083989.3872715947</v>
      </c>
    </row>
    <row r="29" spans="1:5">
      <c r="A29" s="238" t="s">
        <v>24</v>
      </c>
      <c r="B29" s="241">
        <f>'Datos Mun'!AA28</f>
        <v>4282795.5586598059</v>
      </c>
      <c r="C29" s="236">
        <f>IF('Datos Mun'!B28="AMM",Descentralizados!$B$62*'Datos Mun'!AP28,Descentralizados!$B$63*'Datos Mun'!AP28)</f>
        <v>4006067.4567545769</v>
      </c>
      <c r="D29" s="236" t="str">
        <f>IF('Datos Mun'!C28="No AMM",IF(Descentralizados!C29-Descentralizados!B29&lt;0,"SI","NO"),0)</f>
        <v>SI</v>
      </c>
      <c r="E29" s="247">
        <f t="shared" si="0"/>
        <v>4282795.5586598059</v>
      </c>
    </row>
    <row r="30" spans="1:5">
      <c r="A30" s="238" t="s">
        <v>25</v>
      </c>
      <c r="B30" s="241">
        <f>'Datos Mun'!AA29</f>
        <v>23819745.92530071</v>
      </c>
      <c r="C30" s="236">
        <f>IF('Datos Mun'!B29="AMM",Descentralizados!$B$62*'Datos Mun'!AP29,Descentralizados!$B$63*'Datos Mun'!AP29)</f>
        <v>21304432.071409993</v>
      </c>
      <c r="D30" s="236">
        <f>IF('Datos Mun'!C29="No AMM",IF(Descentralizados!C30-Descentralizados!B30&lt;0,"SI","NO"),0)</f>
        <v>0</v>
      </c>
      <c r="E30" s="247">
        <f t="shared" si="0"/>
        <v>21304432.071409993</v>
      </c>
    </row>
    <row r="31" spans="1:5">
      <c r="A31" s="238" t="s">
        <v>26</v>
      </c>
      <c r="B31" s="241">
        <f>'Datos Mun'!AA30</f>
        <v>2416180.5729740933</v>
      </c>
      <c r="C31" s="236">
        <f>IF('Datos Mun'!B30="AMM",Descentralizados!$B$62*'Datos Mun'!AP30,Descentralizados!$B$63*'Datos Mun'!AP30)</f>
        <v>1001841.3780555968</v>
      </c>
      <c r="D31" s="236" t="str">
        <f>IF('Datos Mun'!C30="No AMM",IF(Descentralizados!C31-Descentralizados!B31&lt;0,"SI","NO"),0)</f>
        <v>SI</v>
      </c>
      <c r="E31" s="247">
        <f t="shared" si="0"/>
        <v>2416180.5729740933</v>
      </c>
    </row>
    <row r="32" spans="1:5">
      <c r="A32" s="238" t="s">
        <v>27</v>
      </c>
      <c r="B32" s="241">
        <f>'Datos Mun'!AA31</f>
        <v>2523675.0481478898</v>
      </c>
      <c r="C32" s="236">
        <f>IF('Datos Mun'!B31="AMM",Descentralizados!$B$62*'Datos Mun'!AP31,Descentralizados!$B$63*'Datos Mun'!AP31)</f>
        <v>2329216.7579652453</v>
      </c>
      <c r="D32" s="236" t="str">
        <f>IF('Datos Mun'!C31="No AMM",IF(Descentralizados!C32-Descentralizados!B32&lt;0,"SI","NO"),0)</f>
        <v>SI</v>
      </c>
      <c r="E32" s="247">
        <f t="shared" si="0"/>
        <v>2523675.0481478898</v>
      </c>
    </row>
    <row r="33" spans="1:5">
      <c r="A33" s="238" t="s">
        <v>28</v>
      </c>
      <c r="B33" s="241">
        <f>'Datos Mun'!AA32</f>
        <v>2212342.7472197949</v>
      </c>
      <c r="C33" s="236">
        <f>IF('Datos Mun'!B32="AMM",Descentralizados!$B$62*'Datos Mun'!AP32,Descentralizados!$B$63*'Datos Mun'!AP32)</f>
        <v>1518141.8415836513</v>
      </c>
      <c r="D33" s="236" t="str">
        <f>IF('Datos Mun'!C32="No AMM",IF(Descentralizados!C33-Descentralizados!B33&lt;0,"SI","NO"),0)</f>
        <v>SI</v>
      </c>
      <c r="E33" s="247">
        <f t="shared" si="0"/>
        <v>2212342.7472197949</v>
      </c>
    </row>
    <row r="34" spans="1:5">
      <c r="A34" s="238" t="s">
        <v>29</v>
      </c>
      <c r="B34" s="241">
        <f>'Datos Mun'!AA33</f>
        <v>1837459.503722325</v>
      </c>
      <c r="C34" s="236">
        <f>IF('Datos Mun'!B33="AMM",Descentralizados!$B$62*'Datos Mun'!AP33,Descentralizados!$B$63*'Datos Mun'!AP33)</f>
        <v>1673175.96540929</v>
      </c>
      <c r="D34" s="236" t="str">
        <f>IF('Datos Mun'!C33="No AMM",IF(Descentralizados!C34-Descentralizados!B34&lt;0,"SI","NO"),0)</f>
        <v>SI</v>
      </c>
      <c r="E34" s="247">
        <f t="shared" si="0"/>
        <v>1837459.503722325</v>
      </c>
    </row>
    <row r="35" spans="1:5">
      <c r="A35" s="238" t="s">
        <v>30</v>
      </c>
      <c r="B35" s="241">
        <f>'Datos Mun'!AA34</f>
        <v>2140203.3870121036</v>
      </c>
      <c r="C35" s="236">
        <f>IF('Datos Mun'!B34="AMM",Descentralizados!$B$62*'Datos Mun'!AP34,Descentralizados!$B$63*'Datos Mun'!AP34)</f>
        <v>1948156.3277658988</v>
      </c>
      <c r="D35" s="236" t="str">
        <f>IF('Datos Mun'!C34="No AMM",IF(Descentralizados!C35-Descentralizados!B35&lt;0,"SI","NO"),0)</f>
        <v>SI</v>
      </c>
      <c r="E35" s="247">
        <f t="shared" si="0"/>
        <v>2140203.3870121036</v>
      </c>
    </row>
    <row r="36" spans="1:5">
      <c r="A36" s="238" t="s">
        <v>31</v>
      </c>
      <c r="B36" s="241">
        <f>'Datos Mun'!AA35</f>
        <v>7906757.7221003743</v>
      </c>
      <c r="C36" s="236">
        <f>IF('Datos Mun'!B35="AMM",Descentralizados!$B$62*'Datos Mun'!AP35,Descentralizados!$B$63*'Datos Mun'!AP35)</f>
        <v>9143468.2040669303</v>
      </c>
      <c r="D36" s="236">
        <f>IF('Datos Mun'!C35="No AMM",IF(Descentralizados!C36-Descentralizados!B36&lt;0,"SI","NO"),0)</f>
        <v>0</v>
      </c>
      <c r="E36" s="247">
        <f t="shared" si="0"/>
        <v>9143468.2040669303</v>
      </c>
    </row>
    <row r="37" spans="1:5">
      <c r="A37" s="238" t="s">
        <v>32</v>
      </c>
      <c r="B37" s="241">
        <f>'Datos Mun'!AA36</f>
        <v>4879372.4971958175</v>
      </c>
      <c r="C37" s="236">
        <f>IF('Datos Mun'!B36="AMM",Descentralizados!$B$62*'Datos Mun'!AP36,Descentralizados!$B$63*'Datos Mun'!AP36)</f>
        <v>3208938.9722890276</v>
      </c>
      <c r="D37" s="236" t="str">
        <f>IF('Datos Mun'!C36="No AMM",IF(Descentralizados!C37-Descentralizados!B37&lt;0,"SI","NO"),0)</f>
        <v>SI</v>
      </c>
      <c r="E37" s="247">
        <f t="shared" si="0"/>
        <v>4879372.4971958175</v>
      </c>
    </row>
    <row r="38" spans="1:5">
      <c r="A38" s="238" t="s">
        <v>33</v>
      </c>
      <c r="B38" s="241">
        <f>'Datos Mun'!AA37</f>
        <v>14166911.141700404</v>
      </c>
      <c r="C38" s="236">
        <f>IF('Datos Mun'!B37="AMM",Descentralizados!$B$62*'Datos Mun'!AP37,Descentralizados!$B$63*'Datos Mun'!AP37)</f>
        <v>12181773.08959279</v>
      </c>
      <c r="D38" s="236" t="str">
        <f>IF('Datos Mun'!C37="No AMM",IF(Descentralizados!C38-Descentralizados!B38&lt;0,"SI","NO"),0)</f>
        <v>SI</v>
      </c>
      <c r="E38" s="247">
        <f t="shared" si="0"/>
        <v>14166911.141700404</v>
      </c>
    </row>
    <row r="39" spans="1:5">
      <c r="A39" s="238" t="s">
        <v>34</v>
      </c>
      <c r="B39" s="241">
        <f>'Datos Mun'!AA38</f>
        <v>3175363.8332095044</v>
      </c>
      <c r="C39" s="236">
        <f>IF('Datos Mun'!B38="AMM",Descentralizados!$B$62*'Datos Mun'!AP38,Descentralizados!$B$63*'Datos Mun'!AP38)</f>
        <v>2945985.7494730898</v>
      </c>
      <c r="D39" s="236" t="str">
        <f>IF('Datos Mun'!C38="No AMM",IF(Descentralizados!C39-Descentralizados!B39&lt;0,"SI","NO"),0)</f>
        <v>SI</v>
      </c>
      <c r="E39" s="247">
        <f t="shared" si="0"/>
        <v>3175363.8332095044</v>
      </c>
    </row>
    <row r="40" spans="1:5">
      <c r="A40" s="238" t="s">
        <v>35</v>
      </c>
      <c r="B40" s="241">
        <f>'Datos Mun'!AA39</f>
        <v>3099472.9188778722</v>
      </c>
      <c r="C40" s="236">
        <f>IF('Datos Mun'!B39="AMM",Descentralizados!$B$62*'Datos Mun'!AP39,Descentralizados!$B$63*'Datos Mun'!AP39)</f>
        <v>2763892.2557475227</v>
      </c>
      <c r="D40" s="236" t="str">
        <f>IF('Datos Mun'!C39="No AMM",IF(Descentralizados!C40-Descentralizados!B40&lt;0,"SI","NO"),0)</f>
        <v>SI</v>
      </c>
      <c r="E40" s="247">
        <f t="shared" si="0"/>
        <v>3099472.9188778722</v>
      </c>
    </row>
    <row r="41" spans="1:5">
      <c r="A41" s="238" t="s">
        <v>36</v>
      </c>
      <c r="B41" s="241">
        <f>'Datos Mun'!AA40</f>
        <v>3016799.7840141212</v>
      </c>
      <c r="C41" s="236">
        <f>IF('Datos Mun'!B40="AMM",Descentralizados!$B$62*'Datos Mun'!AP40,Descentralizados!$B$63*'Datos Mun'!AP40)</f>
        <v>2766806.9611314461</v>
      </c>
      <c r="D41" s="236" t="str">
        <f>IF('Datos Mun'!C40="No AMM",IF(Descentralizados!C41-Descentralizados!B41&lt;0,"SI","NO"),0)</f>
        <v>SI</v>
      </c>
      <c r="E41" s="247">
        <f t="shared" si="0"/>
        <v>3016799.7840141212</v>
      </c>
    </row>
    <row r="42" spans="1:5">
      <c r="A42" s="238" t="s">
        <v>37</v>
      </c>
      <c r="B42" s="241">
        <f>'Datos Mun'!AA41</f>
        <v>3822980.5102342181</v>
      </c>
      <c r="C42" s="236">
        <f>IF('Datos Mun'!B41="AMM",Descentralizados!$B$62*'Datos Mun'!AP41,Descentralizados!$B$63*'Datos Mun'!AP41)</f>
        <v>3525334.9279743498</v>
      </c>
      <c r="D42" s="236" t="str">
        <f>IF('Datos Mun'!C41="No AMM",IF(Descentralizados!C42-Descentralizados!B42&lt;0,"SI","NO"),0)</f>
        <v>SI</v>
      </c>
      <c r="E42" s="247">
        <f t="shared" si="0"/>
        <v>3822980.5102342181</v>
      </c>
    </row>
    <row r="43" spans="1:5">
      <c r="A43" s="238" t="s">
        <v>38</v>
      </c>
      <c r="B43" s="241">
        <f>'Datos Mun'!AA42</f>
        <v>17905596.972663175</v>
      </c>
      <c r="C43" s="236">
        <f>IF('Datos Mun'!B42="AMM",Descentralizados!$B$62*'Datos Mun'!AP42,Descentralizados!$B$63*'Datos Mun'!AP42)</f>
        <v>8612315.9945322983</v>
      </c>
      <c r="D43" s="236" t="str">
        <f>IF('Datos Mun'!C42="No AMM",IF(Descentralizados!C43-Descentralizados!B43&lt;0,"SI","NO"),0)</f>
        <v>SI</v>
      </c>
      <c r="E43" s="247">
        <f t="shared" si="0"/>
        <v>17905596.972663175</v>
      </c>
    </row>
    <row r="44" spans="1:5">
      <c r="A44" s="238" t="s">
        <v>39</v>
      </c>
      <c r="B44" s="241">
        <f>'Datos Mun'!AA43</f>
        <v>78893922.891016111</v>
      </c>
      <c r="C44" s="236">
        <f>IF('Datos Mun'!B43="AMM",Descentralizados!$B$62*'Datos Mun'!AP43,Descentralizados!$B$63*'Datos Mun'!AP43)</f>
        <v>71665047.111300275</v>
      </c>
      <c r="D44" s="236">
        <f>IF('Datos Mun'!C43="No AMM",IF(Descentralizados!C44-Descentralizados!B44&lt;0,"SI","NO"),0)</f>
        <v>0</v>
      </c>
      <c r="E44" s="247">
        <f t="shared" si="0"/>
        <v>71665047.111300275</v>
      </c>
    </row>
    <row r="45" spans="1:5">
      <c r="A45" s="239" t="s">
        <v>40</v>
      </c>
      <c r="B45" s="242">
        <f>'Datos Mun'!AA44</f>
        <v>3555590.9659964349</v>
      </c>
      <c r="C45" s="236">
        <f>IF('Datos Mun'!B44="AMM",Descentralizados!$B$62*'Datos Mun'!AP44,Descentralizados!$B$63*'Datos Mun'!AP44)</f>
        <v>742740.32538380893</v>
      </c>
      <c r="D45" s="236" t="str">
        <f>IF('Datos Mun'!C44="No AMM",IF(Descentralizados!C45-Descentralizados!B45&lt;0,"SI","NO"),0)</f>
        <v>SI</v>
      </c>
      <c r="E45" s="247">
        <f t="shared" si="0"/>
        <v>3555590.9659964349</v>
      </c>
    </row>
    <row r="46" spans="1:5">
      <c r="A46" s="239" t="s">
        <v>41</v>
      </c>
      <c r="B46" s="242">
        <f>'Datos Mun'!AA45</f>
        <v>5273138.6605691193</v>
      </c>
      <c r="C46" s="236">
        <f>IF('Datos Mun'!B45="AMM",Descentralizados!$B$62*'Datos Mun'!AP45,Descentralizados!$B$63*'Datos Mun'!AP45)</f>
        <v>6072960.5337706488</v>
      </c>
      <c r="D46" s="236" t="str">
        <f>IF('Datos Mun'!C45="No AMM",IF(Descentralizados!C46-Descentralizados!B46&lt;0,"SI","NO"),0)</f>
        <v>NO</v>
      </c>
      <c r="E46" s="247">
        <f t="shared" si="0"/>
        <v>6072960.5337706488</v>
      </c>
    </row>
    <row r="47" spans="1:5">
      <c r="A47" s="239" t="s">
        <v>42</v>
      </c>
      <c r="B47" s="242">
        <f>'Datos Mun'!AA46</f>
        <v>2047968.1782241778</v>
      </c>
      <c r="C47" s="236">
        <f>IF('Datos Mun'!B46="AMM",Descentralizados!$B$62*'Datos Mun'!AP46,Descentralizados!$B$63*'Datos Mun'!AP46)</f>
        <v>1401685.7363557282</v>
      </c>
      <c r="D47" s="236" t="str">
        <f>IF('Datos Mun'!C46="No AMM",IF(Descentralizados!C47-Descentralizados!B47&lt;0,"SI","NO"),0)</f>
        <v>SI</v>
      </c>
      <c r="E47" s="247">
        <f t="shared" si="0"/>
        <v>2047968.1782241778</v>
      </c>
    </row>
    <row r="48" spans="1:5">
      <c r="A48" s="239" t="s">
        <v>43</v>
      </c>
      <c r="B48" s="242">
        <f>'Datos Mun'!AA47</f>
        <v>2582856.5578415147</v>
      </c>
      <c r="C48" s="236">
        <f>IF('Datos Mun'!B47="AMM",Descentralizados!$B$62*'Datos Mun'!AP47,Descentralizados!$B$63*'Datos Mun'!AP47)</f>
        <v>2357156.5238756808</v>
      </c>
      <c r="D48" s="236" t="str">
        <f>IF('Datos Mun'!C47="No AMM",IF(Descentralizados!C48-Descentralizados!B48&lt;0,"SI","NO"),0)</f>
        <v>SI</v>
      </c>
      <c r="E48" s="247">
        <f t="shared" si="0"/>
        <v>2582856.5578415147</v>
      </c>
    </row>
    <row r="49" spans="1:8">
      <c r="A49" s="239" t="s">
        <v>44</v>
      </c>
      <c r="B49" s="242">
        <f>'Datos Mun'!AA48</f>
        <v>4652120.7671424625</v>
      </c>
      <c r="C49" s="236">
        <f>IF('Datos Mun'!B48="AMM",Descentralizados!$B$62*'Datos Mun'!AP48,Descentralizados!$B$63*'Datos Mun'!AP48)</f>
        <v>4395550.129485066</v>
      </c>
      <c r="D49" s="236" t="str">
        <f>IF('Datos Mun'!C48="No AMM",IF(Descentralizados!C49-Descentralizados!B49&lt;0,"SI","NO"),0)</f>
        <v>SI</v>
      </c>
      <c r="E49" s="247">
        <f t="shared" si="0"/>
        <v>4652120.7671424625</v>
      </c>
    </row>
    <row r="50" spans="1:8">
      <c r="A50" s="239" t="s">
        <v>45</v>
      </c>
      <c r="B50" s="242">
        <f>'Datos Mun'!AA49</f>
        <v>2336031.8166838326</v>
      </c>
      <c r="C50" s="236">
        <f>IF('Datos Mun'!B49="AMM",Descentralizados!$B$62*'Datos Mun'!AP49,Descentralizados!$B$63*'Datos Mun'!AP49)</f>
        <v>2477226.935674204</v>
      </c>
      <c r="D50" s="236" t="str">
        <f>IF('Datos Mun'!C49="No AMM",IF(Descentralizados!C50-Descentralizados!B50&lt;0,"SI","NO"),0)</f>
        <v>NO</v>
      </c>
      <c r="E50" s="247">
        <f t="shared" si="0"/>
        <v>2477226.935674204</v>
      </c>
      <c r="G50" s="209"/>
      <c r="H50" s="209"/>
    </row>
    <row r="51" spans="1:8">
      <c r="A51" s="239" t="s">
        <v>46</v>
      </c>
      <c r="B51" s="242">
        <f>'Datos Mun'!AA50</f>
        <v>19632444.547531538</v>
      </c>
      <c r="C51" s="236">
        <f>IF('Datos Mun'!B50="AMM",Descentralizados!$B$62*'Datos Mun'!AP50,Descentralizados!$B$63*'Datos Mun'!AP50)</f>
        <v>17389575.258003306</v>
      </c>
      <c r="D51" s="236">
        <f>IF('Datos Mun'!C50="No AMM",IF(Descentralizados!C51-Descentralizados!B51&lt;0,"SI","NO"),0)</f>
        <v>0</v>
      </c>
      <c r="E51" s="247">
        <f t="shared" si="0"/>
        <v>17389575.258003306</v>
      </c>
    </row>
    <row r="52" spans="1:8">
      <c r="A52" s="239" t="s">
        <v>47</v>
      </c>
      <c r="B52" s="242">
        <f>'Datos Mun'!AA51</f>
        <v>42764449.302244864</v>
      </c>
      <c r="C52" s="236">
        <f>IF('Datos Mun'!B51="AMM",Descentralizados!$B$62*'Datos Mun'!AP51,Descentralizados!$B$63*'Datos Mun'!AP51)</f>
        <v>39655340.713877022</v>
      </c>
      <c r="D52" s="236">
        <f>IF('Datos Mun'!C51="No AMM",IF(Descentralizados!C52-Descentralizados!B52&lt;0,"SI","NO"),0)</f>
        <v>0</v>
      </c>
      <c r="E52" s="247">
        <f t="shared" si="0"/>
        <v>39655340.713877022</v>
      </c>
    </row>
    <row r="53" spans="1:8">
      <c r="A53" s="239" t="s">
        <v>48</v>
      </c>
      <c r="B53" s="242">
        <f>'Datos Mun'!AA52</f>
        <v>10475655.416298293</v>
      </c>
      <c r="C53" s="236">
        <f>IF('Datos Mun'!B52="AMM",Descentralizados!$B$62*'Datos Mun'!AP52,Descentralizados!$B$63*'Datos Mun'!AP52)</f>
        <v>9793287.6015019976</v>
      </c>
      <c r="D53" s="236">
        <f>IF('Datos Mun'!C52="No AMM",IF(Descentralizados!C53-Descentralizados!B53&lt;0,"SI","NO"),0)</f>
        <v>0</v>
      </c>
      <c r="E53" s="247">
        <f t="shared" si="0"/>
        <v>9793287.6015019976</v>
      </c>
    </row>
    <row r="54" spans="1:8">
      <c r="A54" s="239" t="s">
        <v>49</v>
      </c>
      <c r="B54" s="242">
        <f>'Datos Mun'!AA53</f>
        <v>4180345.0020391755</v>
      </c>
      <c r="C54" s="236">
        <f>IF('Datos Mun'!B53="AMM",Descentralizados!$B$62*'Datos Mun'!AP53,Descentralizados!$B$63*'Datos Mun'!AP53)</f>
        <v>4276513.022466246</v>
      </c>
      <c r="D54" s="236" t="str">
        <f>IF('Datos Mun'!C53="No AMM",IF(Descentralizados!C54-Descentralizados!B54&lt;0,"SI","NO"),0)</f>
        <v>NO</v>
      </c>
      <c r="E54" s="247">
        <f t="shared" si="0"/>
        <v>4276513.022466246</v>
      </c>
    </row>
    <row r="55" spans="1:8">
      <c r="A55" s="239" t="s">
        <v>50</v>
      </c>
      <c r="B55" s="242">
        <f>'Datos Mun'!AA54</f>
        <v>1539148.4831484745</v>
      </c>
      <c r="C55" s="236">
        <f>IF('Datos Mun'!B54="AMM",Descentralizados!$B$62*'Datos Mun'!AP54,Descentralizados!$B$63*'Datos Mun'!AP54)</f>
        <v>1274755.9940795992</v>
      </c>
      <c r="D55" s="236" t="str">
        <f>IF('Datos Mun'!C54="No AMM",IF(Descentralizados!C55-Descentralizados!B55&lt;0,"SI","NO"),0)</f>
        <v>SI</v>
      </c>
      <c r="E55" s="247">
        <f t="shared" si="0"/>
        <v>1539148.4831484745</v>
      </c>
    </row>
    <row r="56" spans="1:8">
      <c r="A56" s="239" t="s">
        <v>51</v>
      </c>
      <c r="B56" s="243">
        <f>'Datos Mun'!AA55</f>
        <v>3547664.3080507987</v>
      </c>
      <c r="C56" s="236">
        <f>IF('Datos Mun'!B55="AMM",Descentralizados!$B$62*'Datos Mun'!AP55,Descentralizados!$B$63*'Datos Mun'!AP55)</f>
        <v>870985.9678942702</v>
      </c>
      <c r="D56" s="236" t="str">
        <f>IF('Datos Mun'!C55="No AMM",IF(Descentralizados!C56-Descentralizados!B56&lt;0,"SI","NO"),0)</f>
        <v>SI</v>
      </c>
      <c r="E56" s="247">
        <f t="shared" si="0"/>
        <v>3547664.3080507987</v>
      </c>
    </row>
    <row r="57" spans="1:8" ht="13.5" thickBot="1">
      <c r="A57" s="208" t="s">
        <v>52</v>
      </c>
      <c r="B57" s="244">
        <f>SUM(B6:B56)</f>
        <v>423610039.11140221</v>
      </c>
      <c r="C57" s="248">
        <f>SUM(C6:C56)</f>
        <v>367143656.99999982</v>
      </c>
      <c r="D57" s="249"/>
      <c r="E57" s="250">
        <f>SUM(E6:E56)</f>
        <v>411282537.65153837</v>
      </c>
      <c r="F57" s="289">
        <f>E57/12</f>
        <v>34273544.804294862</v>
      </c>
    </row>
    <row r="58" spans="1:8" ht="13.5" thickBot="1"/>
    <row r="59" spans="1:8" ht="13.5" thickBot="1">
      <c r="A59" s="209"/>
      <c r="B59" s="213" t="s">
        <v>107</v>
      </c>
    </row>
    <row r="60" spans="1:8">
      <c r="A60" s="315" t="s">
        <v>168</v>
      </c>
      <c r="B60" s="317">
        <f>'Participación 2021'!B45:C45</f>
        <v>367143657</v>
      </c>
    </row>
    <row r="61" spans="1:8">
      <c r="A61" s="316"/>
      <c r="B61" s="318"/>
    </row>
    <row r="62" spans="1:8">
      <c r="A62" s="211" t="s">
        <v>174</v>
      </c>
      <c r="B62" s="219">
        <f>B60*0.6</f>
        <v>220286194.19999999</v>
      </c>
    </row>
    <row r="63" spans="1:8">
      <c r="A63" s="211" t="s">
        <v>175</v>
      </c>
      <c r="B63" s="219">
        <f>B60*0.4</f>
        <v>146857462.80000001</v>
      </c>
    </row>
    <row r="64" spans="1:8" ht="13.5" thickBot="1">
      <c r="A64" s="212" t="s">
        <v>176</v>
      </c>
      <c r="B64" s="220">
        <f>E57-B60</f>
        <v>44138880.651538372</v>
      </c>
    </row>
  </sheetData>
  <mergeCells count="5">
    <mergeCell ref="A60:A61"/>
    <mergeCell ref="B60:B61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24" sqref="A1:E24"/>
    </sheetView>
  </sheetViews>
  <sheetFormatPr baseColWidth="10" defaultColWidth="11.42578125" defaultRowHeight="12.75"/>
  <cols>
    <col min="1" max="1" width="24.85546875" style="13" customWidth="1"/>
    <col min="2" max="2" width="15.7109375" style="13" customWidth="1"/>
    <col min="3" max="3" width="19.5703125" style="13" bestFit="1" customWidth="1"/>
    <col min="4" max="4" width="25.140625" style="13" customWidth="1"/>
    <col min="5" max="5" width="19.5703125" style="13" bestFit="1" customWidth="1"/>
    <col min="6" max="16384" width="11.42578125" style="13"/>
  </cols>
  <sheetData>
    <row r="1" spans="1:8">
      <c r="A1" s="319" t="s">
        <v>105</v>
      </c>
      <c r="B1" s="319"/>
      <c r="C1" s="319"/>
      <c r="D1" s="319"/>
      <c r="E1" s="319"/>
    </row>
    <row r="2" spans="1:8">
      <c r="A2" s="319" t="s">
        <v>106</v>
      </c>
      <c r="B2" s="319"/>
      <c r="C2" s="319"/>
      <c r="D2" s="319"/>
      <c r="E2" s="319"/>
    </row>
    <row r="3" spans="1:8">
      <c r="A3" s="320" t="s">
        <v>194</v>
      </c>
      <c r="B3" s="320"/>
      <c r="C3" s="320"/>
      <c r="D3" s="320"/>
      <c r="E3" s="320"/>
    </row>
    <row r="4" spans="1:8" ht="13.5" thickBot="1"/>
    <row r="5" spans="1:8" ht="25.5">
      <c r="A5" s="206" t="s">
        <v>0</v>
      </c>
      <c r="B5" s="216" t="s">
        <v>181</v>
      </c>
      <c r="C5" s="214" t="s">
        <v>182</v>
      </c>
      <c r="D5" s="217" t="s">
        <v>167</v>
      </c>
      <c r="E5" s="215"/>
    </row>
    <row r="6" spans="1:8">
      <c r="A6" s="207" t="s">
        <v>6</v>
      </c>
      <c r="B6" s="251">
        <f>$B$23</f>
        <v>457125.04464705585</v>
      </c>
      <c r="C6" s="252">
        <f>$B$24*VLOOKUP(A6,'Datos Mun'!$A$5:$AQ$55,41)</f>
        <v>761041.35876160138</v>
      </c>
      <c r="D6" s="253">
        <f>$B$25*VLOOKUP(A6,'Datos Mun'!$A$5:$AQ$55,43)</f>
        <v>896705.25773375004</v>
      </c>
      <c r="E6" s="221">
        <f>SUM(B6:D6)</f>
        <v>2114871.6611424075</v>
      </c>
    </row>
    <row r="7" spans="1:8">
      <c r="A7" s="207" t="s">
        <v>9</v>
      </c>
      <c r="B7" s="254">
        <f t="shared" ref="B7:B17" si="0">$B$23</f>
        <v>457125.04464705585</v>
      </c>
      <c r="C7" s="255">
        <f>$B$24*VLOOKUP(A7,'Datos Mun'!$A$5:$AQ$55,41)</f>
        <v>141825.77674757189</v>
      </c>
      <c r="D7" s="256">
        <f>$B$25*VLOOKUP(A7,'Datos Mun'!$A$5:$AQ$55,43)</f>
        <v>160229.01204589198</v>
      </c>
      <c r="E7" s="222">
        <f t="shared" ref="E7:E17" si="1">SUM(B7:D7)</f>
        <v>759179.83344051964</v>
      </c>
    </row>
    <row r="8" spans="1:8">
      <c r="A8" s="207" t="s">
        <v>10</v>
      </c>
      <c r="B8" s="254">
        <f t="shared" si="0"/>
        <v>457125.04464705585</v>
      </c>
      <c r="C8" s="255">
        <f>$B$24*VLOOKUP(A8,'Datos Mun'!$A$5:$AQ$55,41)</f>
        <v>121121.76612989377</v>
      </c>
      <c r="D8" s="256">
        <f>$B$25*VLOOKUP(A8,'Datos Mun'!$A$5:$AQ$55,43)</f>
        <v>67477.569161101172</v>
      </c>
      <c r="E8" s="222">
        <f t="shared" si="1"/>
        <v>645724.37993805076</v>
      </c>
    </row>
    <row r="9" spans="1:8">
      <c r="A9" s="207" t="s">
        <v>13</v>
      </c>
      <c r="B9" s="254">
        <f t="shared" si="0"/>
        <v>457125.04464705585</v>
      </c>
      <c r="C9" s="255">
        <f>$B$24*VLOOKUP(A9,'Datos Mun'!$A$5:$AQ$55,41)</f>
        <v>79698.673942186942</v>
      </c>
      <c r="D9" s="256">
        <f>$B$25*VLOOKUP(A9,'Datos Mun'!$A$5:$AQ$55,43)</f>
        <v>59495.725213497819</v>
      </c>
      <c r="E9" s="222">
        <f t="shared" si="1"/>
        <v>596319.44380274066</v>
      </c>
    </row>
    <row r="10" spans="1:8">
      <c r="A10" s="207" t="s">
        <v>18</v>
      </c>
      <c r="B10" s="254">
        <f t="shared" si="0"/>
        <v>457125.04464705585</v>
      </c>
      <c r="C10" s="255">
        <f>$B$24*VLOOKUP(A10,'Datos Mun'!$A$5:$AQ$55,41)</f>
        <v>460481.35603308317</v>
      </c>
      <c r="D10" s="256">
        <f>$B$25*VLOOKUP(A10,'Datos Mun'!$A$5:$AQ$55,43)</f>
        <v>355608.97116990859</v>
      </c>
      <c r="E10" s="222">
        <f t="shared" si="1"/>
        <v>1273215.3718500475</v>
      </c>
    </row>
    <row r="11" spans="1:8">
      <c r="A11" s="207" t="s">
        <v>20</v>
      </c>
      <c r="B11" s="254">
        <f t="shared" si="0"/>
        <v>457125.04464705585</v>
      </c>
      <c r="C11" s="255">
        <f>$B$24*VLOOKUP(A11,'Datos Mun'!$A$5:$AQ$55,41)</f>
        <v>557872.16873087711</v>
      </c>
      <c r="D11" s="256">
        <f>$B$25*VLOOKUP(A11,'Datos Mun'!$A$5:$AQ$55,43)</f>
        <v>596794.1726434239</v>
      </c>
      <c r="E11" s="222">
        <f t="shared" si="1"/>
        <v>1611791.386021357</v>
      </c>
      <c r="G11" s="209"/>
      <c r="H11" s="209"/>
    </row>
    <row r="12" spans="1:8">
      <c r="A12" s="207" t="s">
        <v>24</v>
      </c>
      <c r="B12" s="254">
        <f t="shared" si="0"/>
        <v>457125.04464705585</v>
      </c>
      <c r="C12" s="255">
        <f>$B$24*VLOOKUP(A12,'Datos Mun'!$A$5:$AQ$55,41)</f>
        <v>118421.74705107794</v>
      </c>
      <c r="D12" s="256">
        <f>$B$25*VLOOKUP(A12,'Datos Mun'!$A$5:$AQ$55,43)</f>
        <v>69148.300447370755</v>
      </c>
      <c r="E12" s="222">
        <f t="shared" si="1"/>
        <v>644695.09214550455</v>
      </c>
    </row>
    <row r="13" spans="1:8">
      <c r="A13" s="207" t="s">
        <v>31</v>
      </c>
      <c r="B13" s="254">
        <f t="shared" si="0"/>
        <v>457125.04464705585</v>
      </c>
      <c r="C13" s="255">
        <f>$B$24*VLOOKUP(A13,'Datos Mun'!$A$5:$AQ$55,41)</f>
        <v>546638.51270952646</v>
      </c>
      <c r="D13" s="256">
        <f>$B$25*VLOOKUP(A13,'Datos Mun'!$A$5:$AQ$55,43)</f>
        <v>412108.02287090215</v>
      </c>
      <c r="E13" s="222">
        <f t="shared" si="1"/>
        <v>1415871.5802274845</v>
      </c>
    </row>
    <row r="14" spans="1:8">
      <c r="A14" s="207" t="s">
        <v>41</v>
      </c>
      <c r="B14" s="254">
        <f t="shared" si="0"/>
        <v>457125.04464705585</v>
      </c>
      <c r="C14" s="255">
        <f>$B$24*VLOOKUP(A14,'Datos Mun'!$A$5:$AQ$55,41)</f>
        <v>171141.09767759184</v>
      </c>
      <c r="D14" s="256">
        <f>$B$25*VLOOKUP(A14,'Datos Mun'!$A$5:$AQ$55,43)</f>
        <v>104824.72003464424</v>
      </c>
      <c r="E14" s="222">
        <f t="shared" si="1"/>
        <v>733090.86235929187</v>
      </c>
    </row>
    <row r="15" spans="1:8">
      <c r="A15" s="207" t="s">
        <v>45</v>
      </c>
      <c r="B15" s="254">
        <f t="shared" si="0"/>
        <v>457125.04464705585</v>
      </c>
      <c r="C15" s="255">
        <f>$B$24*VLOOKUP(A15,'Datos Mun'!$A$5:$AQ$55,41)</f>
        <v>100588.17320418045</v>
      </c>
      <c r="D15" s="256">
        <f>$B$25*VLOOKUP(A15,'Datos Mun'!$A$5:$AQ$55,43)</f>
        <v>111651.84499784878</v>
      </c>
      <c r="E15" s="222">
        <f t="shared" si="1"/>
        <v>669365.06284908508</v>
      </c>
    </row>
    <row r="16" spans="1:8">
      <c r="A16" s="207" t="s">
        <v>48</v>
      </c>
      <c r="B16" s="254">
        <f t="shared" si="0"/>
        <v>457125.04464705585</v>
      </c>
      <c r="C16" s="255">
        <f>$B$24*VLOOKUP(A16,'Datos Mun'!$A$5:$AQ$55,41)</f>
        <v>355120.32814986241</v>
      </c>
      <c r="D16" s="256">
        <f>$B$25*VLOOKUP(A16,'Datos Mun'!$A$5:$AQ$55,43)</f>
        <v>441396.22961295792</v>
      </c>
      <c r="E16" s="222">
        <f t="shared" si="1"/>
        <v>1253641.6024098762</v>
      </c>
    </row>
    <row r="17" spans="1:5">
      <c r="A17" s="207" t="s">
        <v>49</v>
      </c>
      <c r="B17" s="257">
        <f t="shared" si="0"/>
        <v>457125.04464705585</v>
      </c>
      <c r="C17" s="258">
        <f>$B$24*VLOOKUP(A17,'Datos Mun'!$A$5:$AQ$55,41)</f>
        <v>54236.879597819163</v>
      </c>
      <c r="D17" s="259">
        <f>$B$25*VLOOKUP(A17,'Datos Mun'!$A$5:$AQ$55,43)</f>
        <v>192748.01280397494</v>
      </c>
      <c r="E17" s="223">
        <f t="shared" si="1"/>
        <v>704109.93704885</v>
      </c>
    </row>
    <row r="18" spans="1:5" ht="13.5" thickBot="1">
      <c r="A18" s="208" t="s">
        <v>52</v>
      </c>
      <c r="B18" s="260">
        <f>SUM(B6:B17)</f>
        <v>5485500.5357646691</v>
      </c>
      <c r="C18" s="261">
        <f>SUM(C6:C17)</f>
        <v>3468187.8387352717</v>
      </c>
      <c r="D18" s="262">
        <f>SUM(D6:D17)</f>
        <v>3468187.8387352726</v>
      </c>
      <c r="E18" s="224">
        <f>SUM(E6:E17)</f>
        <v>12421876.213235216</v>
      </c>
    </row>
    <row r="19" spans="1:5" ht="13.5" thickBot="1"/>
    <row r="20" spans="1:5" ht="13.5" thickBot="1">
      <c r="A20" s="209"/>
      <c r="B20" s="213" t="s">
        <v>107</v>
      </c>
    </row>
    <row r="21" spans="1:5">
      <c r="A21" s="315" t="s">
        <v>168</v>
      </c>
      <c r="B21" s="317">
        <f>'Participación 2021 Mes'!$B$35</f>
        <v>12421876.213235214</v>
      </c>
    </row>
    <row r="22" spans="1:5">
      <c r="A22" s="316"/>
      <c r="B22" s="318"/>
    </row>
    <row r="23" spans="1:5">
      <c r="A23" s="210" t="s">
        <v>180</v>
      </c>
      <c r="B23" s="218">
        <f>B21*3.68%</f>
        <v>457125.04464705585</v>
      </c>
    </row>
    <row r="24" spans="1:5">
      <c r="A24" s="211" t="s">
        <v>166</v>
      </c>
      <c r="B24" s="219">
        <f>($B$21-$B$18)*0.5</f>
        <v>3468187.8387352726</v>
      </c>
    </row>
    <row r="25" spans="1:5" ht="13.5" thickBot="1">
      <c r="A25" s="212" t="s">
        <v>167</v>
      </c>
      <c r="B25" s="220">
        <f>($B$21-$B$18)*0.5</f>
        <v>3468187.8387352726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E13" sqref="E13"/>
    </sheetView>
  </sheetViews>
  <sheetFormatPr baseColWidth="10" defaultColWidth="9.7109375" defaultRowHeight="12.75"/>
  <cols>
    <col min="1" max="1" width="31" style="22" customWidth="1"/>
    <col min="2" max="2" width="15" style="22" customWidth="1"/>
    <col min="3" max="3" width="16.140625" style="22" customWidth="1"/>
    <col min="4" max="4" width="17.7109375" style="174" bestFit="1" customWidth="1"/>
    <col min="5" max="6" width="9.7109375" style="22"/>
    <col min="7" max="7" width="28.85546875" style="22" customWidth="1"/>
    <col min="8" max="8" width="12.42578125" style="22" customWidth="1"/>
    <col min="9" max="9" width="14.42578125" style="22" customWidth="1"/>
    <col min="10" max="16384" width="9.7109375" style="22"/>
  </cols>
  <sheetData>
    <row r="1" spans="1:7">
      <c r="A1" s="319" t="s">
        <v>105</v>
      </c>
      <c r="B1" s="319"/>
      <c r="C1" s="319"/>
      <c r="D1" s="319"/>
      <c r="E1" s="169"/>
      <c r="F1" s="169"/>
      <c r="G1" s="169"/>
    </row>
    <row r="2" spans="1:7">
      <c r="A2" s="319" t="s">
        <v>106</v>
      </c>
      <c r="B2" s="319"/>
      <c r="C2" s="319"/>
      <c r="D2" s="319"/>
      <c r="E2" s="169"/>
      <c r="F2" s="169"/>
      <c r="G2" s="169"/>
    </row>
    <row r="3" spans="1:7" ht="28.5" customHeight="1">
      <c r="A3" s="320" t="s">
        <v>195</v>
      </c>
      <c r="B3" s="320"/>
      <c r="C3" s="320"/>
      <c r="D3" s="320"/>
      <c r="E3" s="169"/>
      <c r="F3" s="169"/>
      <c r="G3" s="169"/>
    </row>
    <row r="4" spans="1:7">
      <c r="A4" s="322"/>
      <c r="B4" s="322"/>
      <c r="C4" s="322"/>
      <c r="D4" s="322"/>
    </row>
    <row r="5" spans="1:7" ht="26.25">
      <c r="A5" s="73" t="s">
        <v>158</v>
      </c>
      <c r="B5" s="323">
        <f>'Participación 2021'!B30</f>
        <v>439245658.99224001</v>
      </c>
      <c r="C5" s="323"/>
      <c r="D5" s="170"/>
    </row>
    <row r="6" spans="1:7" ht="18.75" thickBot="1">
      <c r="B6" s="321"/>
      <c r="C6" s="321"/>
      <c r="D6" s="171"/>
    </row>
    <row r="7" spans="1:7" ht="26.25" thickBot="1">
      <c r="A7" s="172" t="s">
        <v>0</v>
      </c>
      <c r="B7" s="172" t="s">
        <v>159</v>
      </c>
      <c r="C7" s="172" t="s">
        <v>160</v>
      </c>
      <c r="D7" s="173" t="s">
        <v>161</v>
      </c>
    </row>
    <row r="9" spans="1:7">
      <c r="A9" s="73" t="s">
        <v>149</v>
      </c>
      <c r="B9" s="341">
        <f>'Participación 2021 Mes'!$B$30*0.6</f>
        <v>21117189.562499862</v>
      </c>
    </row>
    <row r="10" spans="1:7">
      <c r="A10" s="73" t="s">
        <v>162</v>
      </c>
      <c r="B10" s="73">
        <f>B9*2.56%</f>
        <v>540600.05279999645</v>
      </c>
    </row>
    <row r="11" spans="1:7">
      <c r="A11" s="73" t="s">
        <v>163</v>
      </c>
      <c r="B11" s="73">
        <f>B9-B25</f>
        <v>14629988.928899907</v>
      </c>
    </row>
    <row r="12" spans="1:7" ht="13.5" thickBot="1"/>
    <row r="13" spans="1:7" ht="13.5" thickTop="1">
      <c r="A13" s="175" t="s">
        <v>6</v>
      </c>
      <c r="B13" s="176">
        <f t="shared" ref="B13:B23" si="0">$B$10</f>
        <v>540600.05279999645</v>
      </c>
      <c r="C13" s="177">
        <f>$B$11*VLOOKUP(A13,'Datos Mun'!$A$5:$AQ$55,42,FALSE)</f>
        <v>1321314.8726748112</v>
      </c>
      <c r="D13" s="178">
        <f>ROUND(B13+C13,2)</f>
        <v>1861914.93</v>
      </c>
      <c r="E13" s="342">
        <f ca="1">$E$13*VLOOKUP(A13,'Datos Mun'!$A$5:$AQ$55,42,FALSE)</f>
        <v>0</v>
      </c>
    </row>
    <row r="14" spans="1:7">
      <c r="A14" s="179" t="s">
        <v>9</v>
      </c>
      <c r="B14" s="180">
        <f t="shared" si="0"/>
        <v>540600.05279999645</v>
      </c>
      <c r="C14" s="181">
        <f>$B$11*VLOOKUP(A14,'Datos Mun'!$A$5:$AQ$55,42,FALSE)</f>
        <v>236100.96497626478</v>
      </c>
      <c r="D14" s="182">
        <f t="shared" ref="D14:D24" si="1">ROUND(B14+C14,2)</f>
        <v>776701.02</v>
      </c>
    </row>
    <row r="15" spans="1:7">
      <c r="A15" s="179" t="s">
        <v>18</v>
      </c>
      <c r="B15" s="180">
        <f t="shared" si="0"/>
        <v>540600.05279999645</v>
      </c>
      <c r="C15" s="181">
        <f>$B$11*VLOOKUP(A15,'Datos Mun'!$A$5:$AQ$55,42,FALSE)</f>
        <v>523997.6217502036</v>
      </c>
      <c r="D15" s="182">
        <f t="shared" si="1"/>
        <v>1064597.67</v>
      </c>
    </row>
    <row r="16" spans="1:7">
      <c r="A16" s="179" t="s">
        <v>20</v>
      </c>
      <c r="B16" s="180">
        <f t="shared" si="0"/>
        <v>540600.05279999645</v>
      </c>
      <c r="C16" s="181">
        <f>$B$11*VLOOKUP(A16,'Datos Mun'!$A$5:$AQ$55,42,FALSE)</f>
        <v>879389.30817951378</v>
      </c>
      <c r="D16" s="182">
        <f t="shared" si="1"/>
        <v>1419989.36</v>
      </c>
    </row>
    <row r="17" spans="1:4">
      <c r="A17" s="179" t="s">
        <v>25</v>
      </c>
      <c r="B17" s="180">
        <f t="shared" si="0"/>
        <v>540600.05279999645</v>
      </c>
      <c r="C17" s="181">
        <f>$B$11*VLOOKUP(A17,'Datos Mun'!$A$5:$AQ$55,42,FALSE)</f>
        <v>1414903.037719412</v>
      </c>
      <c r="D17" s="182">
        <f t="shared" si="1"/>
        <v>1955503.09</v>
      </c>
    </row>
    <row r="18" spans="1:4">
      <c r="A18" s="179" t="s">
        <v>31</v>
      </c>
      <c r="B18" s="180">
        <f t="shared" si="0"/>
        <v>540600.05279999645</v>
      </c>
      <c r="C18" s="181">
        <f>$B$11*VLOOKUP(A18,'Datos Mun'!$A$5:$AQ$55,42,FALSE)</f>
        <v>607250.21412734326</v>
      </c>
      <c r="D18" s="182">
        <f t="shared" si="1"/>
        <v>1147850.27</v>
      </c>
    </row>
    <row r="19" spans="1:4">
      <c r="A19" s="179" t="s">
        <v>39</v>
      </c>
      <c r="B19" s="180">
        <f t="shared" si="0"/>
        <v>540600.05279999645</v>
      </c>
      <c r="C19" s="181">
        <f>$B$11*VLOOKUP(A19,'Datos Mun'!$A$5:$AQ$55,42,FALSE)</f>
        <v>4759530.4355547</v>
      </c>
      <c r="D19" s="182">
        <f t="shared" si="1"/>
        <v>5300130.49</v>
      </c>
    </row>
    <row r="20" spans="1:4">
      <c r="A20" s="179" t="s">
        <v>45</v>
      </c>
      <c r="B20" s="180">
        <f t="shared" si="0"/>
        <v>540600.05279999645</v>
      </c>
      <c r="C20" s="181">
        <f>$B$11*VLOOKUP(A20,'Datos Mun'!$A$5:$AQ$55,42,FALSE)</f>
        <v>164521.44345633371</v>
      </c>
      <c r="D20" s="182">
        <f t="shared" si="1"/>
        <v>705121.5</v>
      </c>
    </row>
    <row r="21" spans="1:4">
      <c r="A21" s="179" t="s">
        <v>46</v>
      </c>
      <c r="B21" s="180">
        <f t="shared" si="0"/>
        <v>540600.05279999645</v>
      </c>
      <c r="C21" s="181">
        <f>$B$11*VLOOKUP(A21,'Datos Mun'!$A$5:$AQ$55,42,FALSE)</f>
        <v>1154903.48556242</v>
      </c>
      <c r="D21" s="182">
        <f t="shared" si="1"/>
        <v>1695503.54</v>
      </c>
    </row>
    <row r="22" spans="1:4">
      <c r="A22" s="179" t="s">
        <v>47</v>
      </c>
      <c r="B22" s="180">
        <f t="shared" si="0"/>
        <v>540600.05279999645</v>
      </c>
      <c r="C22" s="181">
        <f>$B$11*VLOOKUP(A22,'Datos Mun'!$A$5:$AQ$55,42,FALSE)</f>
        <v>2633652.0893771681</v>
      </c>
      <c r="D22" s="182">
        <f t="shared" si="1"/>
        <v>3174252.14</v>
      </c>
    </row>
    <row r="23" spans="1:4">
      <c r="A23" s="179" t="s">
        <v>48</v>
      </c>
      <c r="B23" s="180">
        <f t="shared" si="0"/>
        <v>540600.05279999645</v>
      </c>
      <c r="C23" s="181">
        <f>$B$11*VLOOKUP(A23,'Datos Mun'!$A$5:$AQ$55,42,FALSE)</f>
        <v>650407.02940024261</v>
      </c>
      <c r="D23" s="182">
        <f t="shared" si="1"/>
        <v>1191007.08</v>
      </c>
    </row>
    <row r="24" spans="1:4">
      <c r="A24" s="179" t="s">
        <v>49</v>
      </c>
      <c r="B24" s="180">
        <f>$B$10</f>
        <v>540600.05279999645</v>
      </c>
      <c r="C24" s="181">
        <f>$B$11*VLOOKUP(A24,'Datos Mun'!$A$5:$AQ$55,42,FALSE)</f>
        <v>284018.42612149258</v>
      </c>
      <c r="D24" s="182">
        <f t="shared" si="1"/>
        <v>824618.48</v>
      </c>
    </row>
    <row r="25" spans="1:4" ht="13.5" thickBot="1">
      <c r="A25" s="183" t="s">
        <v>150</v>
      </c>
      <c r="B25" s="184">
        <f>SUM(B13:B24)</f>
        <v>6487200.6335999556</v>
      </c>
      <c r="C25" s="185">
        <f>SUM(C13:C24)</f>
        <v>14629988.928899903</v>
      </c>
      <c r="D25" s="186">
        <f>SUM(D13:D24)</f>
        <v>21117189.570000004</v>
      </c>
    </row>
    <row r="26" spans="1:4" ht="13.5" thickTop="1">
      <c r="A26" s="187"/>
      <c r="B26" s="188"/>
      <c r="C26" s="189"/>
      <c r="D26" s="190"/>
    </row>
    <row r="27" spans="1:4">
      <c r="A27" s="191" t="s">
        <v>151</v>
      </c>
      <c r="B27" s="192">
        <f>'Participación 2021 Mes'!$B$30*0.4</f>
        <v>14078126.374999909</v>
      </c>
      <c r="C27" s="193"/>
      <c r="D27" s="194"/>
    </row>
    <row r="28" spans="1:4">
      <c r="A28" s="191" t="s">
        <v>164</v>
      </c>
      <c r="B28" s="192">
        <f>B27*1.28%</f>
        <v>180200.01759999883</v>
      </c>
      <c r="C28" s="193"/>
      <c r="D28" s="194"/>
    </row>
    <row r="29" spans="1:4">
      <c r="A29" s="191" t="s">
        <v>163</v>
      </c>
      <c r="B29" s="191">
        <f>B27-B70</f>
        <v>7050325.6885999516</v>
      </c>
      <c r="C29" s="193"/>
      <c r="D29" s="194"/>
    </row>
    <row r="30" spans="1:4" ht="13.5" customHeight="1" thickBot="1">
      <c r="A30" s="195"/>
      <c r="B30" s="196"/>
      <c r="C30" s="197"/>
      <c r="D30" s="198"/>
    </row>
    <row r="31" spans="1:4" ht="13.5" thickTop="1">
      <c r="A31" s="175" t="s">
        <v>1</v>
      </c>
      <c r="B31" s="176">
        <f>$B$28</f>
        <v>180200.01759999883</v>
      </c>
      <c r="C31" s="177">
        <f>$B$29*VLOOKUP(A31,'Datos Mun'!$A$5:$AQ$55,42,FALSE)</f>
        <v>15412.210648641139</v>
      </c>
      <c r="D31" s="178">
        <f>ROUND(B31+C31,2)</f>
        <v>195612.23</v>
      </c>
    </row>
    <row r="32" spans="1:4">
      <c r="A32" s="179" t="s">
        <v>2</v>
      </c>
      <c r="B32" s="180">
        <f t="shared" ref="B32:B69" si="2">$B$28</f>
        <v>180200.01759999883</v>
      </c>
      <c r="C32" s="181">
        <f>$B$29*VLOOKUP(A32,'Datos Mun'!$A$5:$AQ$55,42,FALSE)</f>
        <v>86172.219491840471</v>
      </c>
      <c r="D32" s="182">
        <f t="shared" ref="D32:D69" si="3">ROUND(B32+C32,2)</f>
        <v>266372.24</v>
      </c>
    </row>
    <row r="33" spans="1:4">
      <c r="A33" s="179" t="s">
        <v>3</v>
      </c>
      <c r="B33" s="180">
        <f t="shared" si="2"/>
        <v>180200.01759999883</v>
      </c>
      <c r="C33" s="181">
        <f>$B$29*VLOOKUP(A33,'Datos Mun'!$A$5:$AQ$55,42,FALSE)</f>
        <v>92143.231572341843</v>
      </c>
      <c r="D33" s="182">
        <f t="shared" si="3"/>
        <v>272343.25</v>
      </c>
    </row>
    <row r="34" spans="1:4">
      <c r="A34" s="179" t="s">
        <v>4</v>
      </c>
      <c r="B34" s="180">
        <f t="shared" si="2"/>
        <v>180200.01759999883</v>
      </c>
      <c r="C34" s="181">
        <f>$B$29*VLOOKUP(A34,'Datos Mun'!$A$5:$AQ$55,42,FALSE)</f>
        <v>276663.6394087369</v>
      </c>
      <c r="D34" s="182">
        <f t="shared" si="3"/>
        <v>456863.66</v>
      </c>
    </row>
    <row r="35" spans="1:4">
      <c r="A35" s="179" t="s">
        <v>5</v>
      </c>
      <c r="B35" s="180">
        <f t="shared" si="2"/>
        <v>180200.01759999883</v>
      </c>
      <c r="C35" s="181">
        <f>$B$29*VLOOKUP(A35,'Datos Mun'!$A$5:$AQ$55,42,FALSE)</f>
        <v>247674.98507151709</v>
      </c>
      <c r="D35" s="182">
        <f t="shared" si="3"/>
        <v>427875</v>
      </c>
    </row>
    <row r="36" spans="1:4">
      <c r="A36" s="179" t="s">
        <v>7</v>
      </c>
      <c r="B36" s="180">
        <f t="shared" si="2"/>
        <v>180200.01759999883</v>
      </c>
      <c r="C36" s="181">
        <f>$B$29*VLOOKUP(A36,'Datos Mun'!$A$5:$AQ$55,42,FALSE)</f>
        <v>360799.91138242168</v>
      </c>
      <c r="D36" s="182">
        <f t="shared" si="3"/>
        <v>540999.93000000005</v>
      </c>
    </row>
    <row r="37" spans="1:4">
      <c r="A37" s="179" t="s">
        <v>8</v>
      </c>
      <c r="B37" s="180">
        <f t="shared" si="2"/>
        <v>180200.01759999883</v>
      </c>
      <c r="C37" s="181">
        <f>$B$29*VLOOKUP(A37,'Datos Mun'!$A$5:$AQ$55,42,FALSE)</f>
        <v>47929.915690144902</v>
      </c>
      <c r="D37" s="182">
        <f t="shared" si="3"/>
        <v>228129.93</v>
      </c>
    </row>
    <row r="38" spans="1:4">
      <c r="A38" s="179" t="s">
        <v>10</v>
      </c>
      <c r="B38" s="180">
        <f t="shared" si="2"/>
        <v>180200.01759999883</v>
      </c>
      <c r="C38" s="181">
        <f>$B$29*VLOOKUP(A38,'Datos Mun'!$A$5:$AQ$55,42,FALSE)</f>
        <v>187676.25791585943</v>
      </c>
      <c r="D38" s="182">
        <f t="shared" si="3"/>
        <v>367876.28</v>
      </c>
    </row>
    <row r="39" spans="1:4">
      <c r="A39" s="179" t="s">
        <v>11</v>
      </c>
      <c r="B39" s="180">
        <f t="shared" si="2"/>
        <v>180200.01759999883</v>
      </c>
      <c r="C39" s="181">
        <f>$B$29*VLOOKUP(A39,'Datos Mun'!$A$5:$AQ$55,42,FALSE)</f>
        <v>105394.25621153256</v>
      </c>
      <c r="D39" s="182">
        <f t="shared" si="3"/>
        <v>285594.27</v>
      </c>
    </row>
    <row r="40" spans="1:4">
      <c r="A40" s="179" t="s">
        <v>12</v>
      </c>
      <c r="B40" s="180">
        <f t="shared" si="2"/>
        <v>180200.01759999883</v>
      </c>
      <c r="C40" s="181">
        <f>$B$29*VLOOKUP(A40,'Datos Mun'!$A$5:$AQ$55,42,FALSE)</f>
        <v>243355.87650276118</v>
      </c>
      <c r="D40" s="182">
        <f t="shared" si="3"/>
        <v>423555.89</v>
      </c>
    </row>
    <row r="41" spans="1:4">
      <c r="A41" s="179" t="s">
        <v>13</v>
      </c>
      <c r="B41" s="180">
        <f t="shared" si="2"/>
        <v>180200.01759999883</v>
      </c>
      <c r="C41" s="181">
        <f>$B$29*VLOOKUP(A41,'Datos Mun'!$A$5:$AQ$55,42,FALSE)</f>
        <v>165476.24949857194</v>
      </c>
      <c r="D41" s="182">
        <f t="shared" si="3"/>
        <v>345676.27</v>
      </c>
    </row>
    <row r="42" spans="1:4">
      <c r="A42" s="179" t="s">
        <v>14</v>
      </c>
      <c r="B42" s="180">
        <f t="shared" si="2"/>
        <v>180200.01759999883</v>
      </c>
      <c r="C42" s="181">
        <f>$B$29*VLOOKUP(A42,'Datos Mun'!$A$5:$AQ$55,42,FALSE)</f>
        <v>814256.7784089878</v>
      </c>
      <c r="D42" s="182">
        <f t="shared" si="3"/>
        <v>994456.8</v>
      </c>
    </row>
    <row r="43" spans="1:4">
      <c r="A43" s="179" t="s">
        <v>15</v>
      </c>
      <c r="B43" s="180">
        <f t="shared" si="2"/>
        <v>180200.01759999883</v>
      </c>
      <c r="C43" s="181">
        <f>$B$29*VLOOKUP(A43,'Datos Mun'!$A$5:$AQ$55,42,FALSE)</f>
        <v>104009.75939667824</v>
      </c>
      <c r="D43" s="182">
        <f t="shared" si="3"/>
        <v>284209.78000000003</v>
      </c>
    </row>
    <row r="44" spans="1:4">
      <c r="A44" s="179" t="s">
        <v>16</v>
      </c>
      <c r="B44" s="180">
        <f t="shared" si="2"/>
        <v>180200.01759999883</v>
      </c>
      <c r="C44" s="181">
        <f>$B$29*VLOOKUP(A44,'Datos Mun'!$A$5:$AQ$55,42,FALSE)</f>
        <v>40062.832940561122</v>
      </c>
      <c r="D44" s="182">
        <f t="shared" si="3"/>
        <v>220262.85</v>
      </c>
    </row>
    <row r="45" spans="1:4">
      <c r="A45" s="179" t="s">
        <v>17</v>
      </c>
      <c r="B45" s="180">
        <f t="shared" si="2"/>
        <v>180200.01759999883</v>
      </c>
      <c r="C45" s="181">
        <f>$B$29*VLOOKUP(A45,'Datos Mun'!$A$5:$AQ$55,42,FALSE)</f>
        <v>601035.31109825964</v>
      </c>
      <c r="D45" s="182">
        <f t="shared" si="3"/>
        <v>781235.33</v>
      </c>
    </row>
    <row r="46" spans="1:4">
      <c r="A46" s="179" t="s">
        <v>19</v>
      </c>
      <c r="B46" s="180">
        <f t="shared" si="2"/>
        <v>180200.01759999883</v>
      </c>
      <c r="C46" s="181">
        <f>$B$29*VLOOKUP(A46,'Datos Mun'!$A$5:$AQ$55,42,FALSE)</f>
        <v>91954.162643280273</v>
      </c>
      <c r="D46" s="182">
        <f t="shared" si="3"/>
        <v>272154.18</v>
      </c>
    </row>
    <row r="47" spans="1:4">
      <c r="A47" s="179" t="s">
        <v>21</v>
      </c>
      <c r="B47" s="180">
        <f t="shared" si="2"/>
        <v>180200.01759999883</v>
      </c>
      <c r="C47" s="181">
        <f>$B$29*VLOOKUP(A47,'Datos Mun'!$A$5:$AQ$55,42,FALSE)</f>
        <v>221592.26135222998</v>
      </c>
      <c r="D47" s="182">
        <f t="shared" si="3"/>
        <v>401792.28</v>
      </c>
    </row>
    <row r="48" spans="1:4">
      <c r="A48" s="179" t="s">
        <v>22</v>
      </c>
      <c r="B48" s="180">
        <f t="shared" si="2"/>
        <v>180200.01759999883</v>
      </c>
      <c r="C48" s="181">
        <f>$B$29*VLOOKUP(A48,'Datos Mun'!$A$5:$AQ$55,42,FALSE)</f>
        <v>19887.409367868026</v>
      </c>
      <c r="D48" s="182">
        <f t="shared" si="3"/>
        <v>200087.43</v>
      </c>
    </row>
    <row r="49" spans="1:4">
      <c r="A49" s="179" t="s">
        <v>23</v>
      </c>
      <c r="B49" s="180">
        <f t="shared" si="2"/>
        <v>180200.01759999883</v>
      </c>
      <c r="C49" s="181">
        <f>$B$29*VLOOKUP(A49,'Datos Mun'!$A$5:$AQ$55,42,FALSE)</f>
        <v>179627.76037243323</v>
      </c>
      <c r="D49" s="182">
        <f t="shared" si="3"/>
        <v>359827.78</v>
      </c>
    </row>
    <row r="50" spans="1:4">
      <c r="A50" s="179" t="s">
        <v>24</v>
      </c>
      <c r="B50" s="180">
        <f t="shared" si="2"/>
        <v>180200.01759999883</v>
      </c>
      <c r="C50" s="181">
        <f>$B$29*VLOOKUP(A50,'Datos Mun'!$A$5:$AQ$55,42,FALSE)</f>
        <v>192323.0849976326</v>
      </c>
      <c r="D50" s="182">
        <f t="shared" si="3"/>
        <v>372523.1</v>
      </c>
    </row>
    <row r="51" spans="1:4">
      <c r="A51" s="179" t="s">
        <v>26</v>
      </c>
      <c r="B51" s="180">
        <f t="shared" si="2"/>
        <v>180200.01759999883</v>
      </c>
      <c r="C51" s="181">
        <f>$B$29*VLOOKUP(A51,'Datos Mun'!$A$5:$AQ$55,42,FALSE)</f>
        <v>48096.350494812912</v>
      </c>
      <c r="D51" s="182">
        <f t="shared" si="3"/>
        <v>228296.37</v>
      </c>
    </row>
    <row r="52" spans="1:4">
      <c r="A52" s="179" t="s">
        <v>27</v>
      </c>
      <c r="B52" s="180">
        <f t="shared" si="2"/>
        <v>180200.01759999883</v>
      </c>
      <c r="C52" s="181">
        <f>$B$29*VLOOKUP(A52,'Datos Mun'!$A$5:$AQ$55,42,FALSE)</f>
        <v>111820.92097944011</v>
      </c>
      <c r="D52" s="182">
        <f t="shared" si="3"/>
        <v>292020.94</v>
      </c>
    </row>
    <row r="53" spans="1:4">
      <c r="A53" s="179" t="s">
        <v>28</v>
      </c>
      <c r="B53" s="180">
        <f t="shared" si="2"/>
        <v>180200.01759999883</v>
      </c>
      <c r="C53" s="181">
        <f>$B$29*VLOOKUP(A53,'Datos Mun'!$A$5:$AQ$55,42,FALSE)</f>
        <v>72882.877182974553</v>
      </c>
      <c r="D53" s="182">
        <f t="shared" si="3"/>
        <v>253082.89</v>
      </c>
    </row>
    <row r="54" spans="1:4">
      <c r="A54" s="179" t="s">
        <v>29</v>
      </c>
      <c r="B54" s="180">
        <f t="shared" si="2"/>
        <v>180200.01759999883</v>
      </c>
      <c r="C54" s="181">
        <f>$B$29*VLOOKUP(A54,'Datos Mun'!$A$5:$AQ$55,42,FALSE)</f>
        <v>80325.747602886826</v>
      </c>
      <c r="D54" s="182">
        <f t="shared" si="3"/>
        <v>260525.77</v>
      </c>
    </row>
    <row r="55" spans="1:4">
      <c r="A55" s="179" t="s">
        <v>30</v>
      </c>
      <c r="B55" s="180">
        <f t="shared" si="2"/>
        <v>180200.01759999883</v>
      </c>
      <c r="C55" s="181">
        <f>$B$29*VLOOKUP(A55,'Datos Mun'!$A$5:$AQ$55,42,FALSE)</f>
        <v>93526.991010064361</v>
      </c>
      <c r="D55" s="182">
        <f t="shared" si="3"/>
        <v>273727.01</v>
      </c>
    </row>
    <row r="56" spans="1:4">
      <c r="A56" s="179" t="s">
        <v>32</v>
      </c>
      <c r="B56" s="180">
        <f t="shared" si="2"/>
        <v>180200.01759999883</v>
      </c>
      <c r="C56" s="181">
        <f>$B$29*VLOOKUP(A56,'Datos Mun'!$A$5:$AQ$55,42,FALSE)</f>
        <v>154054.58080322261</v>
      </c>
      <c r="D56" s="182">
        <f t="shared" si="3"/>
        <v>334254.59999999998</v>
      </c>
    </row>
    <row r="57" spans="1:4">
      <c r="A57" s="179" t="s">
        <v>33</v>
      </c>
      <c r="B57" s="180">
        <f t="shared" si="2"/>
        <v>180200.01759999883</v>
      </c>
      <c r="C57" s="181">
        <f>$B$29*VLOOKUP(A57,'Datos Mun'!$A$5:$AQ$55,42,FALSE)</f>
        <v>584821.94986043056</v>
      </c>
      <c r="D57" s="182">
        <f t="shared" si="3"/>
        <v>765021.97</v>
      </c>
    </row>
    <row r="58" spans="1:4">
      <c r="A58" s="179" t="s">
        <v>34</v>
      </c>
      <c r="B58" s="180">
        <f t="shared" si="2"/>
        <v>180200.01759999883</v>
      </c>
      <c r="C58" s="181">
        <f>$B$29*VLOOKUP(A58,'Datos Mun'!$A$5:$AQ$55,42,FALSE)</f>
        <v>141430.7357062654</v>
      </c>
      <c r="D58" s="182">
        <f t="shared" si="3"/>
        <v>321630.75</v>
      </c>
    </row>
    <row r="59" spans="1:4">
      <c r="A59" s="179" t="s">
        <v>35</v>
      </c>
      <c r="B59" s="180">
        <f t="shared" si="2"/>
        <v>180200.01759999883</v>
      </c>
      <c r="C59" s="181">
        <f>$B$29*VLOOKUP(A59,'Datos Mun'!$A$5:$AQ$55,42,FALSE)</f>
        <v>132688.8004170206</v>
      </c>
      <c r="D59" s="182">
        <f t="shared" si="3"/>
        <v>312888.82</v>
      </c>
    </row>
    <row r="60" spans="1:4">
      <c r="A60" s="179" t="s">
        <v>36</v>
      </c>
      <c r="B60" s="180">
        <f t="shared" si="2"/>
        <v>180200.01759999883</v>
      </c>
      <c r="C60" s="181">
        <f>$B$29*VLOOKUP(A60,'Datos Mun'!$A$5:$AQ$55,42,FALSE)</f>
        <v>132828.72944651064</v>
      </c>
      <c r="D60" s="182">
        <f t="shared" si="3"/>
        <v>313028.75</v>
      </c>
    </row>
    <row r="61" spans="1:4">
      <c r="A61" s="179" t="s">
        <v>37</v>
      </c>
      <c r="B61" s="180">
        <f t="shared" si="2"/>
        <v>180200.01759999883</v>
      </c>
      <c r="C61" s="181">
        <f>$B$29*VLOOKUP(A61,'Datos Mun'!$A$5:$AQ$55,42,FALSE)</f>
        <v>169244.10193212339</v>
      </c>
      <c r="D61" s="182">
        <f t="shared" si="3"/>
        <v>349444.12</v>
      </c>
    </row>
    <row r="62" spans="1:4">
      <c r="A62" s="179" t="s">
        <v>38</v>
      </c>
      <c r="B62" s="180">
        <f t="shared" si="2"/>
        <v>180200.01759999883</v>
      </c>
      <c r="C62" s="181">
        <f>$B$29*VLOOKUP(A62,'Datos Mun'!$A$5:$AQ$55,42,FALSE)</f>
        <v>413459.63314975164</v>
      </c>
      <c r="D62" s="182">
        <f t="shared" si="3"/>
        <v>593659.65</v>
      </c>
    </row>
    <row r="63" spans="1:4">
      <c r="A63" s="179" t="s">
        <v>40</v>
      </c>
      <c r="B63" s="180">
        <f t="shared" si="2"/>
        <v>180200.01759999883</v>
      </c>
      <c r="C63" s="181">
        <f>$B$29*VLOOKUP(A63,'Datos Mun'!$A$5:$AQ$55,42,FALSE)</f>
        <v>35657.440188409368</v>
      </c>
      <c r="D63" s="182">
        <f t="shared" si="3"/>
        <v>215857.46</v>
      </c>
    </row>
    <row r="64" spans="1:4">
      <c r="A64" s="179" t="s">
        <v>41</v>
      </c>
      <c r="B64" s="180">
        <f t="shared" si="2"/>
        <v>180200.01759999883</v>
      </c>
      <c r="C64" s="181">
        <f>$B$29*VLOOKUP(A64,'Datos Mun'!$A$5:$AQ$55,42,FALSE)</f>
        <v>291550.38389439526</v>
      </c>
      <c r="D64" s="182">
        <f t="shared" si="3"/>
        <v>471750.40000000002</v>
      </c>
    </row>
    <row r="65" spans="1:4">
      <c r="A65" s="179" t="s">
        <v>42</v>
      </c>
      <c r="B65" s="180">
        <f t="shared" si="2"/>
        <v>180200.01759999883</v>
      </c>
      <c r="C65" s="181">
        <f>$B$29*VLOOKUP(A65,'Datos Mun'!$A$5:$AQ$55,42,FALSE)</f>
        <v>67292.058339802184</v>
      </c>
      <c r="D65" s="182">
        <f t="shared" si="3"/>
        <v>247492.08</v>
      </c>
    </row>
    <row r="66" spans="1:4">
      <c r="A66" s="179" t="s">
        <v>43</v>
      </c>
      <c r="B66" s="180">
        <f t="shared" si="2"/>
        <v>180200.01759999883</v>
      </c>
      <c r="C66" s="181">
        <f>$B$29*VLOOKUP(A66,'Datos Mun'!$A$5:$AQ$55,42,FALSE)</f>
        <v>113162.25185616972</v>
      </c>
      <c r="D66" s="182">
        <f t="shared" si="3"/>
        <v>293362.27</v>
      </c>
    </row>
    <row r="67" spans="1:4">
      <c r="A67" s="179" t="s">
        <v>44</v>
      </c>
      <c r="B67" s="180">
        <f t="shared" si="2"/>
        <v>180200.01759999883</v>
      </c>
      <c r="C67" s="181">
        <f>$B$29*VLOOKUP(A67,'Datos Mun'!$A$5:$AQ$55,42,FALSE)</f>
        <v>211021.34956288652</v>
      </c>
      <c r="D67" s="182">
        <f t="shared" si="3"/>
        <v>391221.37</v>
      </c>
    </row>
    <row r="68" spans="1:4">
      <c r="A68" s="179" t="s">
        <v>50</v>
      </c>
      <c r="B68" s="180">
        <f t="shared" si="2"/>
        <v>180200.01759999883</v>
      </c>
      <c r="C68" s="181">
        <f>$B$29*VLOOKUP(A68,'Datos Mun'!$A$5:$AQ$55,42,FALSE)</f>
        <v>61198.421655941645</v>
      </c>
      <c r="D68" s="182">
        <f t="shared" si="3"/>
        <v>241398.44</v>
      </c>
    </row>
    <row r="69" spans="1:4" ht="15.75" customHeight="1">
      <c r="A69" s="179" t="s">
        <v>51</v>
      </c>
      <c r="B69" s="180">
        <f t="shared" si="2"/>
        <v>180200.01759999883</v>
      </c>
      <c r="C69" s="181">
        <f>$B$29*VLOOKUP(A69,'Datos Mun'!$A$5:$AQ$55,42,FALSE)</f>
        <v>41814.250544542738</v>
      </c>
      <c r="D69" s="182">
        <f t="shared" si="3"/>
        <v>222014.27</v>
      </c>
    </row>
    <row r="70" spans="1:4">
      <c r="A70" s="199" t="s">
        <v>150</v>
      </c>
      <c r="B70" s="184">
        <f>SUM(B31:B69)</f>
        <v>7027800.6863999572</v>
      </c>
      <c r="C70" s="185">
        <f>SUM(C31:C69)</f>
        <v>7050325.6885999506</v>
      </c>
      <c r="D70" s="186">
        <f>SUM(D31:D69)</f>
        <v>14078126.41</v>
      </c>
    </row>
    <row r="71" spans="1:4" ht="15.75" thickBot="1">
      <c r="A71" s="200" t="s">
        <v>52</v>
      </c>
      <c r="B71" s="201">
        <f>+B70+B25</f>
        <v>13515001.319999913</v>
      </c>
      <c r="C71" s="202">
        <f>+C70+C25</f>
        <v>21680314.617499854</v>
      </c>
      <c r="D71" s="203">
        <f>+D70+D25</f>
        <v>35195315.980000004</v>
      </c>
    </row>
    <row r="72" spans="1:4" ht="13.5" thickTop="1">
      <c r="C72" s="204"/>
    </row>
    <row r="73" spans="1:4">
      <c r="C73" s="204"/>
    </row>
    <row r="74" spans="1:4">
      <c r="C74" s="204"/>
    </row>
    <row r="75" spans="1:4">
      <c r="C75" s="204"/>
    </row>
    <row r="76" spans="1:4">
      <c r="C76" s="204"/>
    </row>
    <row r="77" spans="1:4">
      <c r="C77" s="204"/>
    </row>
    <row r="78" spans="1:4">
      <c r="C78" s="204"/>
    </row>
    <row r="79" spans="1:4">
      <c r="C79" s="204"/>
    </row>
    <row r="80" spans="1:4">
      <c r="C80" s="204"/>
    </row>
    <row r="81" spans="3:3" s="174" customFormat="1">
      <c r="C81" s="204"/>
    </row>
    <row r="82" spans="3:3" s="174" customFormat="1">
      <c r="C82" s="204"/>
    </row>
    <row r="83" spans="3:3" s="174" customFormat="1">
      <c r="C83" s="204"/>
    </row>
    <row r="84" spans="3:3" s="174" customFormat="1">
      <c r="C84" s="204"/>
    </row>
    <row r="85" spans="3:3" s="174" customFormat="1">
      <c r="C85" s="204"/>
    </row>
    <row r="86" spans="3:3" s="174" customFormat="1">
      <c r="C86" s="204"/>
    </row>
    <row r="87" spans="3:3" s="174" customFormat="1">
      <c r="C87" s="204"/>
    </row>
    <row r="88" spans="3:3" s="174" customFormat="1">
      <c r="C88" s="204"/>
    </row>
    <row r="89" spans="3:3" s="174" customFormat="1">
      <c r="C89" s="204"/>
    </row>
    <row r="90" spans="3:3" s="174" customFormat="1">
      <c r="C90" s="204"/>
    </row>
    <row r="91" spans="3:3" s="174" customFormat="1">
      <c r="C91" s="204"/>
    </row>
    <row r="92" spans="3:3" s="174" customFormat="1">
      <c r="C92" s="204"/>
    </row>
    <row r="93" spans="3:3" s="174" customFormat="1">
      <c r="C93" s="204"/>
    </row>
    <row r="94" spans="3:3" s="174" customFormat="1">
      <c r="C94" s="204"/>
    </row>
    <row r="95" spans="3:3" s="174" customFormat="1">
      <c r="C95" s="204"/>
    </row>
    <row r="96" spans="3:3" s="174" customFormat="1">
      <c r="C96" s="204"/>
    </row>
    <row r="97" spans="3:3" s="174" customFormat="1">
      <c r="C97" s="204"/>
    </row>
    <row r="98" spans="3:3" s="174" customFormat="1">
      <c r="C98" s="204"/>
    </row>
    <row r="99" spans="3:3" s="174" customFormat="1">
      <c r="C99" s="204"/>
    </row>
    <row r="100" spans="3:3" s="174" customFormat="1">
      <c r="C100" s="204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zoomScaleNormal="100" workbookViewId="0">
      <selection activeCell="D9" sqref="D9:E9"/>
    </sheetView>
  </sheetViews>
  <sheetFormatPr baseColWidth="10" defaultColWidth="9.7109375" defaultRowHeight="12.75"/>
  <cols>
    <col min="1" max="1" width="29.42578125" style="131" customWidth="1"/>
    <col min="2" max="3" width="17" style="131" customWidth="1"/>
    <col min="4" max="4" width="13.140625" style="131" customWidth="1"/>
    <col min="5" max="5" width="12.5703125" style="131" customWidth="1"/>
    <col min="6" max="6" width="17" style="137" customWidth="1"/>
    <col min="7" max="8" width="9.7109375" style="131"/>
    <col min="9" max="9" width="11.140625" style="131" bestFit="1" customWidth="1"/>
    <col min="10" max="10" width="9.7109375" style="131"/>
    <col min="11" max="11" width="10.140625" style="131" bestFit="1" customWidth="1"/>
    <col min="12" max="16384" width="9.7109375" style="131"/>
  </cols>
  <sheetData>
    <row r="1" spans="1:11">
      <c r="A1" s="326" t="s">
        <v>106</v>
      </c>
      <c r="B1" s="326"/>
      <c r="C1" s="326"/>
      <c r="D1" s="326"/>
      <c r="E1" s="326"/>
      <c r="F1" s="326"/>
    </row>
    <row r="2" spans="1:11" ht="37.5" customHeight="1">
      <c r="A2" s="327" t="s">
        <v>196</v>
      </c>
      <c r="B2" s="327"/>
      <c r="C2" s="327"/>
      <c r="D2" s="327"/>
      <c r="E2" s="327"/>
      <c r="F2" s="327"/>
    </row>
    <row r="3" spans="1:11" ht="26.25" customHeight="1">
      <c r="A3" s="132" t="s">
        <v>138</v>
      </c>
      <c r="B3" s="328" t="s">
        <v>139</v>
      </c>
      <c r="C3" s="328"/>
      <c r="D3" s="328" t="s">
        <v>140</v>
      </c>
      <c r="E3" s="328"/>
      <c r="F3" s="133" t="s">
        <v>53</v>
      </c>
    </row>
    <row r="4" spans="1:11">
      <c r="A4" s="134" t="s">
        <v>141</v>
      </c>
      <c r="B4" s="329">
        <f>'Participación 2021 Mes'!$B$19</f>
        <v>42326393.022875547</v>
      </c>
      <c r="C4" s="329"/>
      <c r="D4" s="330">
        <f>'Participación 2021 Mes'!$C$19</f>
        <v>14150393.25</v>
      </c>
      <c r="E4" s="330"/>
      <c r="F4" s="135">
        <f>SUM(B4:E4)</f>
        <v>56476786.272875547</v>
      </c>
    </row>
    <row r="5" spans="1:11">
      <c r="A5" s="136" t="s">
        <v>142</v>
      </c>
      <c r="B5" s="324">
        <f>3000000/12</f>
        <v>250000</v>
      </c>
      <c r="C5" s="324"/>
      <c r="D5" s="325">
        <f>1000000/12</f>
        <v>83333.333333333328</v>
      </c>
      <c r="E5" s="324"/>
    </row>
    <row r="6" spans="1:11">
      <c r="A6" s="138" t="s">
        <v>143</v>
      </c>
      <c r="B6" s="324">
        <f>B5*51</f>
        <v>12750000</v>
      </c>
      <c r="C6" s="324"/>
      <c r="D6" s="324">
        <f>D5*51</f>
        <v>4250000</v>
      </c>
      <c r="E6" s="324"/>
    </row>
    <row r="7" spans="1:11">
      <c r="A7" s="138" t="s">
        <v>144</v>
      </c>
      <c r="B7" s="324">
        <f>B4-B6</f>
        <v>29576393.022875547</v>
      </c>
      <c r="C7" s="324"/>
      <c r="D7" s="324">
        <f>D4-D6</f>
        <v>9900393.25</v>
      </c>
      <c r="E7" s="324"/>
    </row>
    <row r="8" spans="1:11">
      <c r="A8" s="136" t="s">
        <v>145</v>
      </c>
      <c r="B8" s="324">
        <f>B7*0.6</f>
        <v>17745835.813725326</v>
      </c>
      <c r="C8" s="324"/>
      <c r="D8" s="324">
        <f>D7*0.6</f>
        <v>5940235.9500000002</v>
      </c>
      <c r="E8" s="324"/>
    </row>
    <row r="9" spans="1:11">
      <c r="A9" s="136" t="s">
        <v>146</v>
      </c>
      <c r="B9" s="324">
        <f>B7*0.4</f>
        <v>11830557.209150219</v>
      </c>
      <c r="C9" s="324"/>
      <c r="D9" s="324">
        <f>D7*0.4</f>
        <v>3960157.3000000003</v>
      </c>
      <c r="E9" s="324"/>
      <c r="I9" s="139" t="s">
        <v>117</v>
      </c>
      <c r="J9" s="139" t="s">
        <v>117</v>
      </c>
      <c r="K9" s="139" t="s">
        <v>117</v>
      </c>
    </row>
    <row r="10" spans="1:11" ht="13.5" thickBot="1">
      <c r="A10" s="140"/>
      <c r="B10" s="140"/>
      <c r="C10" s="140"/>
      <c r="D10" s="140"/>
      <c r="E10" s="140"/>
      <c r="I10" s="139" t="s">
        <v>117</v>
      </c>
      <c r="J10" s="139" t="s">
        <v>117</v>
      </c>
      <c r="K10" s="139" t="s">
        <v>117</v>
      </c>
    </row>
    <row r="11" spans="1:11" ht="58.5" customHeight="1" thickBot="1">
      <c r="A11" s="141" t="s">
        <v>0</v>
      </c>
      <c r="B11" s="141" t="s">
        <v>147</v>
      </c>
      <c r="C11" s="141" t="s">
        <v>148</v>
      </c>
      <c r="D11" s="141" t="s">
        <v>147</v>
      </c>
      <c r="E11" s="141" t="s">
        <v>148</v>
      </c>
      <c r="F11" s="142" t="s">
        <v>156</v>
      </c>
    </row>
    <row r="13" spans="1:11" ht="13.5" thickBot="1">
      <c r="A13" s="143" t="s">
        <v>149</v>
      </c>
      <c r="B13" s="143"/>
      <c r="D13" s="143"/>
    </row>
    <row r="14" spans="1:11">
      <c r="A14" s="144" t="s">
        <v>6</v>
      </c>
      <c r="B14" s="145">
        <f>$B$5</f>
        <v>250000</v>
      </c>
      <c r="C14" s="146">
        <f>$B$8*VLOOKUP(A14,'Datos Mun'!$A$5:$AQ$55,37,FALSE)</f>
        <v>2377876.994133309</v>
      </c>
      <c r="D14" s="145">
        <f>$D$5</f>
        <v>83333.333333333328</v>
      </c>
      <c r="E14" s="146">
        <f>$D$8*VLOOKUP(A14,'Datos Mun'!$A$5:$AQ$55,37,FALSE)</f>
        <v>795969.8575765969</v>
      </c>
      <c r="F14" s="225">
        <f>SUM(B14:E14)</f>
        <v>3507180.1850432395</v>
      </c>
    </row>
    <row r="15" spans="1:11">
      <c r="A15" s="147" t="s">
        <v>9</v>
      </c>
      <c r="B15" s="148">
        <f t="shared" ref="B15:B25" si="0">$B$5</f>
        <v>250000</v>
      </c>
      <c r="C15" s="149">
        <f>$B$8*VLOOKUP(A15,'Datos Mun'!$A$5:$AQ$55,37,FALSE)</f>
        <v>443135.24859137228</v>
      </c>
      <c r="D15" s="148">
        <f t="shared" ref="D15:D25" si="1">$D$5</f>
        <v>83333.333333333328</v>
      </c>
      <c r="E15" s="149">
        <f>$D$8*VLOOKUP(A15,'Datos Mun'!$A$5:$AQ$55,37,FALSE)</f>
        <v>148334.96500394255</v>
      </c>
      <c r="F15" s="226">
        <f t="shared" ref="F15:F25" si="2">SUM(B15:E15)</f>
        <v>924803.54692864814</v>
      </c>
    </row>
    <row r="16" spans="1:11">
      <c r="A16" s="147" t="s">
        <v>18</v>
      </c>
      <c r="B16" s="148">
        <f t="shared" si="0"/>
        <v>250000</v>
      </c>
      <c r="C16" s="149">
        <f>$B$8*VLOOKUP(A16,'Datos Mun'!$A$5:$AQ$55,37,FALSE)</f>
        <v>1438775.974698873</v>
      </c>
      <c r="D16" s="148">
        <f t="shared" si="1"/>
        <v>83333.333333333328</v>
      </c>
      <c r="E16" s="149">
        <f>$D$8*VLOOKUP(A16,'Datos Mun'!$A$5:$AQ$55,37,FALSE)</f>
        <v>481615.45382338128</v>
      </c>
      <c r="F16" s="226">
        <f t="shared" si="2"/>
        <v>2253724.7618555874</v>
      </c>
    </row>
    <row r="17" spans="1:6">
      <c r="A17" s="147" t="s">
        <v>20</v>
      </c>
      <c r="B17" s="148">
        <f t="shared" si="0"/>
        <v>250000</v>
      </c>
      <c r="C17" s="149">
        <f>$B$8*VLOOKUP(A17,'Datos Mun'!$A$5:$AQ$55,37,FALSE)</f>
        <v>1743073.9872679568</v>
      </c>
      <c r="D17" s="148">
        <f t="shared" si="1"/>
        <v>83333.333333333328</v>
      </c>
      <c r="E17" s="149">
        <f>$D$8*VLOOKUP(A17,'Datos Mun'!$A$5:$AQ$55,37,FALSE)</f>
        <v>583476.08257879631</v>
      </c>
      <c r="F17" s="226">
        <f t="shared" si="2"/>
        <v>2659883.4031800865</v>
      </c>
    </row>
    <row r="18" spans="1:6">
      <c r="A18" s="147" t="s">
        <v>25</v>
      </c>
      <c r="B18" s="148">
        <f t="shared" si="0"/>
        <v>250000</v>
      </c>
      <c r="C18" s="149">
        <f>$B$8*VLOOKUP(A18,'Datos Mun'!$A$5:$AQ$55,37,FALSE)</f>
        <v>2329624.9964017505</v>
      </c>
      <c r="D18" s="148">
        <f t="shared" si="1"/>
        <v>83333.333333333328</v>
      </c>
      <c r="E18" s="149">
        <f>$D$8*VLOOKUP(A18,'Datos Mun'!$A$5:$AQ$55,37,FALSE)</f>
        <v>779817.9978054933</v>
      </c>
      <c r="F18" s="226">
        <f t="shared" si="2"/>
        <v>3442776.3275405774</v>
      </c>
    </row>
    <row r="19" spans="1:6">
      <c r="A19" s="147" t="s">
        <v>31</v>
      </c>
      <c r="B19" s="148">
        <f t="shared" si="0"/>
        <v>250000</v>
      </c>
      <c r="C19" s="149">
        <f>$B$8*VLOOKUP(A19,'Datos Mun'!$A$5:$AQ$55,37,FALSE)</f>
        <v>1707974.3807805458</v>
      </c>
      <c r="D19" s="148">
        <f t="shared" si="1"/>
        <v>83333.333333333328</v>
      </c>
      <c r="E19" s="149">
        <f>$D$8*VLOOKUP(A19,'Datos Mun'!$A$5:$AQ$55,37,FALSE)</f>
        <v>571726.85045042797</v>
      </c>
      <c r="F19" s="226">
        <f t="shared" si="2"/>
        <v>2613034.5645643072</v>
      </c>
    </row>
    <row r="20" spans="1:6">
      <c r="A20" s="147" t="s">
        <v>39</v>
      </c>
      <c r="B20" s="148">
        <f t="shared" si="0"/>
        <v>250000</v>
      </c>
      <c r="C20" s="149">
        <f>$B$8*VLOOKUP(A20,'Datos Mun'!$A$5:$AQ$55,37,FALSE)</f>
        <v>4140210.486839198</v>
      </c>
      <c r="D20" s="148">
        <f t="shared" si="1"/>
        <v>83333.333333333328</v>
      </c>
      <c r="E20" s="149">
        <f>$D$8*VLOOKUP(A20,'Datos Mun'!$A$5:$AQ$55,37,FALSE)</f>
        <v>1385892.8614378015</v>
      </c>
      <c r="F20" s="226">
        <f t="shared" si="2"/>
        <v>5859436.6816103319</v>
      </c>
    </row>
    <row r="21" spans="1:6">
      <c r="A21" s="147" t="s">
        <v>45</v>
      </c>
      <c r="B21" s="148">
        <f t="shared" si="0"/>
        <v>250000</v>
      </c>
      <c r="C21" s="149">
        <f>$B$8*VLOOKUP(A21,'Datos Mun'!$A$5:$AQ$55,37,FALSE)</f>
        <v>314288.17920399399</v>
      </c>
      <c r="D21" s="148">
        <f t="shared" si="1"/>
        <v>83333.333333333328</v>
      </c>
      <c r="E21" s="149">
        <f>$D$8*VLOOKUP(A21,'Datos Mun'!$A$5:$AQ$55,37,FALSE)</f>
        <v>105204.7342466472</v>
      </c>
      <c r="F21" s="226">
        <f t="shared" si="2"/>
        <v>752826.24678397458</v>
      </c>
    </row>
    <row r="22" spans="1:6">
      <c r="A22" s="147" t="s">
        <v>46</v>
      </c>
      <c r="B22" s="148">
        <f t="shared" si="0"/>
        <v>250000</v>
      </c>
      <c r="C22" s="149">
        <f>$B$8*VLOOKUP(A22,'Datos Mun'!$A$5:$AQ$55,37,FALSE)</f>
        <v>1493087.9973688668</v>
      </c>
      <c r="D22" s="148">
        <f t="shared" si="1"/>
        <v>83333.333333333328</v>
      </c>
      <c r="E22" s="149">
        <f>$D$8*VLOOKUP(A22,'Datos Mun'!$A$5:$AQ$55,37,FALSE)</f>
        <v>499795.84459043556</v>
      </c>
      <c r="F22" s="226">
        <f t="shared" si="2"/>
        <v>2326217.1752926358</v>
      </c>
    </row>
    <row r="23" spans="1:6">
      <c r="A23" s="147" t="s">
        <v>47</v>
      </c>
      <c r="B23" s="148">
        <f t="shared" si="0"/>
        <v>250000</v>
      </c>
      <c r="C23" s="149">
        <f>$B$8*VLOOKUP(A23,'Datos Mun'!$A$5:$AQ$55,37,FALSE)</f>
        <v>478749.21463721595</v>
      </c>
      <c r="D23" s="148">
        <f t="shared" si="1"/>
        <v>83333.333333333328</v>
      </c>
      <c r="E23" s="149">
        <f>$D$8*VLOOKUP(A23,'Datos Mun'!$A$5:$AQ$55,37,FALSE)</f>
        <v>160256.37370220033</v>
      </c>
      <c r="F23" s="226">
        <f t="shared" si="2"/>
        <v>972338.92167274968</v>
      </c>
    </row>
    <row r="24" spans="1:6">
      <c r="A24" s="147" t="s">
        <v>48</v>
      </c>
      <c r="B24" s="148">
        <f t="shared" si="0"/>
        <v>250000</v>
      </c>
      <c r="C24" s="149">
        <f>$B$8*VLOOKUP(A24,'Datos Mun'!$A$5:$AQ$55,37,FALSE)</f>
        <v>1109574.9905507439</v>
      </c>
      <c r="D24" s="148">
        <f t="shared" si="1"/>
        <v>83333.333333333328</v>
      </c>
      <c r="E24" s="149">
        <f>$D$8*VLOOKUP(A24,'Datos Mun'!$A$5:$AQ$55,37,FALSE)</f>
        <v>371418.81156099698</v>
      </c>
      <c r="F24" s="226">
        <f t="shared" si="2"/>
        <v>1814327.1354450742</v>
      </c>
    </row>
    <row r="25" spans="1:6">
      <c r="A25" s="147" t="s">
        <v>49</v>
      </c>
      <c r="B25" s="148">
        <f t="shared" si="0"/>
        <v>250000</v>
      </c>
      <c r="C25" s="150">
        <f>$B$8*VLOOKUP(A25,'Datos Mun'!$A$5:$AQ$55,37,FALSE)</f>
        <v>169463.36325150004</v>
      </c>
      <c r="D25" s="148">
        <f t="shared" si="1"/>
        <v>83333.333333333328</v>
      </c>
      <c r="E25" s="150">
        <f>$D$8*VLOOKUP(A25,'Datos Mun'!$A$5:$AQ$55,37,FALSE)</f>
        <v>56726.117223280351</v>
      </c>
      <c r="F25" s="227">
        <f t="shared" si="2"/>
        <v>559522.81380811369</v>
      </c>
    </row>
    <row r="26" spans="1:6" ht="13.5" thickBot="1">
      <c r="A26" s="151" t="s">
        <v>150</v>
      </c>
      <c r="B26" s="152">
        <f>SUM(B14:B25)</f>
        <v>3000000</v>
      </c>
      <c r="C26" s="153">
        <f>SUM(C14:C25)</f>
        <v>17745835.813725326</v>
      </c>
      <c r="D26" s="152">
        <f>SUM(D14:D25)</f>
        <v>1000000.0000000001</v>
      </c>
      <c r="E26" s="153">
        <f>SUM(E14:E25)</f>
        <v>5940235.9500000002</v>
      </c>
      <c r="F26" s="228">
        <f>SUM(F14:F25)</f>
        <v>27686071.763725325</v>
      </c>
    </row>
    <row r="27" spans="1:6">
      <c r="A27" s="154"/>
      <c r="B27" s="154"/>
      <c r="C27" s="155"/>
      <c r="D27" s="154"/>
      <c r="E27" s="155"/>
      <c r="F27" s="156"/>
    </row>
    <row r="28" spans="1:6" ht="13.5" thickBot="1">
      <c r="A28" s="157" t="s">
        <v>151</v>
      </c>
      <c r="B28" s="157"/>
      <c r="C28" s="150"/>
      <c r="D28" s="157"/>
      <c r="E28" s="150"/>
      <c r="F28" s="158"/>
    </row>
    <row r="29" spans="1:6">
      <c r="A29" s="159" t="s">
        <v>1</v>
      </c>
      <c r="B29" s="231">
        <f>$B$5</f>
        <v>250000</v>
      </c>
      <c r="C29" s="160">
        <f>$B$9*VLOOKUP(A29,'Datos Mun'!$A$5:$AQ$55,39,FALSE)</f>
        <v>39741.514836972216</v>
      </c>
      <c r="D29" s="145">
        <f>$D$5</f>
        <v>83333.333333333328</v>
      </c>
      <c r="E29" s="160">
        <f>$D$9*VLOOKUP(A29,'Datos Mun'!$A$5:$AQ$55,39,FALSE)</f>
        <v>13303.063187333888</v>
      </c>
      <c r="F29" s="229">
        <f>SUM(B29:E29)</f>
        <v>386377.91135763942</v>
      </c>
    </row>
    <row r="30" spans="1:6">
      <c r="A30" s="161" t="s">
        <v>2</v>
      </c>
      <c r="B30" s="232">
        <f t="shared" ref="B30:B67" si="3">$B$5</f>
        <v>250000</v>
      </c>
      <c r="C30" s="150">
        <f>$B$9*VLOOKUP(A30,'Datos Mun'!$A$5:$AQ$55,39,FALSE)</f>
        <v>45193.612366724956</v>
      </c>
      <c r="D30" s="148">
        <f t="shared" ref="D30:D67" si="4">$D$5</f>
        <v>83333.333333333328</v>
      </c>
      <c r="E30" s="150">
        <f>$D$9*VLOOKUP(A30,'Datos Mun'!$A$5:$AQ$55,39,FALSE)</f>
        <v>15128.096738252592</v>
      </c>
      <c r="F30" s="227">
        <f t="shared" ref="F30:F67" si="5">ROUND(SUM(B30:E30),2)</f>
        <v>393655.03999999998</v>
      </c>
    </row>
    <row r="31" spans="1:6">
      <c r="A31" s="161" t="s">
        <v>3</v>
      </c>
      <c r="B31" s="232">
        <f t="shared" si="3"/>
        <v>250000</v>
      </c>
      <c r="C31" s="150">
        <f>$B$9*VLOOKUP(A31,'Datos Mun'!$A$5:$AQ$55,39,FALSE)</f>
        <v>18801.71868716204</v>
      </c>
      <c r="D31" s="148">
        <f t="shared" si="4"/>
        <v>83333.333333333328</v>
      </c>
      <c r="E31" s="150">
        <f>$D$9*VLOOKUP(A31,'Datos Mun'!$A$5:$AQ$55,39,FALSE)</f>
        <v>6293.6818778005318</v>
      </c>
      <c r="F31" s="227">
        <f t="shared" si="5"/>
        <v>358428.73</v>
      </c>
    </row>
    <row r="32" spans="1:6">
      <c r="A32" s="161" t="s">
        <v>4</v>
      </c>
      <c r="B32" s="232">
        <f t="shared" si="3"/>
        <v>250000</v>
      </c>
      <c r="C32" s="150">
        <f>$B$9*VLOOKUP(A32,'Datos Mun'!$A$5:$AQ$55,39,FALSE)</f>
        <v>471566.34737118776</v>
      </c>
      <c r="D32" s="148">
        <f t="shared" si="4"/>
        <v>83333.333333333328</v>
      </c>
      <c r="E32" s="150">
        <f>$D$9*VLOOKUP(A32,'Datos Mun'!$A$5:$AQ$55,39,FALSE)</f>
        <v>157851.98279012291</v>
      </c>
      <c r="F32" s="227">
        <f t="shared" si="5"/>
        <v>962751.66</v>
      </c>
    </row>
    <row r="33" spans="1:6">
      <c r="A33" s="161" t="s">
        <v>5</v>
      </c>
      <c r="B33" s="232">
        <f t="shared" si="3"/>
        <v>250000</v>
      </c>
      <c r="C33" s="150">
        <f>$B$9*VLOOKUP(A33,'Datos Mun'!$A$5:$AQ$55,39,FALSE)</f>
        <v>240934.60407216175</v>
      </c>
      <c r="D33" s="148">
        <f t="shared" si="4"/>
        <v>83333.333333333328</v>
      </c>
      <c r="E33" s="150">
        <f>$D$9*VLOOKUP(A33,'Datos Mun'!$A$5:$AQ$55,39,FALSE)</f>
        <v>80650.379713392744</v>
      </c>
      <c r="F33" s="227">
        <f t="shared" si="5"/>
        <v>654918.31999999995</v>
      </c>
    </row>
    <row r="34" spans="1:6">
      <c r="A34" s="161" t="s">
        <v>7</v>
      </c>
      <c r="B34" s="232">
        <f t="shared" si="3"/>
        <v>250000</v>
      </c>
      <c r="C34" s="150">
        <f>$B$9*VLOOKUP(A34,'Datos Mun'!$A$5:$AQ$55,39,FALSE)</f>
        <v>200337.85825013029</v>
      </c>
      <c r="D34" s="148">
        <f t="shared" si="4"/>
        <v>83333.333333333328</v>
      </c>
      <c r="E34" s="150">
        <f>$D$9*VLOOKUP(A34,'Datos Mun'!$A$5:$AQ$55,39,FALSE)</f>
        <v>67061.036753365726</v>
      </c>
      <c r="F34" s="227">
        <f t="shared" si="5"/>
        <v>600732.23</v>
      </c>
    </row>
    <row r="35" spans="1:6">
      <c r="A35" s="161" t="s">
        <v>8</v>
      </c>
      <c r="B35" s="232">
        <f t="shared" si="3"/>
        <v>250000</v>
      </c>
      <c r="C35" s="150">
        <f>$B$9*VLOOKUP(A35,'Datos Mun'!$A$5:$AQ$55,39,FALSE)</f>
        <v>48921.884942217643</v>
      </c>
      <c r="D35" s="148">
        <f t="shared" si="4"/>
        <v>83333.333333333328</v>
      </c>
      <c r="E35" s="150">
        <f>$D$9*VLOOKUP(A35,'Datos Mun'!$A$5:$AQ$55,39,FALSE)</f>
        <v>16376.097622336707</v>
      </c>
      <c r="F35" s="227">
        <f t="shared" si="5"/>
        <v>398631.32</v>
      </c>
    </row>
    <row r="36" spans="1:6">
      <c r="A36" s="161" t="s">
        <v>10</v>
      </c>
      <c r="B36" s="232">
        <f t="shared" si="3"/>
        <v>250000</v>
      </c>
      <c r="C36" s="150">
        <f>$B$9*VLOOKUP(A36,'Datos Mun'!$A$5:$AQ$55,39,FALSE)</f>
        <v>1396137.8571409492</v>
      </c>
      <c r="D36" s="148">
        <f t="shared" si="4"/>
        <v>83333.333333333328</v>
      </c>
      <c r="E36" s="150">
        <f>$D$9*VLOOKUP(A36,'Datos Mun'!$A$5:$AQ$55,39,FALSE)</f>
        <v>467342.78267863824</v>
      </c>
      <c r="F36" s="227">
        <f t="shared" si="5"/>
        <v>2196813.9700000002</v>
      </c>
    </row>
    <row r="37" spans="1:6">
      <c r="A37" s="161" t="s">
        <v>11</v>
      </c>
      <c r="B37" s="232">
        <f t="shared" si="3"/>
        <v>250000</v>
      </c>
      <c r="C37" s="150">
        <f>$B$9*VLOOKUP(A37,'Datos Mun'!$A$5:$AQ$55,39,FALSE)</f>
        <v>98084.303598983199</v>
      </c>
      <c r="D37" s="148">
        <f t="shared" si="4"/>
        <v>83333.333333333328</v>
      </c>
      <c r="E37" s="150">
        <f>$D$9*VLOOKUP(A37,'Datos Mun'!$A$5:$AQ$55,39,FALSE)</f>
        <v>32832.711430743359</v>
      </c>
      <c r="F37" s="227">
        <f t="shared" si="5"/>
        <v>464250.35</v>
      </c>
    </row>
    <row r="38" spans="1:6">
      <c r="A38" s="161" t="s">
        <v>12</v>
      </c>
      <c r="B38" s="232">
        <f t="shared" si="3"/>
        <v>250000</v>
      </c>
      <c r="C38" s="150">
        <f>$B$9*VLOOKUP(A38,'Datos Mun'!$A$5:$AQ$55,39,FALSE)</f>
        <v>132694.4325255999</v>
      </c>
      <c r="D38" s="148">
        <f t="shared" si="4"/>
        <v>83333.333333333328</v>
      </c>
      <c r="E38" s="150">
        <f>$D$9*VLOOKUP(A38,'Datos Mun'!$A$5:$AQ$55,39,FALSE)</f>
        <v>44418.095981918465</v>
      </c>
      <c r="F38" s="227">
        <f t="shared" si="5"/>
        <v>510445.86</v>
      </c>
    </row>
    <row r="39" spans="1:6">
      <c r="A39" s="161" t="s">
        <v>13</v>
      </c>
      <c r="B39" s="232">
        <f t="shared" si="3"/>
        <v>250000</v>
      </c>
      <c r="C39" s="150">
        <f>$B$9*VLOOKUP(A39,'Datos Mun'!$A$5:$AQ$55,39,FALSE)</f>
        <v>918665.07077919599</v>
      </c>
      <c r="D39" s="148">
        <f t="shared" si="4"/>
        <v>83333.333333333328</v>
      </c>
      <c r="E39" s="150">
        <f>$D$9*VLOOKUP(A39,'Datos Mun'!$A$5:$AQ$55,39,FALSE)</f>
        <v>307513.68020835333</v>
      </c>
      <c r="F39" s="227">
        <f t="shared" si="5"/>
        <v>1559512.08</v>
      </c>
    </row>
    <row r="40" spans="1:6">
      <c r="A40" s="161" t="s">
        <v>14</v>
      </c>
      <c r="B40" s="232">
        <f t="shared" si="3"/>
        <v>250000</v>
      </c>
      <c r="C40" s="150">
        <f>$B$9*VLOOKUP(A40,'Datos Mun'!$A$5:$AQ$55,39,FALSE)</f>
        <v>482243.37170028692</v>
      </c>
      <c r="D40" s="148">
        <f t="shared" si="4"/>
        <v>83333.333333333328</v>
      </c>
      <c r="E40" s="150">
        <f>$D$9*VLOOKUP(A40,'Datos Mun'!$A$5:$AQ$55,39,FALSE)</f>
        <v>161426.00682733872</v>
      </c>
      <c r="F40" s="227">
        <f t="shared" si="5"/>
        <v>977002.71</v>
      </c>
    </row>
    <row r="41" spans="1:6">
      <c r="A41" s="161" t="s">
        <v>15</v>
      </c>
      <c r="B41" s="232">
        <f t="shared" si="3"/>
        <v>250000</v>
      </c>
      <c r="C41" s="150">
        <f>$B$9*VLOOKUP(A41,'Datos Mun'!$A$5:$AQ$55,39,FALSE)</f>
        <v>18173.65843250915</v>
      </c>
      <c r="D41" s="148">
        <f t="shared" si="4"/>
        <v>83333.333333333328</v>
      </c>
      <c r="E41" s="150">
        <f>$D$9*VLOOKUP(A41,'Datos Mun'!$A$5:$AQ$55,39,FALSE)</f>
        <v>6083.4451697290151</v>
      </c>
      <c r="F41" s="227">
        <f t="shared" si="5"/>
        <v>357590.44</v>
      </c>
    </row>
    <row r="42" spans="1:6">
      <c r="A42" s="161" t="s">
        <v>16</v>
      </c>
      <c r="B42" s="232">
        <f t="shared" si="3"/>
        <v>250000</v>
      </c>
      <c r="C42" s="150">
        <f>$B$9*VLOOKUP(A42,'Datos Mun'!$A$5:$AQ$55,39,FALSE)</f>
        <v>43509.876364889555</v>
      </c>
      <c r="D42" s="148">
        <f t="shared" si="4"/>
        <v>83333.333333333328</v>
      </c>
      <c r="E42" s="150">
        <f>$D$9*VLOOKUP(A42,'Datos Mun'!$A$5:$AQ$55,39,FALSE)</f>
        <v>14564.483435762993</v>
      </c>
      <c r="F42" s="227">
        <f t="shared" si="5"/>
        <v>391407.69</v>
      </c>
    </row>
    <row r="43" spans="1:6">
      <c r="A43" s="161" t="s">
        <v>17</v>
      </c>
      <c r="B43" s="232">
        <f t="shared" si="3"/>
        <v>250000</v>
      </c>
      <c r="C43" s="150">
        <f>$B$9*VLOOKUP(A43,'Datos Mun'!$A$5:$AQ$55,39,FALSE)</f>
        <v>546586.14034185419</v>
      </c>
      <c r="D43" s="148">
        <f t="shared" si="4"/>
        <v>83333.333333333328</v>
      </c>
      <c r="E43" s="150">
        <f>$D$9*VLOOKUP(A43,'Datos Mun'!$A$5:$AQ$55,39,FALSE)</f>
        <v>182964.08660104845</v>
      </c>
      <c r="F43" s="227">
        <f t="shared" si="5"/>
        <v>1062883.56</v>
      </c>
    </row>
    <row r="44" spans="1:6">
      <c r="A44" s="161" t="s">
        <v>19</v>
      </c>
      <c r="B44" s="232">
        <f t="shared" si="3"/>
        <v>250000</v>
      </c>
      <c r="C44" s="150">
        <f>$B$9*VLOOKUP(A44,'Datos Mun'!$A$5:$AQ$55,39,FALSE)</f>
        <v>73576.590683378949</v>
      </c>
      <c r="D44" s="148">
        <f t="shared" si="4"/>
        <v>83333.333333333328</v>
      </c>
      <c r="E44" s="150">
        <f>$D$9*VLOOKUP(A44,'Datos Mun'!$A$5:$AQ$55,39,FALSE)</f>
        <v>24629.006694505846</v>
      </c>
      <c r="F44" s="227">
        <f t="shared" si="5"/>
        <v>431538.93</v>
      </c>
    </row>
    <row r="45" spans="1:6">
      <c r="A45" s="161" t="s">
        <v>21</v>
      </c>
      <c r="B45" s="232">
        <f t="shared" si="3"/>
        <v>250000</v>
      </c>
      <c r="C45" s="150">
        <f>$B$9*VLOOKUP(A45,'Datos Mun'!$A$5:$AQ$55,39,FALSE)</f>
        <v>188538.34325314089</v>
      </c>
      <c r="D45" s="148">
        <f t="shared" si="4"/>
        <v>83333.333333333328</v>
      </c>
      <c r="E45" s="150">
        <f>$D$9*VLOOKUP(A45,'Datos Mun'!$A$5:$AQ$55,39,FALSE)</f>
        <v>63111.270514490192</v>
      </c>
      <c r="F45" s="227">
        <f t="shared" si="5"/>
        <v>584982.94999999995</v>
      </c>
    </row>
    <row r="46" spans="1:6">
      <c r="A46" s="161" t="s">
        <v>22</v>
      </c>
      <c r="B46" s="232">
        <f t="shared" si="3"/>
        <v>250000</v>
      </c>
      <c r="C46" s="150">
        <f>$B$9*VLOOKUP(A46,'Datos Mun'!$A$5:$AQ$55,39,FALSE)</f>
        <v>24160.27532792393</v>
      </c>
      <c r="D46" s="148">
        <f t="shared" si="4"/>
        <v>83333.333333333328</v>
      </c>
      <c r="E46" s="150">
        <f>$D$9*VLOOKUP(A46,'Datos Mun'!$A$5:$AQ$55,39,FALSE)</f>
        <v>8087.4035785809256</v>
      </c>
      <c r="F46" s="227">
        <f t="shared" si="5"/>
        <v>365581.01</v>
      </c>
    </row>
    <row r="47" spans="1:6">
      <c r="A47" s="161" t="s">
        <v>23</v>
      </c>
      <c r="B47" s="232">
        <f t="shared" si="3"/>
        <v>250000</v>
      </c>
      <c r="C47" s="150">
        <f>$B$9*VLOOKUP(A47,'Datos Mun'!$A$5:$AQ$55,39,FALSE)</f>
        <v>83946.266377222419</v>
      </c>
      <c r="D47" s="148">
        <f t="shared" si="4"/>
        <v>83333.333333333328</v>
      </c>
      <c r="E47" s="150">
        <f>$D$9*VLOOKUP(A47,'Datos Mun'!$A$5:$AQ$55,39,FALSE)</f>
        <v>28100.148938410053</v>
      </c>
      <c r="F47" s="227">
        <f t="shared" si="5"/>
        <v>445379.75</v>
      </c>
    </row>
    <row r="48" spans="1:6">
      <c r="A48" s="161" t="s">
        <v>24</v>
      </c>
      <c r="B48" s="232">
        <f t="shared" si="3"/>
        <v>250000</v>
      </c>
      <c r="C48" s="150">
        <f>$B$9*VLOOKUP(A48,'Datos Mun'!$A$5:$AQ$55,39,FALSE)</f>
        <v>1365015.4670752774</v>
      </c>
      <c r="D48" s="148">
        <f t="shared" si="4"/>
        <v>83333.333333333328</v>
      </c>
      <c r="E48" s="150">
        <f>$D$9*VLOOKUP(A48,'Datos Mun'!$A$5:$AQ$55,39,FALSE)</f>
        <v>456924.88282547734</v>
      </c>
      <c r="F48" s="227">
        <f t="shared" si="5"/>
        <v>2155273.6800000002</v>
      </c>
    </row>
    <row r="49" spans="1:6">
      <c r="A49" s="161" t="s">
        <v>26</v>
      </c>
      <c r="B49" s="232">
        <f t="shared" si="3"/>
        <v>250000</v>
      </c>
      <c r="C49" s="150">
        <f>$B$9*VLOOKUP(A49,'Datos Mun'!$A$5:$AQ$55,39,FALSE)</f>
        <v>26178.085933298109</v>
      </c>
      <c r="D49" s="148">
        <f t="shared" si="4"/>
        <v>83333.333333333328</v>
      </c>
      <c r="E49" s="150">
        <f>$D$9*VLOOKUP(A49,'Datos Mun'!$A$5:$AQ$55,39,FALSE)</f>
        <v>8762.8449172787787</v>
      </c>
      <c r="F49" s="227">
        <f t="shared" si="5"/>
        <v>368274.26</v>
      </c>
    </row>
    <row r="50" spans="1:6">
      <c r="A50" s="161" t="s">
        <v>27</v>
      </c>
      <c r="B50" s="232">
        <f t="shared" si="3"/>
        <v>250000</v>
      </c>
      <c r="C50" s="150">
        <f>$B$9*VLOOKUP(A50,'Datos Mun'!$A$5:$AQ$55,39,FALSE)</f>
        <v>214956.96290098692</v>
      </c>
      <c r="D50" s="148">
        <f t="shared" si="4"/>
        <v>83333.333333333328</v>
      </c>
      <c r="E50" s="150">
        <f>$D$9*VLOOKUP(A50,'Datos Mun'!$A$5:$AQ$55,39,FALSE)</f>
        <v>71954.631617838924</v>
      </c>
      <c r="F50" s="227">
        <f t="shared" si="5"/>
        <v>620244.93000000005</v>
      </c>
    </row>
    <row r="51" spans="1:6">
      <c r="A51" s="161" t="s">
        <v>28</v>
      </c>
      <c r="B51" s="232">
        <f t="shared" si="3"/>
        <v>250000</v>
      </c>
      <c r="C51" s="150">
        <f>$B$9*VLOOKUP(A51,'Datos Mun'!$A$5:$AQ$55,39,FALSE)</f>
        <v>18521.09602018947</v>
      </c>
      <c r="D51" s="148">
        <f t="shared" si="4"/>
        <v>83333.333333333328</v>
      </c>
      <c r="E51" s="150">
        <f>$D$9*VLOOKUP(A51,'Datos Mun'!$A$5:$AQ$55,39,FALSE)</f>
        <v>6199.7463273855983</v>
      </c>
      <c r="F51" s="227">
        <f t="shared" si="5"/>
        <v>358054.18</v>
      </c>
    </row>
    <row r="52" spans="1:6">
      <c r="A52" s="161" t="s">
        <v>29</v>
      </c>
      <c r="B52" s="232">
        <f t="shared" si="3"/>
        <v>250000</v>
      </c>
      <c r="C52" s="150">
        <f>$B$9*VLOOKUP(A52,'Datos Mun'!$A$5:$AQ$55,39,FALSE)</f>
        <v>93888.326578536231</v>
      </c>
      <c r="D52" s="148">
        <f t="shared" si="4"/>
        <v>83333.333333333328</v>
      </c>
      <c r="E52" s="150">
        <f>$D$9*VLOOKUP(A52,'Datos Mun'!$A$5:$AQ$55,39,FALSE)</f>
        <v>31428.151295967684</v>
      </c>
      <c r="F52" s="227">
        <f t="shared" si="5"/>
        <v>458649.81</v>
      </c>
    </row>
    <row r="53" spans="1:6">
      <c r="A53" s="161" t="s">
        <v>30</v>
      </c>
      <c r="B53" s="232">
        <f t="shared" si="3"/>
        <v>250000</v>
      </c>
      <c r="C53" s="150">
        <f>$B$9*VLOOKUP(A53,'Datos Mun'!$A$5:$AQ$55,39,FALSE)</f>
        <v>44071.121698834693</v>
      </c>
      <c r="D53" s="148">
        <f t="shared" si="4"/>
        <v>83333.333333333328</v>
      </c>
      <c r="E53" s="150">
        <f>$D$9*VLOOKUP(A53,'Datos Mun'!$A$5:$AQ$55,39,FALSE)</f>
        <v>14752.35453659286</v>
      </c>
      <c r="F53" s="227">
        <f t="shared" si="5"/>
        <v>392156.81</v>
      </c>
    </row>
    <row r="54" spans="1:6">
      <c r="A54" s="161" t="s">
        <v>32</v>
      </c>
      <c r="B54" s="232">
        <f t="shared" si="3"/>
        <v>250000</v>
      </c>
      <c r="C54" s="150">
        <f>$B$9*VLOOKUP(A54,'Datos Mun'!$A$5:$AQ$55,39,FALSE)</f>
        <v>71505.328141438571</v>
      </c>
      <c r="D54" s="148">
        <f t="shared" si="4"/>
        <v>83333.333333333328</v>
      </c>
      <c r="E54" s="150">
        <f>$D$9*VLOOKUP(A54,'Datos Mun'!$A$5:$AQ$55,39,FALSE)</f>
        <v>23935.672870014674</v>
      </c>
      <c r="F54" s="227">
        <f t="shared" si="5"/>
        <v>428774.33</v>
      </c>
    </row>
    <row r="55" spans="1:6">
      <c r="A55" s="161" t="s">
        <v>33</v>
      </c>
      <c r="B55" s="232">
        <f t="shared" si="3"/>
        <v>250000</v>
      </c>
      <c r="C55" s="150">
        <f>$B$9*VLOOKUP(A55,'Datos Mun'!$A$5:$AQ$55,39,FALSE)</f>
        <v>1131390.4153285439</v>
      </c>
      <c r="D55" s="148">
        <f t="shared" si="4"/>
        <v>83333.333333333328</v>
      </c>
      <c r="E55" s="150">
        <f>$D$9*VLOOKUP(A55,'Datos Mun'!$A$5:$AQ$55,39,FALSE)</f>
        <v>378721.30054432113</v>
      </c>
      <c r="F55" s="227">
        <f t="shared" si="5"/>
        <v>1843445.05</v>
      </c>
    </row>
    <row r="56" spans="1:6">
      <c r="A56" s="161" t="s">
        <v>34</v>
      </c>
      <c r="B56" s="232">
        <f t="shared" si="3"/>
        <v>250000</v>
      </c>
      <c r="C56" s="150">
        <f>$B$9*VLOOKUP(A56,'Datos Mun'!$A$5:$AQ$55,39,FALSE)</f>
        <v>68405.115820598774</v>
      </c>
      <c r="D56" s="148">
        <f t="shared" si="4"/>
        <v>83333.333333333328</v>
      </c>
      <c r="E56" s="150">
        <f>$D$9*VLOOKUP(A56,'Datos Mun'!$A$5:$AQ$55,39,FALSE)</f>
        <v>22897.908694002075</v>
      </c>
      <c r="F56" s="227">
        <f t="shared" si="5"/>
        <v>424636.36</v>
      </c>
    </row>
    <row r="57" spans="1:6">
      <c r="A57" s="161" t="s">
        <v>35</v>
      </c>
      <c r="B57" s="232">
        <f t="shared" si="3"/>
        <v>250000</v>
      </c>
      <c r="C57" s="150">
        <f>$B$9*VLOOKUP(A57,'Datos Mun'!$A$5:$AQ$55,39,FALSE)</f>
        <v>19817.305481919906</v>
      </c>
      <c r="D57" s="148">
        <f t="shared" si="4"/>
        <v>83333.333333333328</v>
      </c>
      <c r="E57" s="150">
        <f>$D$9*VLOOKUP(A57,'Datos Mun'!$A$5:$AQ$55,39,FALSE)</f>
        <v>6633.6391078736242</v>
      </c>
      <c r="F57" s="227">
        <f t="shared" si="5"/>
        <v>359784.28</v>
      </c>
    </row>
    <row r="58" spans="1:6">
      <c r="A58" s="161" t="s">
        <v>36</v>
      </c>
      <c r="B58" s="232">
        <f t="shared" si="3"/>
        <v>250000</v>
      </c>
      <c r="C58" s="150">
        <f>$B$9*VLOOKUP(A58,'Datos Mun'!$A$5:$AQ$55,39,FALSE)</f>
        <v>102253.55465114707</v>
      </c>
      <c r="D58" s="148">
        <f t="shared" si="4"/>
        <v>83333.333333333328</v>
      </c>
      <c r="E58" s="150">
        <f>$D$9*VLOOKUP(A58,'Datos Mun'!$A$5:$AQ$55,39,FALSE)</f>
        <v>34228.325322622368</v>
      </c>
      <c r="F58" s="227">
        <f t="shared" si="5"/>
        <v>469815.21</v>
      </c>
    </row>
    <row r="59" spans="1:6">
      <c r="A59" s="161" t="s">
        <v>37</v>
      </c>
      <c r="B59" s="232">
        <f t="shared" si="3"/>
        <v>250000</v>
      </c>
      <c r="C59" s="150">
        <f>$B$9*VLOOKUP(A59,'Datos Mun'!$A$5:$AQ$55,39,FALSE)</f>
        <v>80819.328088099515</v>
      </c>
      <c r="D59" s="148">
        <f t="shared" si="4"/>
        <v>83333.333333333328</v>
      </c>
      <c r="E59" s="150">
        <f>$D$9*VLOOKUP(A59,'Datos Mun'!$A$5:$AQ$55,39,FALSE)</f>
        <v>27053.438519500796</v>
      </c>
      <c r="F59" s="227">
        <f t="shared" si="5"/>
        <v>441206.1</v>
      </c>
    </row>
    <row r="60" spans="1:6">
      <c r="A60" s="161" t="s">
        <v>38</v>
      </c>
      <c r="B60" s="232">
        <f t="shared" si="3"/>
        <v>250000</v>
      </c>
      <c r="C60" s="150">
        <f>$B$9*VLOOKUP(A60,'Datos Mun'!$A$5:$AQ$55,39,FALSE)</f>
        <v>901039.29469649051</v>
      </c>
      <c r="D60" s="148">
        <f t="shared" si="4"/>
        <v>83333.333333333328</v>
      </c>
      <c r="E60" s="150">
        <f>$D$9*VLOOKUP(A60,'Datos Mun'!$A$5:$AQ$55,39,FALSE)</f>
        <v>301613.63301800587</v>
      </c>
      <c r="F60" s="227">
        <f t="shared" si="5"/>
        <v>1535986.26</v>
      </c>
    </row>
    <row r="61" spans="1:6">
      <c r="A61" s="161" t="s">
        <v>40</v>
      </c>
      <c r="B61" s="232">
        <f t="shared" si="3"/>
        <v>250000</v>
      </c>
      <c r="C61" s="150">
        <f>$B$9*VLOOKUP(A61,'Datos Mun'!$A$5:$AQ$55,39,FALSE)</f>
        <v>12106.863632245067</v>
      </c>
      <c r="D61" s="148">
        <f t="shared" si="4"/>
        <v>83333.333333333328</v>
      </c>
      <c r="E61" s="150">
        <f>$D$9*VLOOKUP(A61,'Datos Mun'!$A$5:$AQ$55,39,FALSE)</f>
        <v>4052.6480321871231</v>
      </c>
      <c r="F61" s="227">
        <f t="shared" si="5"/>
        <v>349492.84</v>
      </c>
    </row>
    <row r="62" spans="1:6">
      <c r="A62" s="161" t="s">
        <v>41</v>
      </c>
      <c r="B62" s="232">
        <f t="shared" si="3"/>
        <v>250000</v>
      </c>
      <c r="C62" s="150">
        <f>$B$9*VLOOKUP(A62,'Datos Mun'!$A$5:$AQ$55,39,FALSE)</f>
        <v>1972697.1709123021</v>
      </c>
      <c r="D62" s="148">
        <f t="shared" si="4"/>
        <v>83333.333333333328</v>
      </c>
      <c r="E62" s="150">
        <f>$D$9*VLOOKUP(A62,'Datos Mun'!$A$5:$AQ$55,39,FALSE)</f>
        <v>660340.08068829123</v>
      </c>
      <c r="F62" s="227">
        <f t="shared" si="5"/>
        <v>2966370.58</v>
      </c>
    </row>
    <row r="63" spans="1:6">
      <c r="A63" s="161" t="s">
        <v>42</v>
      </c>
      <c r="B63" s="232">
        <f t="shared" si="3"/>
        <v>250000</v>
      </c>
      <c r="C63" s="150">
        <f>$B$9*VLOOKUP(A63,'Datos Mun'!$A$5:$AQ$55,39,FALSE)</f>
        <v>72013.121538817504</v>
      </c>
      <c r="D63" s="148">
        <f t="shared" si="4"/>
        <v>83333.333333333328</v>
      </c>
      <c r="E63" s="150">
        <f>$D$9*VLOOKUP(A63,'Datos Mun'!$A$5:$AQ$55,39,FALSE)</f>
        <v>24105.651485051221</v>
      </c>
      <c r="F63" s="227">
        <f t="shared" si="5"/>
        <v>429452.11</v>
      </c>
    </row>
    <row r="64" spans="1:6">
      <c r="A64" s="161" t="s">
        <v>43</v>
      </c>
      <c r="B64" s="232">
        <f t="shared" si="3"/>
        <v>250000</v>
      </c>
      <c r="C64" s="150">
        <f>$B$9*VLOOKUP(A64,'Datos Mun'!$A$5:$AQ$55,39,FALSE)</f>
        <v>31763.813304466359</v>
      </c>
      <c r="D64" s="148">
        <f t="shared" si="4"/>
        <v>83333.333333333328</v>
      </c>
      <c r="E64" s="150">
        <f>$D$9*VLOOKUP(A64,'Datos Mun'!$A$5:$AQ$55,39,FALSE)</f>
        <v>10632.609682680784</v>
      </c>
      <c r="F64" s="227">
        <f t="shared" si="5"/>
        <v>375729.76</v>
      </c>
    </row>
    <row r="65" spans="1:6">
      <c r="A65" s="161" t="s">
        <v>44</v>
      </c>
      <c r="B65" s="232">
        <f t="shared" si="3"/>
        <v>250000</v>
      </c>
      <c r="C65" s="150">
        <f>$B$9*VLOOKUP(A65,'Datos Mun'!$A$5:$AQ$55,39,FALSE)</f>
        <v>463815.81656908832</v>
      </c>
      <c r="D65" s="148">
        <f t="shared" si="4"/>
        <v>83333.333333333328</v>
      </c>
      <c r="E65" s="150">
        <f>$D$9*VLOOKUP(A65,'Datos Mun'!$A$5:$AQ$55,39,FALSE)</f>
        <v>155257.57235009145</v>
      </c>
      <c r="F65" s="227">
        <f t="shared" si="5"/>
        <v>952406.72</v>
      </c>
    </row>
    <row r="66" spans="1:6">
      <c r="A66" s="161" t="s">
        <v>50</v>
      </c>
      <c r="B66" s="232">
        <f t="shared" si="3"/>
        <v>250000</v>
      </c>
      <c r="C66" s="150">
        <f>$B$9*VLOOKUP(A66,'Datos Mun'!$A$5:$AQ$55,39,FALSE)</f>
        <v>20739.351387686911</v>
      </c>
      <c r="D66" s="148">
        <f t="shared" si="4"/>
        <v>83333.333333333328</v>
      </c>
      <c r="E66" s="150">
        <f>$D$9*VLOOKUP(A66,'Datos Mun'!$A$5:$AQ$55,39,FALSE)</f>
        <v>6942.2844878084043</v>
      </c>
      <c r="F66" s="227">
        <f t="shared" si="5"/>
        <v>361014.97</v>
      </c>
    </row>
    <row r="67" spans="1:6">
      <c r="A67" s="161" t="s">
        <v>51</v>
      </c>
      <c r="B67" s="232">
        <f t="shared" si="3"/>
        <v>250000</v>
      </c>
      <c r="C67" s="150">
        <f>$B$9*VLOOKUP(A67,'Datos Mun'!$A$5:$AQ$55,39,FALSE)</f>
        <v>47745.942337761175</v>
      </c>
      <c r="D67" s="148">
        <f t="shared" si="4"/>
        <v>83333.333333333328</v>
      </c>
      <c r="E67" s="150">
        <f>$D$9*VLOOKUP(A67,'Datos Mun'!$A$5:$AQ$55,39,FALSE)</f>
        <v>15982.462934883655</v>
      </c>
      <c r="F67" s="227">
        <f t="shared" si="5"/>
        <v>397061.74</v>
      </c>
    </row>
    <row r="68" spans="1:6" s="165" customFormat="1">
      <c r="A68" s="162" t="s">
        <v>150</v>
      </c>
      <c r="B68" s="233">
        <f>SUM(B29:B67)</f>
        <v>9750000</v>
      </c>
      <c r="C68" s="164">
        <f>SUM(C29:C67)</f>
        <v>11830557.209150219</v>
      </c>
      <c r="D68" s="163">
        <f>SUM(D29:D67)</f>
        <v>3250000.0000000014</v>
      </c>
      <c r="E68" s="164">
        <f>SUM(E29:E67)</f>
        <v>3960157.3</v>
      </c>
      <c r="F68" s="230">
        <f>SUM(F29:F67)</f>
        <v>28790714.491357639</v>
      </c>
    </row>
    <row r="69" spans="1:6" ht="13.5" thickBot="1">
      <c r="A69" s="166" t="s">
        <v>52</v>
      </c>
      <c r="B69" s="234">
        <f>B68+B26</f>
        <v>12750000</v>
      </c>
      <c r="C69" s="153">
        <f>C68+C26</f>
        <v>29576393.022875547</v>
      </c>
      <c r="D69" s="152">
        <f>D68+D26</f>
        <v>4250000.0000000019</v>
      </c>
      <c r="E69" s="153">
        <f>E68+E26</f>
        <v>9900393.25</v>
      </c>
      <c r="F69" s="228">
        <f>F68+F26</f>
        <v>56476786.255082965</v>
      </c>
    </row>
    <row r="70" spans="1:6">
      <c r="C70" s="167"/>
      <c r="D70" s="167"/>
      <c r="E70" s="167"/>
    </row>
    <row r="71" spans="1:6">
      <c r="C71" s="167"/>
      <c r="D71" s="167"/>
      <c r="E71" s="167"/>
    </row>
    <row r="72" spans="1:6">
      <c r="C72" s="167"/>
      <c r="D72" s="167"/>
      <c r="E72" s="167"/>
    </row>
    <row r="73" spans="1:6">
      <c r="C73" s="167"/>
      <c r="D73" s="167"/>
      <c r="E73" s="167"/>
    </row>
    <row r="74" spans="1:6">
      <c r="C74" s="167"/>
      <c r="D74" s="167"/>
      <c r="E74" s="167"/>
    </row>
    <row r="75" spans="1:6">
      <c r="C75" s="167"/>
      <c r="D75" s="167"/>
      <c r="E75" s="167"/>
    </row>
    <row r="76" spans="1:6">
      <c r="C76" s="167"/>
      <c r="D76" s="167"/>
      <c r="E76" s="167"/>
    </row>
    <row r="77" spans="1:6">
      <c r="C77" s="167"/>
      <c r="D77" s="167"/>
      <c r="E77" s="167"/>
    </row>
    <row r="78" spans="1:6">
      <c r="C78" s="167"/>
      <c r="D78" s="167"/>
      <c r="E78" s="167"/>
    </row>
    <row r="79" spans="1:6">
      <c r="C79" s="167"/>
      <c r="D79" s="167"/>
      <c r="E79" s="167"/>
    </row>
    <row r="80" spans="1:6">
      <c r="C80" s="167"/>
      <c r="D80" s="167"/>
      <c r="E80" s="167"/>
    </row>
    <row r="81" spans="3:5">
      <c r="C81" s="167"/>
      <c r="D81" s="167"/>
      <c r="E81" s="167"/>
    </row>
    <row r="82" spans="3:5">
      <c r="C82" s="167"/>
      <c r="D82" s="167"/>
      <c r="E82" s="167"/>
    </row>
    <row r="83" spans="3:5">
      <c r="C83" s="167"/>
      <c r="D83" s="167"/>
      <c r="E83" s="167"/>
    </row>
    <row r="84" spans="3:5">
      <c r="C84" s="167"/>
      <c r="D84" s="167"/>
      <c r="E84" s="167"/>
    </row>
    <row r="85" spans="3:5">
      <c r="C85" s="167"/>
      <c r="D85" s="167"/>
      <c r="E85" s="167"/>
    </row>
    <row r="86" spans="3:5">
      <c r="C86" s="167"/>
      <c r="D86" s="167"/>
      <c r="E86" s="167"/>
    </row>
    <row r="87" spans="3:5">
      <c r="C87" s="167"/>
      <c r="D87" s="167"/>
      <c r="E87" s="167"/>
    </row>
    <row r="88" spans="3:5">
      <c r="C88" s="167"/>
      <c r="D88" s="167"/>
      <c r="E88" s="167"/>
    </row>
    <row r="89" spans="3:5">
      <c r="C89" s="167"/>
      <c r="D89" s="167"/>
      <c r="E89" s="167"/>
    </row>
    <row r="90" spans="3:5">
      <c r="C90" s="167"/>
      <c r="D90" s="167"/>
      <c r="E90" s="167"/>
    </row>
    <row r="91" spans="3:5">
      <c r="C91" s="167"/>
      <c r="D91" s="167"/>
      <c r="E91" s="167"/>
    </row>
    <row r="92" spans="3:5">
      <c r="C92" s="167"/>
      <c r="D92" s="167"/>
      <c r="E92" s="167"/>
    </row>
    <row r="93" spans="3:5">
      <c r="C93" s="167"/>
      <c r="D93" s="167"/>
      <c r="E93" s="167"/>
    </row>
    <row r="94" spans="3:5">
      <c r="C94" s="167"/>
      <c r="D94" s="167"/>
      <c r="E94" s="167"/>
    </row>
    <row r="95" spans="3:5">
      <c r="C95" s="167"/>
      <c r="D95" s="167"/>
      <c r="E95" s="167"/>
    </row>
    <row r="96" spans="3:5">
      <c r="C96" s="167"/>
      <c r="D96" s="167"/>
      <c r="E96" s="167"/>
    </row>
  </sheetData>
  <mergeCells count="16">
    <mergeCell ref="A1:F1"/>
    <mergeCell ref="A2:F2"/>
    <mergeCell ref="B3:C3"/>
    <mergeCell ref="D3:E3"/>
    <mergeCell ref="B4:C4"/>
    <mergeCell ref="D4:E4"/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opLeftCell="A25" zoomScaleNormal="100" zoomScaleSheetLayoutView="100" workbookViewId="0">
      <selection activeCell="C38" sqref="C38"/>
    </sheetView>
  </sheetViews>
  <sheetFormatPr baseColWidth="10" defaultColWidth="11.42578125" defaultRowHeight="12.75"/>
  <cols>
    <col min="1" max="1" width="50.5703125" style="70" customWidth="1"/>
    <col min="2" max="2" width="15.7109375" style="70" customWidth="1"/>
    <col min="3" max="3" width="20.42578125" style="70" customWidth="1"/>
    <col min="4" max="4" width="25.7109375" style="70" bestFit="1" customWidth="1"/>
    <col min="5" max="5" width="18.42578125" style="70" customWidth="1"/>
    <col min="6" max="6" width="15.42578125" style="70" customWidth="1"/>
    <col min="7" max="16384" width="11.42578125" style="70"/>
  </cols>
  <sheetData>
    <row r="1" spans="1:6" ht="27.75" customHeight="1">
      <c r="A1" s="331" t="s">
        <v>204</v>
      </c>
      <c r="B1" s="331"/>
      <c r="C1" s="331"/>
      <c r="D1" s="331"/>
    </row>
    <row r="2" spans="1:6" ht="25.5">
      <c r="A2" s="103" t="s">
        <v>125</v>
      </c>
      <c r="B2" s="103" t="s">
        <v>107</v>
      </c>
      <c r="C2" s="103" t="s">
        <v>108</v>
      </c>
      <c r="D2" s="103" t="s">
        <v>109</v>
      </c>
      <c r="E2" s="103" t="s">
        <v>128</v>
      </c>
    </row>
    <row r="3" spans="1:6" ht="25.5" customHeight="1">
      <c r="A3" s="104" t="s">
        <v>55</v>
      </c>
      <c r="B3" s="105">
        <v>31371181941</v>
      </c>
      <c r="C3" s="106">
        <v>0.2</v>
      </c>
      <c r="D3" s="114">
        <f>B3*C3</f>
        <v>6274236388.2000008</v>
      </c>
      <c r="E3" s="114">
        <f>B3-D3</f>
        <v>25096945552.799999</v>
      </c>
    </row>
    <row r="4" spans="1:6" ht="25.5" customHeight="1">
      <c r="A4" s="104" t="s">
        <v>60</v>
      </c>
      <c r="B4" s="105">
        <v>860878107</v>
      </c>
      <c r="C4" s="106">
        <v>1</v>
      </c>
      <c r="D4" s="114">
        <f t="shared" ref="D4:D11" si="0">B4*C4</f>
        <v>860878107</v>
      </c>
      <c r="E4" s="114">
        <f t="shared" ref="E4:E11" si="1">B4-D4</f>
        <v>0</v>
      </c>
    </row>
    <row r="5" spans="1:6" ht="25.5" customHeight="1">
      <c r="A5" s="104" t="s">
        <v>61</v>
      </c>
      <c r="B5" s="105">
        <v>239760494</v>
      </c>
      <c r="C5" s="106">
        <v>1</v>
      </c>
      <c r="D5" s="114">
        <f t="shared" si="0"/>
        <v>239760494</v>
      </c>
      <c r="E5" s="114">
        <f t="shared" si="1"/>
        <v>0</v>
      </c>
      <c r="F5" s="71"/>
    </row>
    <row r="6" spans="1:6" ht="25.5" customHeight="1">
      <c r="A6" s="104" t="s">
        <v>56</v>
      </c>
      <c r="B6" s="105">
        <v>956851964</v>
      </c>
      <c r="C6" s="106">
        <v>0.2</v>
      </c>
      <c r="D6" s="114">
        <f t="shared" si="0"/>
        <v>191370392.80000001</v>
      </c>
      <c r="E6" s="114">
        <f t="shared" si="1"/>
        <v>765481571.20000005</v>
      </c>
    </row>
    <row r="7" spans="1:6" ht="25.5" customHeight="1">
      <c r="A7" s="104" t="s">
        <v>57</v>
      </c>
      <c r="B7" s="105">
        <v>1644622218</v>
      </c>
      <c r="C7" s="106">
        <v>0.2</v>
      </c>
      <c r="D7" s="114">
        <f t="shared" si="0"/>
        <v>328924443.60000002</v>
      </c>
      <c r="E7" s="114">
        <f t="shared" si="1"/>
        <v>1315697774.4000001</v>
      </c>
    </row>
    <row r="8" spans="1:6" ht="25.5" customHeight="1">
      <c r="A8" s="104" t="s">
        <v>58</v>
      </c>
      <c r="B8" s="105">
        <v>575351020</v>
      </c>
      <c r="C8" s="106">
        <v>0.2</v>
      </c>
      <c r="D8" s="114">
        <f t="shared" si="0"/>
        <v>115070204</v>
      </c>
      <c r="E8" s="114">
        <f t="shared" si="1"/>
        <v>460280816</v>
      </c>
    </row>
    <row r="9" spans="1:6" ht="25.5" customHeight="1">
      <c r="A9" s="104" t="s">
        <v>126</v>
      </c>
      <c r="B9" s="105">
        <v>196144488</v>
      </c>
      <c r="C9" s="106">
        <v>0.2</v>
      </c>
      <c r="D9" s="114">
        <f t="shared" si="0"/>
        <v>39228897.600000001</v>
      </c>
      <c r="E9" s="114">
        <f t="shared" si="1"/>
        <v>156915590.40000001</v>
      </c>
    </row>
    <row r="10" spans="1:6" ht="25.5" customHeight="1">
      <c r="A10" s="104" t="s">
        <v>59</v>
      </c>
      <c r="B10" s="105">
        <v>1141931620</v>
      </c>
      <c r="C10" s="106">
        <v>0.2</v>
      </c>
      <c r="D10" s="114">
        <f t="shared" si="0"/>
        <v>228386324</v>
      </c>
      <c r="E10" s="114">
        <f t="shared" si="1"/>
        <v>913545296</v>
      </c>
    </row>
    <row r="11" spans="1:6" ht="25.5" customHeight="1">
      <c r="A11" s="104" t="s">
        <v>192</v>
      </c>
      <c r="B11" s="105">
        <v>0</v>
      </c>
      <c r="C11" s="106">
        <v>0.2</v>
      </c>
      <c r="D11" s="114">
        <f t="shared" si="0"/>
        <v>0</v>
      </c>
      <c r="E11" s="114">
        <f t="shared" si="1"/>
        <v>0</v>
      </c>
    </row>
    <row r="12" spans="1:6" ht="25.5" customHeight="1">
      <c r="A12" s="107" t="s">
        <v>53</v>
      </c>
      <c r="B12" s="108">
        <f>SUM(B3:B11)</f>
        <v>36986721852</v>
      </c>
      <c r="C12" s="107"/>
      <c r="D12" s="108">
        <f>SUM(D3:D11)</f>
        <v>8277855251.2000017</v>
      </c>
      <c r="E12" s="108">
        <f>SUM(E3:E11)</f>
        <v>28708866600.800003</v>
      </c>
    </row>
    <row r="13" spans="1:6">
      <c r="A13" s="109"/>
      <c r="B13" s="109"/>
      <c r="C13" s="110"/>
      <c r="D13" s="111"/>
    </row>
    <row r="14" spans="1:6">
      <c r="A14" s="112" t="s">
        <v>127</v>
      </c>
      <c r="B14" s="112"/>
    </row>
    <row r="15" spans="1:6" ht="13.5" thickBot="1">
      <c r="B15" s="113"/>
    </row>
    <row r="16" spans="1:6" ht="39" thickTop="1">
      <c r="A16" s="118" t="s">
        <v>135</v>
      </c>
      <c r="B16" s="119" t="s">
        <v>129</v>
      </c>
      <c r="C16" s="119" t="s">
        <v>130</v>
      </c>
      <c r="D16" s="120" t="s">
        <v>191</v>
      </c>
    </row>
    <row r="17" spans="1:4" ht="17.25" customHeight="1">
      <c r="A17" s="121" t="s">
        <v>133</v>
      </c>
      <c r="B17" s="115">
        <f>E12</f>
        <v>28708866600.800003</v>
      </c>
      <c r="C17" s="115">
        <f>270.591036765433*1000000</f>
        <v>270591036.76543301</v>
      </c>
      <c r="D17" s="122">
        <v>0</v>
      </c>
    </row>
    <row r="18" spans="1:4" ht="17.25" customHeight="1">
      <c r="A18" s="121" t="s">
        <v>108</v>
      </c>
      <c r="B18" s="116">
        <v>1.84E-2</v>
      </c>
      <c r="C18" s="116">
        <v>0.35</v>
      </c>
      <c r="D18" s="123">
        <v>1</v>
      </c>
    </row>
    <row r="19" spans="1:4" ht="17.25" customHeight="1">
      <c r="A19" s="121" t="s">
        <v>107</v>
      </c>
      <c r="B19" s="117">
        <f>B17*B18</f>
        <v>528243145.45472002</v>
      </c>
      <c r="C19" s="117">
        <f>C17*C18</f>
        <v>94706862.867901549</v>
      </c>
      <c r="D19" s="286">
        <v>527769007</v>
      </c>
    </row>
    <row r="20" spans="1:4" ht="17.25" customHeight="1">
      <c r="A20" s="125"/>
      <c r="B20" s="126"/>
      <c r="C20" s="126"/>
      <c r="D20" s="127"/>
    </row>
    <row r="21" spans="1:4" ht="24.75" customHeight="1">
      <c r="A21" s="301" t="s">
        <v>132</v>
      </c>
      <c r="B21" s="304" t="s">
        <v>131</v>
      </c>
      <c r="C21" s="305"/>
      <c r="D21" s="306"/>
    </row>
    <row r="22" spans="1:4">
      <c r="A22" s="302"/>
      <c r="B22" s="307" t="str">
        <f>IF(B19&gt;D19,"1.84% Particpaciones del Estado","Ley de Egresos 2020")</f>
        <v>1.84% Particpaciones del Estado</v>
      </c>
      <c r="C22" s="307"/>
      <c r="D22" s="308"/>
    </row>
    <row r="23" spans="1:4">
      <c r="A23" s="303"/>
      <c r="B23" s="126"/>
      <c r="C23" s="126"/>
      <c r="D23" s="127"/>
    </row>
    <row r="24" spans="1:4" ht="13.5" thickBot="1">
      <c r="A24" s="128" t="s">
        <v>134</v>
      </c>
      <c r="B24" s="299">
        <f>IF(B22="Ley de Egresos 2020",D19+C19,B19+C19)</f>
        <v>622950008.32262158</v>
      </c>
      <c r="C24" s="309"/>
      <c r="D24" s="300"/>
    </row>
    <row r="25" spans="1:4" ht="13.5" thickTop="1"/>
    <row r="26" spans="1:4" ht="13.5" thickBot="1"/>
    <row r="27" spans="1:4" ht="26.25" thickTop="1">
      <c r="A27" s="118" t="s">
        <v>183</v>
      </c>
      <c r="B27" s="120" t="s">
        <v>129</v>
      </c>
    </row>
    <row r="28" spans="1:4">
      <c r="A28" s="121" t="s">
        <v>172</v>
      </c>
      <c r="B28" s="122">
        <f>E12</f>
        <v>28708866600.800003</v>
      </c>
    </row>
    <row r="29" spans="1:4">
      <c r="A29" s="121" t="s">
        <v>108</v>
      </c>
      <c r="B29" s="123">
        <v>1.5299999999999999E-2</v>
      </c>
    </row>
    <row r="30" spans="1:4" ht="13.5" thickBot="1">
      <c r="A30" s="128" t="s">
        <v>107</v>
      </c>
      <c r="B30" s="205">
        <f>B28*B29</f>
        <v>439245658.99224001</v>
      </c>
    </row>
    <row r="31" spans="1:4" ht="14.25" thickTop="1" thickBot="1"/>
    <row r="32" spans="1:4" ht="27.75" customHeight="1" thickTop="1">
      <c r="A32" s="118" t="s">
        <v>169</v>
      </c>
      <c r="B32" s="120" t="s">
        <v>129</v>
      </c>
    </row>
    <row r="33" spans="1:5">
      <c r="A33" s="121" t="s">
        <v>133</v>
      </c>
      <c r="B33" s="122">
        <f>$E$12</f>
        <v>28708866600.800003</v>
      </c>
    </row>
    <row r="34" spans="1:5">
      <c r="A34" s="121" t="s">
        <v>108</v>
      </c>
      <c r="B34" s="123">
        <v>5.4000000000000003E-3</v>
      </c>
    </row>
    <row r="35" spans="1:5" ht="13.5" thickBot="1">
      <c r="A35" s="128" t="s">
        <v>107</v>
      </c>
      <c r="B35" s="205">
        <f>B33*B34</f>
        <v>155027879.64432001</v>
      </c>
    </row>
    <row r="36" spans="1:5" ht="14.25" thickTop="1" thickBot="1"/>
    <row r="37" spans="1:5" ht="26.25" thickTop="1">
      <c r="A37" s="118" t="s">
        <v>171</v>
      </c>
      <c r="B37" s="119" t="s">
        <v>129</v>
      </c>
      <c r="C37" s="120" t="s">
        <v>191</v>
      </c>
    </row>
    <row r="38" spans="1:5">
      <c r="A38" s="121" t="s">
        <v>133</v>
      </c>
      <c r="B38" s="115">
        <f>$E$12</f>
        <v>28708866600.800003</v>
      </c>
      <c r="C38" s="122">
        <v>367143657</v>
      </c>
    </row>
    <row r="39" spans="1:5">
      <c r="A39" s="121" t="s">
        <v>108</v>
      </c>
      <c r="B39" s="116">
        <v>1.2800000000000001E-2</v>
      </c>
      <c r="C39" s="123">
        <v>1</v>
      </c>
    </row>
    <row r="40" spans="1:5">
      <c r="A40" s="121" t="s">
        <v>107</v>
      </c>
      <c r="B40" s="117">
        <f>B38*B39</f>
        <v>367473492.49024004</v>
      </c>
      <c r="C40" s="124">
        <f>C38*C39</f>
        <v>367143657</v>
      </c>
    </row>
    <row r="41" spans="1:5">
      <c r="A41" s="125"/>
      <c r="B41" s="126"/>
      <c r="C41" s="127"/>
      <c r="D41" s="290">
        <f>B40/12</f>
        <v>30622791.040853336</v>
      </c>
      <c r="E41" s="290">
        <f>C40/12</f>
        <v>30595304.75</v>
      </c>
    </row>
    <row r="42" spans="1:5" ht="24" customHeight="1">
      <c r="A42" s="301" t="s">
        <v>132</v>
      </c>
      <c r="B42" s="304" t="s">
        <v>173</v>
      </c>
      <c r="C42" s="310"/>
    </row>
    <row r="43" spans="1:5">
      <c r="A43" s="302"/>
      <c r="B43" s="311" t="str">
        <f>IF(B40&gt;C40,"1.28% Particpaciones del Estado","Ley de Egresos 2021")</f>
        <v>1.28% Particpaciones del Estado</v>
      </c>
      <c r="C43" s="312"/>
    </row>
    <row r="44" spans="1:5">
      <c r="A44" s="303"/>
      <c r="B44" s="313"/>
      <c r="C44" s="314"/>
    </row>
    <row r="45" spans="1:5" ht="13.5" thickBot="1">
      <c r="A45" s="128" t="s">
        <v>184</v>
      </c>
      <c r="B45" s="299">
        <f>C40</f>
        <v>367143657</v>
      </c>
      <c r="C45" s="300"/>
    </row>
    <row r="46" spans="1:5" ht="13.5" thickTop="1"/>
  </sheetData>
  <mergeCells count="9">
    <mergeCell ref="B45:C45"/>
    <mergeCell ref="B43:C44"/>
    <mergeCell ref="A1:D1"/>
    <mergeCell ref="B21:D21"/>
    <mergeCell ref="B22:D22"/>
    <mergeCell ref="B24:D24"/>
    <mergeCell ref="A42:A44"/>
    <mergeCell ref="A21:A23"/>
    <mergeCell ref="B42:C4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2"/>
  <sheetViews>
    <sheetView zoomScale="70" zoomScaleNormal="70" workbookViewId="0">
      <selection activeCell="J62" sqref="J62"/>
    </sheetView>
  </sheetViews>
  <sheetFormatPr baseColWidth="10" defaultColWidth="11.42578125" defaultRowHeight="12.75"/>
  <cols>
    <col min="1" max="1" width="28.28515625" style="9" customWidth="1"/>
    <col min="2" max="2" width="18.42578125" style="9" customWidth="1"/>
    <col min="3" max="3" width="15.140625" style="9" customWidth="1"/>
    <col min="4" max="4" width="19.7109375" style="9" customWidth="1"/>
    <col min="5" max="5" width="20.7109375" style="9" customWidth="1"/>
    <col min="6" max="6" width="15.140625" style="9" customWidth="1"/>
    <col min="7" max="8" width="11.42578125" style="13"/>
    <col min="9" max="9" width="28.140625" style="13" bestFit="1" customWidth="1"/>
    <col min="10" max="14" width="20.7109375" style="13" customWidth="1"/>
    <col min="15" max="15" width="11.42578125" style="13"/>
    <col min="16" max="16" width="28.140625" style="13" bestFit="1" customWidth="1"/>
    <col min="17" max="21" width="20.7109375" style="13" customWidth="1"/>
    <col min="22" max="22" width="11.42578125" style="13"/>
    <col min="23" max="23" width="28.140625" style="13" bestFit="1" customWidth="1"/>
    <col min="24" max="28" width="20.7109375" style="13" customWidth="1"/>
    <col min="29" max="16384" width="11.42578125" style="13"/>
  </cols>
  <sheetData>
    <row r="1" spans="1:28">
      <c r="A1" s="294" t="s">
        <v>105</v>
      </c>
      <c r="B1" s="294"/>
      <c r="C1" s="294"/>
      <c r="D1" s="294"/>
      <c r="E1" s="294"/>
      <c r="F1" s="294"/>
      <c r="I1" s="294" t="s">
        <v>105</v>
      </c>
      <c r="J1" s="294"/>
      <c r="K1" s="294"/>
      <c r="L1" s="294"/>
      <c r="M1" s="294"/>
      <c r="N1" s="294"/>
      <c r="P1" s="294" t="s">
        <v>105</v>
      </c>
      <c r="Q1" s="294"/>
      <c r="R1" s="294"/>
      <c r="S1" s="294"/>
      <c r="T1" s="294"/>
      <c r="U1" s="294"/>
      <c r="W1" s="294" t="s">
        <v>105</v>
      </c>
      <c r="X1" s="294"/>
      <c r="Y1" s="294"/>
      <c r="Z1" s="294"/>
      <c r="AA1" s="294"/>
      <c r="AB1" s="294"/>
    </row>
    <row r="2" spans="1:28">
      <c r="A2" s="294" t="s">
        <v>106</v>
      </c>
      <c r="B2" s="294"/>
      <c r="C2" s="294"/>
      <c r="D2" s="294"/>
      <c r="E2" s="294"/>
      <c r="F2" s="294"/>
      <c r="I2" s="294" t="s">
        <v>106</v>
      </c>
      <c r="J2" s="294"/>
      <c r="K2" s="294"/>
      <c r="L2" s="294"/>
      <c r="M2" s="294"/>
      <c r="N2" s="294"/>
      <c r="P2" s="294" t="s">
        <v>106</v>
      </c>
      <c r="Q2" s="294"/>
      <c r="R2" s="294"/>
      <c r="S2" s="294"/>
      <c r="T2" s="294"/>
      <c r="U2" s="294"/>
      <c r="W2" s="294" t="s">
        <v>106</v>
      </c>
      <c r="X2" s="294"/>
      <c r="Y2" s="294"/>
      <c r="Z2" s="294"/>
      <c r="AA2" s="294"/>
      <c r="AB2" s="294"/>
    </row>
    <row r="3" spans="1:28">
      <c r="A3" s="294" t="s">
        <v>186</v>
      </c>
      <c r="B3" s="294"/>
      <c r="C3" s="294"/>
      <c r="D3" s="294"/>
      <c r="E3" s="294"/>
      <c r="F3" s="294"/>
      <c r="I3" s="294" t="s">
        <v>186</v>
      </c>
      <c r="J3" s="294"/>
      <c r="K3" s="294"/>
      <c r="L3" s="294"/>
      <c r="M3" s="294"/>
      <c r="N3" s="294"/>
      <c r="P3" s="294" t="s">
        <v>186</v>
      </c>
      <c r="Q3" s="294"/>
      <c r="R3" s="294"/>
      <c r="S3" s="294"/>
      <c r="T3" s="294"/>
      <c r="U3" s="294"/>
      <c r="W3" s="294" t="s">
        <v>186</v>
      </c>
      <c r="X3" s="294"/>
      <c r="Y3" s="294"/>
      <c r="Z3" s="294"/>
      <c r="AA3" s="294"/>
      <c r="AB3" s="294"/>
    </row>
    <row r="4" spans="1:28" ht="13.5" thickBot="1">
      <c r="A4" s="294" t="s">
        <v>197</v>
      </c>
      <c r="B4" s="294"/>
      <c r="C4" s="294"/>
      <c r="D4" s="294"/>
      <c r="E4" s="294"/>
      <c r="F4" s="294"/>
      <c r="I4" s="294" t="s">
        <v>197</v>
      </c>
      <c r="J4" s="294"/>
      <c r="K4" s="294"/>
      <c r="L4" s="294"/>
      <c r="M4" s="294"/>
      <c r="N4" s="294"/>
      <c r="P4" s="294" t="s">
        <v>197</v>
      </c>
      <c r="Q4" s="294"/>
      <c r="R4" s="294"/>
      <c r="S4" s="294"/>
      <c r="T4" s="294"/>
      <c r="U4" s="294"/>
      <c r="W4" s="294" t="s">
        <v>197</v>
      </c>
      <c r="X4" s="294"/>
      <c r="Y4" s="294"/>
      <c r="Z4" s="294"/>
      <c r="AA4" s="294"/>
      <c r="AB4" s="294"/>
    </row>
    <row r="5" spans="1:28" ht="39.75" thickTop="1" thickBot="1">
      <c r="A5" s="67" t="s">
        <v>0</v>
      </c>
      <c r="B5" s="64" t="s">
        <v>157</v>
      </c>
      <c r="C5" s="64" t="s">
        <v>165</v>
      </c>
      <c r="D5" s="64" t="s">
        <v>170</v>
      </c>
      <c r="E5" s="64" t="s">
        <v>185</v>
      </c>
      <c r="F5" s="65" t="s">
        <v>53</v>
      </c>
      <c r="I5" s="271"/>
      <c r="J5" s="266" t="s">
        <v>187</v>
      </c>
      <c r="K5" s="266" t="s">
        <v>188</v>
      </c>
      <c r="L5" s="266" t="s">
        <v>189</v>
      </c>
      <c r="M5" s="268" t="s">
        <v>190</v>
      </c>
      <c r="N5" s="267" t="s">
        <v>53</v>
      </c>
      <c r="P5" s="271"/>
      <c r="Q5" s="266" t="s">
        <v>187</v>
      </c>
      <c r="R5" s="266" t="s">
        <v>188</v>
      </c>
      <c r="S5" s="266" t="s">
        <v>189</v>
      </c>
      <c r="T5" s="268" t="s">
        <v>190</v>
      </c>
      <c r="U5" s="267" t="s">
        <v>53</v>
      </c>
      <c r="W5" s="271"/>
      <c r="X5" s="266" t="s">
        <v>187</v>
      </c>
      <c r="Y5" s="266" t="s">
        <v>188</v>
      </c>
      <c r="Z5" s="266" t="s">
        <v>189</v>
      </c>
      <c r="AA5" s="268" t="s">
        <v>190</v>
      </c>
      <c r="AB5" s="267" t="s">
        <v>53</v>
      </c>
    </row>
    <row r="6" spans="1:28">
      <c r="A6" s="68" t="s">
        <v>1</v>
      </c>
      <c r="B6" s="9">
        <v>4562939.0966919307</v>
      </c>
      <c r="C6" s="9">
        <v>2441285.7200000002</v>
      </c>
      <c r="D6" s="9">
        <v>0</v>
      </c>
      <c r="E6" s="9">
        <v>321322.96431123291</v>
      </c>
      <c r="F6" s="66">
        <f t="shared" ref="F6:F37" si="0">SUM(B6:E6)</f>
        <v>7325547.7810031641</v>
      </c>
      <c r="I6" s="271" t="s">
        <v>6</v>
      </c>
      <c r="J6" s="264">
        <f t="shared" ref="J6:J17" si="1">VLOOKUP(I6,$A$6:$E$56,3,FALSE)</f>
        <v>23237127.629999999</v>
      </c>
      <c r="K6" s="264">
        <f t="shared" ref="K6:K17" si="2">VLOOKUP(I6,$A$6:$E$56,4,FALSE)</f>
        <v>26394086.023610257</v>
      </c>
      <c r="L6" s="264">
        <f t="shared" ref="L6:L17" si="3">VLOOKUP(I6,$A$6:$E$56,5,FALSE)</f>
        <v>19913132.947707031</v>
      </c>
      <c r="M6" s="265">
        <f t="shared" ref="M6:M17" si="4">VLOOKUP(I6,$A$6:$E$56,2,FALSE)</f>
        <v>37682659.87376523</v>
      </c>
      <c r="N6" s="269">
        <f>SUM(J6:M6)</f>
        <v>107227006.47508252</v>
      </c>
      <c r="P6" s="271" t="s">
        <v>6</v>
      </c>
      <c r="Q6" s="264">
        <v>23282655.170000002</v>
      </c>
      <c r="R6" s="264">
        <v>28645857.449999999</v>
      </c>
      <c r="S6" s="264">
        <v>19975423.179237131</v>
      </c>
      <c r="T6" s="265">
        <v>44849466.46741198</v>
      </c>
      <c r="U6" s="269">
        <f>SUM(Q6:T6)</f>
        <v>116753402.26664911</v>
      </c>
      <c r="V6" s="276"/>
      <c r="W6" s="271" t="s">
        <v>6</v>
      </c>
      <c r="X6" s="277">
        <f>Q6-J6</f>
        <v>45527.540000002831</v>
      </c>
      <c r="Y6" s="277">
        <f>R6-K6</f>
        <v>2251771.4263897426</v>
      </c>
      <c r="Z6" s="277">
        <f>S6-L6</f>
        <v>62290.231530100107</v>
      </c>
      <c r="AA6" s="278">
        <f>T6-M6</f>
        <v>7166806.5936467499</v>
      </c>
      <c r="AB6" s="279">
        <f>SUM(X6:AA6)</f>
        <v>9526395.7915665954</v>
      </c>
    </row>
    <row r="7" spans="1:28">
      <c r="A7" s="68" t="s">
        <v>2</v>
      </c>
      <c r="B7" s="9">
        <v>4640168.13</v>
      </c>
      <c r="C7" s="9">
        <v>3324386.94</v>
      </c>
      <c r="D7" s="9">
        <v>0</v>
      </c>
      <c r="E7" s="9">
        <v>1796569.8522838235</v>
      </c>
      <c r="F7" s="66">
        <f t="shared" si="0"/>
        <v>9761124.9222838245</v>
      </c>
      <c r="I7" s="272" t="s">
        <v>9</v>
      </c>
      <c r="J7" s="263">
        <f t="shared" si="1"/>
        <v>9693407.8100000005</v>
      </c>
      <c r="K7" s="263">
        <f t="shared" si="2"/>
        <v>9474739.389337305</v>
      </c>
      <c r="L7" s="263">
        <f t="shared" si="3"/>
        <v>3558205.5434952863</v>
      </c>
      <c r="M7" s="222">
        <f t="shared" si="4"/>
        <v>10277016.806674574</v>
      </c>
      <c r="N7" s="219">
        <f t="shared" ref="N7:N57" si="5">SUM(J7:M7)</f>
        <v>33003369.549507163</v>
      </c>
      <c r="P7" s="272" t="s">
        <v>9</v>
      </c>
      <c r="Q7" s="263">
        <v>9548732.7699999996</v>
      </c>
      <c r="R7" s="263">
        <v>9486442.7599999998</v>
      </c>
      <c r="S7" s="263">
        <v>6080772.1341687515</v>
      </c>
      <c r="T7" s="222">
        <v>10534606.81053259</v>
      </c>
      <c r="U7" s="219">
        <f t="shared" ref="U7:U17" si="6">SUM(Q7:T7)</f>
        <v>35650554.474701345</v>
      </c>
      <c r="W7" s="272" t="s">
        <v>9</v>
      </c>
      <c r="X7" s="280">
        <f t="shared" ref="X7:X57" si="7">Q7-J7</f>
        <v>-144675.04000000097</v>
      </c>
      <c r="Y7" s="280">
        <f t="shared" ref="Y7:Y57" si="8">R7-K7</f>
        <v>11703.370662694797</v>
      </c>
      <c r="Z7" s="280">
        <f t="shared" ref="Z7:Z57" si="9">S7-L7</f>
        <v>2522566.5906734653</v>
      </c>
      <c r="AA7" s="281">
        <f t="shared" ref="AA7:AA57" si="10">T7-M7</f>
        <v>257590.0038580168</v>
      </c>
      <c r="AB7" s="282">
        <f t="shared" ref="AB7:AB17" si="11">SUM(X7:AA7)</f>
        <v>2647184.9251941759</v>
      </c>
    </row>
    <row r="8" spans="1:28">
      <c r="A8" s="68" t="s">
        <v>3</v>
      </c>
      <c r="B8" s="9">
        <v>4266326.5999999996</v>
      </c>
      <c r="C8" s="9">
        <v>3398906.55</v>
      </c>
      <c r="D8" s="9">
        <v>0</v>
      </c>
      <c r="E8" s="9">
        <v>1921057.0751348846</v>
      </c>
      <c r="F8" s="66">
        <f t="shared" si="0"/>
        <v>9586290.2251348831</v>
      </c>
      <c r="I8" s="272" t="s">
        <v>18</v>
      </c>
      <c r="J8" s="263">
        <f t="shared" si="1"/>
        <v>13286424.48</v>
      </c>
      <c r="K8" s="263">
        <f t="shared" si="2"/>
        <v>15890021.446048504</v>
      </c>
      <c r="L8" s="263">
        <f t="shared" si="3"/>
        <v>7897008.1408915808</v>
      </c>
      <c r="M8" s="222">
        <f t="shared" si="4"/>
        <v>24380281.196164481</v>
      </c>
      <c r="N8" s="219">
        <f t="shared" si="5"/>
        <v>61453735.263104565</v>
      </c>
      <c r="P8" s="272" t="s">
        <v>18</v>
      </c>
      <c r="Q8" s="263">
        <v>12255078.59</v>
      </c>
      <c r="R8" s="263">
        <v>14246136.279999999</v>
      </c>
      <c r="S8" s="263">
        <v>6658903.2770231804</v>
      </c>
      <c r="T8" s="222">
        <v>20920318.281674031</v>
      </c>
      <c r="U8" s="219">
        <f t="shared" si="6"/>
        <v>54080436.428697214</v>
      </c>
      <c r="W8" s="272" t="s">
        <v>18</v>
      </c>
      <c r="X8" s="280">
        <f t="shared" si="7"/>
        <v>-1031345.8900000006</v>
      </c>
      <c r="Y8" s="280">
        <f t="shared" si="8"/>
        <v>-1643885.1660485044</v>
      </c>
      <c r="Z8" s="280">
        <f t="shared" si="9"/>
        <v>-1238104.8638684005</v>
      </c>
      <c r="AA8" s="281">
        <f t="shared" si="10"/>
        <v>-3459962.9144904502</v>
      </c>
      <c r="AB8" s="282">
        <f t="shared" si="11"/>
        <v>-7373298.8344073556</v>
      </c>
    </row>
    <row r="9" spans="1:28">
      <c r="A9" s="68" t="s">
        <v>4</v>
      </c>
      <c r="B9" s="9">
        <v>10679743.710000001</v>
      </c>
      <c r="C9" s="9">
        <v>5701763.79</v>
      </c>
      <c r="D9" s="9">
        <v>0</v>
      </c>
      <c r="E9" s="9">
        <v>5768048.6439359272</v>
      </c>
      <c r="F9" s="66">
        <f t="shared" si="0"/>
        <v>22149556.143935926</v>
      </c>
      <c r="I9" s="272" t="s">
        <v>20</v>
      </c>
      <c r="J9" s="263">
        <f t="shared" si="1"/>
        <v>17721794.68</v>
      </c>
      <c r="K9" s="263">
        <f t="shared" si="2"/>
        <v>20115528.179039277</v>
      </c>
      <c r="L9" s="263">
        <f t="shared" si="3"/>
        <v>13253007.718835007</v>
      </c>
      <c r="M9" s="222">
        <f t="shared" si="4"/>
        <v>28690666.671491794</v>
      </c>
      <c r="N9" s="219">
        <f t="shared" si="5"/>
        <v>79780997.249366075</v>
      </c>
      <c r="P9" s="272" t="s">
        <v>20</v>
      </c>
      <c r="Q9" s="263">
        <v>17641019.199999999</v>
      </c>
      <c r="R9" s="263">
        <v>21407525.73</v>
      </c>
      <c r="S9" s="263">
        <v>13162778.798296982</v>
      </c>
      <c r="T9" s="222">
        <v>33080484.605316535</v>
      </c>
      <c r="U9" s="219">
        <f t="shared" si="6"/>
        <v>85291808.333613515</v>
      </c>
      <c r="W9" s="272" t="s">
        <v>20</v>
      </c>
      <c r="X9" s="280">
        <f t="shared" si="7"/>
        <v>-80775.480000000447</v>
      </c>
      <c r="Y9" s="280">
        <f t="shared" si="8"/>
        <v>1291997.5509607233</v>
      </c>
      <c r="Z9" s="280">
        <f t="shared" si="9"/>
        <v>-90228.920538024977</v>
      </c>
      <c r="AA9" s="281">
        <f t="shared" si="10"/>
        <v>4389817.9338247404</v>
      </c>
      <c r="AB9" s="282">
        <f t="shared" si="11"/>
        <v>5510811.0842474382</v>
      </c>
    </row>
    <row r="10" spans="1:28">
      <c r="A10" s="68" t="s">
        <v>5</v>
      </c>
      <c r="B10" s="9">
        <v>7412841.9299999997</v>
      </c>
      <c r="C10" s="9">
        <v>5339978.7</v>
      </c>
      <c r="D10" s="9">
        <v>0</v>
      </c>
      <c r="E10" s="9">
        <v>5163675.8803278459</v>
      </c>
      <c r="F10" s="66">
        <f t="shared" si="0"/>
        <v>17916496.510327846</v>
      </c>
      <c r="I10" s="272" t="s">
        <v>25</v>
      </c>
      <c r="J10" s="263">
        <f t="shared" si="1"/>
        <v>24405129.510000002</v>
      </c>
      <c r="K10" s="263">
        <f t="shared" si="2"/>
        <v>0</v>
      </c>
      <c r="L10" s="263">
        <f t="shared" si="3"/>
        <v>21323571.603477571</v>
      </c>
      <c r="M10" s="222">
        <f t="shared" si="4"/>
        <v>36999169.671441227</v>
      </c>
      <c r="N10" s="219">
        <f t="shared" si="5"/>
        <v>82727870.7849188</v>
      </c>
      <c r="P10" s="272" t="s">
        <v>25</v>
      </c>
      <c r="Q10" s="263">
        <v>25364973.93</v>
      </c>
      <c r="R10" s="263">
        <v>0</v>
      </c>
      <c r="S10" s="263">
        <v>22489959.251444831</v>
      </c>
      <c r="T10" s="222">
        <v>50709572.495409966</v>
      </c>
      <c r="U10" s="219">
        <f t="shared" si="6"/>
        <v>98564505.676854789</v>
      </c>
      <c r="W10" s="272" t="s">
        <v>25</v>
      </c>
      <c r="X10" s="280">
        <f t="shared" si="7"/>
        <v>959844.41999999806</v>
      </c>
      <c r="Y10" s="280">
        <f t="shared" si="8"/>
        <v>0</v>
      </c>
      <c r="Z10" s="280">
        <f t="shared" si="9"/>
        <v>1166387.6479672603</v>
      </c>
      <c r="AA10" s="281">
        <f t="shared" si="10"/>
        <v>13710402.823968738</v>
      </c>
      <c r="AB10" s="282">
        <f t="shared" si="11"/>
        <v>15836634.891935997</v>
      </c>
    </row>
    <row r="11" spans="1:28">
      <c r="A11" s="68" t="s">
        <v>6</v>
      </c>
      <c r="B11" s="9">
        <v>37682659.87376523</v>
      </c>
      <c r="C11" s="9">
        <v>23237127.629999999</v>
      </c>
      <c r="D11" s="9">
        <v>26394086.023610257</v>
      </c>
      <c r="E11" s="9">
        <v>19913132.947707031</v>
      </c>
      <c r="F11" s="66">
        <f t="shared" si="0"/>
        <v>107227006.47508252</v>
      </c>
      <c r="I11" s="272" t="s">
        <v>31</v>
      </c>
      <c r="J11" s="263">
        <f t="shared" si="1"/>
        <v>14325436.029999999</v>
      </c>
      <c r="K11" s="263">
        <f t="shared" si="2"/>
        <v>17670403.823332909</v>
      </c>
      <c r="L11" s="263">
        <f t="shared" si="3"/>
        <v>9151682.5372307543</v>
      </c>
      <c r="M11" s="222">
        <f t="shared" si="4"/>
        <v>28193480.269531008</v>
      </c>
      <c r="N11" s="219">
        <f t="shared" si="5"/>
        <v>69341002.660094664</v>
      </c>
      <c r="P11" s="272" t="s">
        <v>31</v>
      </c>
      <c r="Q11" s="263">
        <v>13479964.83</v>
      </c>
      <c r="R11" s="263">
        <v>16723437.619999999</v>
      </c>
      <c r="S11" s="263">
        <v>8138033.5227512307</v>
      </c>
      <c r="T11" s="222">
        <v>26810383.882002413</v>
      </c>
      <c r="U11" s="219">
        <f t="shared" si="6"/>
        <v>65151819.854753643</v>
      </c>
      <c r="W11" s="272" t="s">
        <v>31</v>
      </c>
      <c r="X11" s="280">
        <f t="shared" si="7"/>
        <v>-845471.19999999925</v>
      </c>
      <c r="Y11" s="280">
        <f t="shared" si="8"/>
        <v>-946966.20333291031</v>
      </c>
      <c r="Z11" s="280">
        <f t="shared" si="9"/>
        <v>-1013649.0144795235</v>
      </c>
      <c r="AA11" s="281">
        <f t="shared" si="10"/>
        <v>-1383096.3875285946</v>
      </c>
      <c r="AB11" s="282">
        <f t="shared" si="11"/>
        <v>-4189182.8053410277</v>
      </c>
    </row>
    <row r="12" spans="1:28">
      <c r="A12" s="68" t="s">
        <v>7</v>
      </c>
      <c r="B12" s="9">
        <v>6837788.4800000004</v>
      </c>
      <c r="C12" s="9">
        <v>6751803.8700000001</v>
      </c>
      <c r="D12" s="9">
        <v>0</v>
      </c>
      <c r="E12" s="9">
        <v>7522171.8474793527</v>
      </c>
      <c r="F12" s="66">
        <f t="shared" si="0"/>
        <v>21111764.197479352</v>
      </c>
      <c r="I12" s="272" t="s">
        <v>39</v>
      </c>
      <c r="J12" s="263">
        <f t="shared" si="1"/>
        <v>66146850.710000001</v>
      </c>
      <c r="K12" s="263">
        <f t="shared" si="2"/>
        <v>0</v>
      </c>
      <c r="L12" s="263">
        <f t="shared" si="3"/>
        <v>71729429.745989323</v>
      </c>
      <c r="M12" s="222">
        <f t="shared" si="4"/>
        <v>62646137.701007858</v>
      </c>
      <c r="N12" s="219">
        <f t="shared" si="5"/>
        <v>200522418.1569972</v>
      </c>
      <c r="P12" s="272" t="s">
        <v>39</v>
      </c>
      <c r="Q12" s="263">
        <v>66697182.609999999</v>
      </c>
      <c r="R12" s="263">
        <v>0</v>
      </c>
      <c r="S12" s="263">
        <v>72401304.254294619</v>
      </c>
      <c r="T12" s="222">
        <v>79868239.27235584</v>
      </c>
      <c r="U12" s="219">
        <f t="shared" si="6"/>
        <v>218966726.13665044</v>
      </c>
      <c r="W12" s="272" t="s">
        <v>39</v>
      </c>
      <c r="X12" s="280">
        <f t="shared" si="7"/>
        <v>550331.89999999851</v>
      </c>
      <c r="Y12" s="280">
        <f t="shared" si="8"/>
        <v>0</v>
      </c>
      <c r="Z12" s="280">
        <f t="shared" si="9"/>
        <v>671874.5083052963</v>
      </c>
      <c r="AA12" s="281">
        <f t="shared" si="10"/>
        <v>17222101.571347982</v>
      </c>
      <c r="AB12" s="282">
        <f t="shared" si="11"/>
        <v>18444307.979653277</v>
      </c>
    </row>
    <row r="13" spans="1:28">
      <c r="A13" s="68" t="s">
        <v>8</v>
      </c>
      <c r="B13" s="9">
        <v>4692979.16</v>
      </c>
      <c r="C13" s="9">
        <v>2847114.17</v>
      </c>
      <c r="D13" s="9">
        <v>0</v>
      </c>
      <c r="E13" s="9">
        <v>999271.4828422555</v>
      </c>
      <c r="F13" s="66">
        <f t="shared" si="0"/>
        <v>8539364.8128422555</v>
      </c>
      <c r="I13" s="272" t="s">
        <v>45</v>
      </c>
      <c r="J13" s="263">
        <f t="shared" si="1"/>
        <v>8800078.8800000008</v>
      </c>
      <c r="K13" s="263">
        <f t="shared" si="2"/>
        <v>8353830.3409364149</v>
      </c>
      <c r="L13" s="263">
        <f t="shared" si="3"/>
        <v>2479452.433364782</v>
      </c>
      <c r="M13" s="222">
        <f t="shared" si="4"/>
        <v>8451896.3212104775</v>
      </c>
      <c r="N13" s="219">
        <f t="shared" si="5"/>
        <v>28085257.975511678</v>
      </c>
      <c r="P13" s="272" t="s">
        <v>45</v>
      </c>
      <c r="Q13" s="263">
        <v>8567683.1699999999</v>
      </c>
      <c r="R13" s="263">
        <v>8015543.1900000004</v>
      </c>
      <c r="S13" s="263">
        <v>2344408.0906964196</v>
      </c>
      <c r="T13" s="222">
        <v>7706778.8669623602</v>
      </c>
      <c r="U13" s="219">
        <f t="shared" si="6"/>
        <v>26634413.317658782</v>
      </c>
      <c r="W13" s="272" t="s">
        <v>45</v>
      </c>
      <c r="X13" s="280">
        <f t="shared" si="7"/>
        <v>-232395.71000000089</v>
      </c>
      <c r="Y13" s="280">
        <f t="shared" si="8"/>
        <v>-338287.15093641449</v>
      </c>
      <c r="Z13" s="280">
        <f t="shared" si="9"/>
        <v>-135044.34266836243</v>
      </c>
      <c r="AA13" s="281">
        <f t="shared" si="10"/>
        <v>-745117.45424811728</v>
      </c>
      <c r="AB13" s="282">
        <f t="shared" si="11"/>
        <v>-1450844.6578528951</v>
      </c>
    </row>
    <row r="14" spans="1:28">
      <c r="A14" s="68" t="s">
        <v>9</v>
      </c>
      <c r="B14" s="9">
        <v>10277016.806674574</v>
      </c>
      <c r="C14" s="9">
        <v>9693407.8100000005</v>
      </c>
      <c r="D14" s="9">
        <v>9474739.389337305</v>
      </c>
      <c r="E14" s="9">
        <v>3558205.5434952863</v>
      </c>
      <c r="F14" s="66">
        <f t="shared" si="0"/>
        <v>33003369.549507163</v>
      </c>
      <c r="I14" s="272" t="s">
        <v>46</v>
      </c>
      <c r="J14" s="263">
        <f t="shared" si="1"/>
        <v>21160275.140000001</v>
      </c>
      <c r="K14" s="263">
        <f t="shared" si="2"/>
        <v>0</v>
      </c>
      <c r="L14" s="263">
        <f t="shared" si="3"/>
        <v>17405197.750645991</v>
      </c>
      <c r="M14" s="222">
        <f t="shared" si="4"/>
        <v>25149611.733935378</v>
      </c>
      <c r="N14" s="219">
        <f t="shared" si="5"/>
        <v>63715084.624581374</v>
      </c>
      <c r="P14" s="272" t="s">
        <v>46</v>
      </c>
      <c r="Q14" s="263">
        <v>21683055.550000001</v>
      </c>
      <c r="R14" s="263">
        <v>0</v>
      </c>
      <c r="S14" s="263">
        <v>18043802.028718401</v>
      </c>
      <c r="T14" s="222">
        <v>33422146.851413317</v>
      </c>
      <c r="U14" s="219">
        <f t="shared" si="6"/>
        <v>73149004.430131719</v>
      </c>
      <c r="W14" s="272" t="s">
        <v>46</v>
      </c>
      <c r="X14" s="280">
        <f t="shared" si="7"/>
        <v>522780.41000000015</v>
      </c>
      <c r="Y14" s="280">
        <f t="shared" si="8"/>
        <v>0</v>
      </c>
      <c r="Z14" s="280">
        <f t="shared" si="9"/>
        <v>638604.27807240933</v>
      </c>
      <c r="AA14" s="281">
        <f t="shared" si="10"/>
        <v>8272535.1174779385</v>
      </c>
      <c r="AB14" s="282">
        <f t="shared" si="11"/>
        <v>9433919.805550348</v>
      </c>
    </row>
    <row r="15" spans="1:28">
      <c r="A15" s="68" t="s">
        <v>10</v>
      </c>
      <c r="B15" s="9">
        <v>23776311.68</v>
      </c>
      <c r="C15" s="9">
        <v>4591180.75</v>
      </c>
      <c r="D15" s="9">
        <v>8058789.1666300381</v>
      </c>
      <c r="E15" s="9">
        <v>3912786.6144030662</v>
      </c>
      <c r="F15" s="66">
        <f t="shared" si="0"/>
        <v>40339068.211033106</v>
      </c>
      <c r="I15" s="272" t="s">
        <v>47</v>
      </c>
      <c r="J15" s="263">
        <f t="shared" si="1"/>
        <v>39615398.719999999</v>
      </c>
      <c r="K15" s="263">
        <f t="shared" si="2"/>
        <v>0</v>
      </c>
      <c r="L15" s="263">
        <f t="shared" si="3"/>
        <v>39690966.383817434</v>
      </c>
      <c r="M15" s="222">
        <f t="shared" si="4"/>
        <v>10781489.118756974</v>
      </c>
      <c r="N15" s="219">
        <f t="shared" si="5"/>
        <v>90087854.222574413</v>
      </c>
      <c r="P15" s="272" t="s">
        <v>47</v>
      </c>
      <c r="Q15" s="263">
        <v>39465188.299999997</v>
      </c>
      <c r="R15" s="263">
        <v>0</v>
      </c>
      <c r="S15" s="263">
        <v>39516890.218708888</v>
      </c>
      <c r="T15" s="222">
        <v>12423975.091150288</v>
      </c>
      <c r="U15" s="219">
        <f t="shared" si="6"/>
        <v>91406053.609859169</v>
      </c>
      <c r="W15" s="272" t="s">
        <v>47</v>
      </c>
      <c r="X15" s="280">
        <f t="shared" si="7"/>
        <v>-150210.42000000179</v>
      </c>
      <c r="Y15" s="280">
        <f t="shared" si="8"/>
        <v>0</v>
      </c>
      <c r="Z15" s="280">
        <f t="shared" si="9"/>
        <v>-174076.16510854661</v>
      </c>
      <c r="AA15" s="281">
        <f t="shared" si="10"/>
        <v>1642485.9723933134</v>
      </c>
      <c r="AB15" s="282">
        <f t="shared" si="11"/>
        <v>1318199.387284765</v>
      </c>
    </row>
    <row r="16" spans="1:28">
      <c r="A16" s="68" t="s">
        <v>11</v>
      </c>
      <c r="B16" s="9">
        <v>5389365.4900000002</v>
      </c>
      <c r="C16" s="9">
        <v>3564282.4</v>
      </c>
      <c r="D16" s="9">
        <v>0</v>
      </c>
      <c r="E16" s="9">
        <v>2197322.3439074308</v>
      </c>
      <c r="F16" s="66">
        <f t="shared" si="0"/>
        <v>11150970.233907431</v>
      </c>
      <c r="I16" s="272" t="s">
        <v>48</v>
      </c>
      <c r="J16" s="263">
        <f t="shared" si="1"/>
        <v>14864043.029999999</v>
      </c>
      <c r="K16" s="263">
        <f t="shared" si="2"/>
        <v>15645736.289694797</v>
      </c>
      <c r="L16" s="263">
        <f t="shared" si="3"/>
        <v>9802085.7211358696</v>
      </c>
      <c r="M16" s="222">
        <f t="shared" si="4"/>
        <v>19717144.79065343</v>
      </c>
      <c r="N16" s="219">
        <f t="shared" si="5"/>
        <v>60029009.831484094</v>
      </c>
      <c r="P16" s="272" t="s">
        <v>48</v>
      </c>
      <c r="Q16" s="263">
        <v>15052318.01</v>
      </c>
      <c r="R16" s="263">
        <v>17171332.84</v>
      </c>
      <c r="S16" s="263">
        <v>10036752.817523148</v>
      </c>
      <c r="T16" s="222">
        <v>24311906.031516474</v>
      </c>
      <c r="U16" s="219">
        <f t="shared" si="6"/>
        <v>66572309.699039623</v>
      </c>
      <c r="W16" s="272" t="s">
        <v>48</v>
      </c>
      <c r="X16" s="280">
        <f t="shared" si="7"/>
        <v>188274.98000000045</v>
      </c>
      <c r="Y16" s="280">
        <f t="shared" si="8"/>
        <v>1525596.5503052026</v>
      </c>
      <c r="Z16" s="280">
        <f t="shared" si="9"/>
        <v>234667.09638727829</v>
      </c>
      <c r="AA16" s="281">
        <f t="shared" si="10"/>
        <v>4594761.2408630438</v>
      </c>
      <c r="AB16" s="282">
        <f t="shared" si="11"/>
        <v>6543299.8675555252</v>
      </c>
    </row>
    <row r="17" spans="1:28" ht="13.5" thickBot="1">
      <c r="A17" s="68" t="s">
        <v>12</v>
      </c>
      <c r="B17" s="9">
        <v>5879618.4400000004</v>
      </c>
      <c r="C17" s="9">
        <v>5286075.2300000004</v>
      </c>
      <c r="D17" s="9">
        <v>0</v>
      </c>
      <c r="E17" s="9">
        <v>5073628.5276064463</v>
      </c>
      <c r="F17" s="66">
        <f t="shared" si="0"/>
        <v>16239322.197606448</v>
      </c>
      <c r="I17" s="272" t="s">
        <v>49</v>
      </c>
      <c r="J17" s="263">
        <f t="shared" si="1"/>
        <v>10291428.779999999</v>
      </c>
      <c r="K17" s="263">
        <f t="shared" si="2"/>
        <v>8787454.3831691872</v>
      </c>
      <c r="L17" s="263">
        <f t="shared" si="3"/>
        <v>4280354.967553379</v>
      </c>
      <c r="M17" s="222">
        <f t="shared" si="4"/>
        <v>6400450.8389404938</v>
      </c>
      <c r="N17" s="219">
        <f t="shared" si="5"/>
        <v>29759688.969663061</v>
      </c>
      <c r="P17" s="272" t="s">
        <v>49</v>
      </c>
      <c r="Q17" s="263">
        <v>10272989.48</v>
      </c>
      <c r="R17" s="263">
        <v>9018342.1300000008</v>
      </c>
      <c r="S17" s="263">
        <v>4532747.80593001</v>
      </c>
      <c r="T17" s="222">
        <v>6900674.8488941686</v>
      </c>
      <c r="U17" s="219">
        <f t="shared" si="6"/>
        <v>30724754.264824178</v>
      </c>
      <c r="W17" s="272" t="s">
        <v>49</v>
      </c>
      <c r="X17" s="280">
        <f t="shared" si="7"/>
        <v>-18439.299999998882</v>
      </c>
      <c r="Y17" s="280">
        <f t="shared" si="8"/>
        <v>230887.74683081359</v>
      </c>
      <c r="Z17" s="280">
        <f t="shared" si="9"/>
        <v>252392.83837663103</v>
      </c>
      <c r="AA17" s="281">
        <f t="shared" si="10"/>
        <v>500224.00995367486</v>
      </c>
      <c r="AB17" s="282">
        <f t="shared" si="11"/>
        <v>965065.29516112059</v>
      </c>
    </row>
    <row r="18" spans="1:28" ht="13.5" thickBot="1">
      <c r="A18" s="68" t="s">
        <v>13</v>
      </c>
      <c r="B18" s="9">
        <v>17012903.190000001</v>
      </c>
      <c r="C18" s="9">
        <v>4314119.53</v>
      </c>
      <c r="D18" s="9">
        <v>7442204.1708095567</v>
      </c>
      <c r="E18" s="9">
        <v>3449947.5918254661</v>
      </c>
      <c r="F18" s="66">
        <f t="shared" si="0"/>
        <v>32219174.482635025</v>
      </c>
      <c r="I18" s="273" t="s">
        <v>150</v>
      </c>
      <c r="J18" s="274">
        <f>SUM(J6:J17)</f>
        <v>263547395.40000001</v>
      </c>
      <c r="K18" s="274">
        <f>SUM(K6:K17)</f>
        <v>122331799.87516865</v>
      </c>
      <c r="L18" s="274">
        <f>SUM(L6:L17)</f>
        <v>220484095.49414402</v>
      </c>
      <c r="M18" s="275">
        <f>SUM(M6:M17)</f>
        <v>299370004.99357289</v>
      </c>
      <c r="N18" s="270">
        <f>SUM(N6:N17)</f>
        <v>905733295.76288545</v>
      </c>
      <c r="P18" s="273" t="s">
        <v>150</v>
      </c>
      <c r="Q18" s="274">
        <f>SUM(Q6:Q17)</f>
        <v>263310841.60999998</v>
      </c>
      <c r="R18" s="274">
        <f>SUM(R6:R17)</f>
        <v>124714618</v>
      </c>
      <c r="S18" s="274">
        <f>SUM(S6:S17)</f>
        <v>223381775.37879363</v>
      </c>
      <c r="T18" s="275">
        <f>SUM(T6:T17)</f>
        <v>351538553.50463998</v>
      </c>
      <c r="U18" s="270">
        <f>SUM(U6:U17)</f>
        <v>962945788.49343336</v>
      </c>
      <c r="W18" s="273" t="s">
        <v>150</v>
      </c>
      <c r="X18" s="283">
        <f>SUM(X6:X17)</f>
        <v>-236553.79000000283</v>
      </c>
      <c r="Y18" s="283">
        <f>SUM(Y6:Y17)</f>
        <v>2382818.1248313477</v>
      </c>
      <c r="Z18" s="283">
        <f>SUM(Z6:Z17)</f>
        <v>2897679.8846495827</v>
      </c>
      <c r="AA18" s="284">
        <f>SUM(AA6:AA17)</f>
        <v>52168548.511067048</v>
      </c>
      <c r="AB18" s="285">
        <f>SUM(AB6:AB17)</f>
        <v>57212492.730547957</v>
      </c>
    </row>
    <row r="19" spans="1:28">
      <c r="A19" s="68" t="s">
        <v>14</v>
      </c>
      <c r="B19" s="9">
        <v>10830983.9</v>
      </c>
      <c r="C19" s="9">
        <v>12411050.140000001</v>
      </c>
      <c r="D19" s="9">
        <v>0</v>
      </c>
      <c r="E19" s="9">
        <v>16976111.196089759</v>
      </c>
      <c r="F19" s="66">
        <f t="shared" si="0"/>
        <v>40218145.236089759</v>
      </c>
      <c r="I19" s="272" t="s">
        <v>1</v>
      </c>
      <c r="J19" s="263">
        <f t="shared" ref="J19:J57" si="12">VLOOKUP(I19,$A$6:$E$56,3,FALSE)</f>
        <v>2441285.7200000002</v>
      </c>
      <c r="K19" s="263">
        <f t="shared" ref="K19:K57" si="13">VLOOKUP(I19,$A$6:$E$56,4,FALSE)</f>
        <v>0</v>
      </c>
      <c r="L19" s="263">
        <f t="shared" ref="L19:L57" si="14">VLOOKUP(I19,$A$6:$E$56,5,FALSE)</f>
        <v>321322.96431123291</v>
      </c>
      <c r="M19" s="222">
        <f t="shared" ref="M19:M57" si="15">VLOOKUP(I19,$A$6:$E$56,2,FALSE)</f>
        <v>4562939.0966919307</v>
      </c>
      <c r="N19" s="219">
        <f t="shared" si="5"/>
        <v>7325547.7810031641</v>
      </c>
      <c r="P19" s="272" t="s">
        <v>1</v>
      </c>
      <c r="Q19" s="263">
        <v>2443293.2200000002</v>
      </c>
      <c r="R19" s="263">
        <v>0</v>
      </c>
      <c r="S19" s="263">
        <v>1718741.9861008578</v>
      </c>
      <c r="T19" s="222">
        <v>4783188.2086414928</v>
      </c>
      <c r="U19" s="219">
        <f t="shared" ref="U19:U57" si="16">SUM(Q19:T19)</f>
        <v>8945223.4147423506</v>
      </c>
      <c r="W19" s="272" t="s">
        <v>1</v>
      </c>
      <c r="X19" s="280">
        <f t="shared" si="7"/>
        <v>2007.5</v>
      </c>
      <c r="Y19" s="280">
        <f t="shared" si="8"/>
        <v>0</v>
      </c>
      <c r="Z19" s="280">
        <f t="shared" si="9"/>
        <v>1397419.0217896248</v>
      </c>
      <c r="AA19" s="281">
        <f t="shared" si="10"/>
        <v>220249.1119495621</v>
      </c>
      <c r="AB19" s="282">
        <f t="shared" ref="AB19:AB57" si="17">SUM(X19:AA19)</f>
        <v>1619675.6337391869</v>
      </c>
    </row>
    <row r="20" spans="1:28">
      <c r="A20" s="68" t="s">
        <v>15</v>
      </c>
      <c r="B20" s="9">
        <v>4257430.12</v>
      </c>
      <c r="C20" s="9">
        <v>3547003.56</v>
      </c>
      <c r="D20" s="9">
        <v>0</v>
      </c>
      <c r="E20" s="9">
        <v>2168457.5281603355</v>
      </c>
      <c r="F20" s="66">
        <f t="shared" si="0"/>
        <v>9972891.2081603352</v>
      </c>
      <c r="I20" s="272" t="s">
        <v>2</v>
      </c>
      <c r="J20" s="263">
        <f t="shared" si="12"/>
        <v>3324386.94</v>
      </c>
      <c r="K20" s="263">
        <f t="shared" si="13"/>
        <v>0</v>
      </c>
      <c r="L20" s="263">
        <f t="shared" si="14"/>
        <v>1796569.8522838235</v>
      </c>
      <c r="M20" s="222">
        <f t="shared" si="15"/>
        <v>4640168.13</v>
      </c>
      <c r="N20" s="219">
        <f t="shared" si="5"/>
        <v>9761124.9222838245</v>
      </c>
      <c r="P20" s="272" t="s">
        <v>2</v>
      </c>
      <c r="Q20" s="263">
        <v>3334020.9</v>
      </c>
      <c r="R20" s="263">
        <v>0</v>
      </c>
      <c r="S20" s="263">
        <v>2900632.6789315413</v>
      </c>
      <c r="T20" s="222">
        <v>4723833.2856675256</v>
      </c>
      <c r="U20" s="219">
        <f t="shared" si="16"/>
        <v>10958486.864599068</v>
      </c>
      <c r="W20" s="272" t="s">
        <v>2</v>
      </c>
      <c r="X20" s="280">
        <f t="shared" si="7"/>
        <v>9633.9599999999627</v>
      </c>
      <c r="Y20" s="280">
        <f t="shared" si="8"/>
        <v>0</v>
      </c>
      <c r="Z20" s="280">
        <f t="shared" si="9"/>
        <v>1104062.8266477177</v>
      </c>
      <c r="AA20" s="281">
        <f t="shared" si="10"/>
        <v>83665.155667525716</v>
      </c>
      <c r="AB20" s="282">
        <f t="shared" si="17"/>
        <v>1197361.9423152434</v>
      </c>
    </row>
    <row r="21" spans="1:28">
      <c r="A21" s="68" t="s">
        <v>16</v>
      </c>
      <c r="B21" s="9">
        <v>4616317.99</v>
      </c>
      <c r="C21" s="9">
        <v>2748931.17</v>
      </c>
      <c r="D21" s="9">
        <v>0</v>
      </c>
      <c r="E21" s="9">
        <v>835253.84726699162</v>
      </c>
      <c r="F21" s="66">
        <f t="shared" si="0"/>
        <v>8200503.0072669918</v>
      </c>
      <c r="I21" s="272" t="s">
        <v>3</v>
      </c>
      <c r="J21" s="263">
        <f t="shared" si="12"/>
        <v>3398906.55</v>
      </c>
      <c r="K21" s="263">
        <f t="shared" si="13"/>
        <v>0</v>
      </c>
      <c r="L21" s="263">
        <f t="shared" si="14"/>
        <v>1921057.0751348846</v>
      </c>
      <c r="M21" s="222">
        <f t="shared" si="15"/>
        <v>4266326.5999999996</v>
      </c>
      <c r="N21" s="219">
        <f t="shared" si="5"/>
        <v>9586290.2251348831</v>
      </c>
      <c r="P21" s="272" t="s">
        <v>3</v>
      </c>
      <c r="Q21" s="263">
        <v>3421062.17</v>
      </c>
      <c r="R21" s="263">
        <v>0</v>
      </c>
      <c r="S21" s="263">
        <v>2084379.9700768916</v>
      </c>
      <c r="T21" s="222">
        <v>4383432.8024118254</v>
      </c>
      <c r="U21" s="219">
        <f t="shared" si="16"/>
        <v>9888874.9424887169</v>
      </c>
      <c r="W21" s="272" t="s">
        <v>3</v>
      </c>
      <c r="X21" s="280">
        <f t="shared" si="7"/>
        <v>22155.620000000112</v>
      </c>
      <c r="Y21" s="280">
        <f t="shared" si="8"/>
        <v>0</v>
      </c>
      <c r="Z21" s="280">
        <f t="shared" si="9"/>
        <v>163322.89494200703</v>
      </c>
      <c r="AA21" s="281">
        <f t="shared" si="10"/>
        <v>117106.20241182577</v>
      </c>
      <c r="AB21" s="282">
        <f t="shared" si="17"/>
        <v>302584.71735383291</v>
      </c>
    </row>
    <row r="22" spans="1:28">
      <c r="A22" s="68" t="s">
        <v>17</v>
      </c>
      <c r="B22" s="9">
        <v>11742400.09</v>
      </c>
      <c r="C22" s="9">
        <v>9749997.0600000005</v>
      </c>
      <c r="D22" s="9">
        <v>0</v>
      </c>
      <c r="E22" s="9">
        <v>12530742.812994475</v>
      </c>
      <c r="F22" s="66">
        <f t="shared" si="0"/>
        <v>34023139.962994471</v>
      </c>
      <c r="I22" s="272" t="s">
        <v>4</v>
      </c>
      <c r="J22" s="263">
        <f t="shared" si="12"/>
        <v>5701763.79</v>
      </c>
      <c r="K22" s="263">
        <f t="shared" si="13"/>
        <v>0</v>
      </c>
      <c r="L22" s="263">
        <f t="shared" si="14"/>
        <v>5768048.6439359272</v>
      </c>
      <c r="M22" s="222">
        <f t="shared" si="15"/>
        <v>10679743.710000001</v>
      </c>
      <c r="N22" s="219">
        <f t="shared" si="5"/>
        <v>22149556.143935926</v>
      </c>
      <c r="P22" s="272" t="s">
        <v>4</v>
      </c>
      <c r="Q22" s="263">
        <v>5826931.5800000001</v>
      </c>
      <c r="R22" s="263">
        <v>0</v>
      </c>
      <c r="S22" s="263">
        <v>8518240.5976785552</v>
      </c>
      <c r="T22" s="222">
        <v>14195098.344623413</v>
      </c>
      <c r="U22" s="219">
        <f t="shared" si="16"/>
        <v>28540270.522301968</v>
      </c>
      <c r="W22" s="272" t="s">
        <v>4</v>
      </c>
      <c r="X22" s="280">
        <f t="shared" si="7"/>
        <v>125167.79000000004</v>
      </c>
      <c r="Y22" s="280">
        <f t="shared" si="8"/>
        <v>0</v>
      </c>
      <c r="Z22" s="280">
        <f t="shared" si="9"/>
        <v>2750191.953742628</v>
      </c>
      <c r="AA22" s="281">
        <f t="shared" si="10"/>
        <v>3515354.634623412</v>
      </c>
      <c r="AB22" s="282">
        <f t="shared" si="17"/>
        <v>6390714.3783660401</v>
      </c>
    </row>
    <row r="23" spans="1:28">
      <c r="A23" s="68" t="s">
        <v>18</v>
      </c>
      <c r="B23" s="9">
        <v>24380281.196164481</v>
      </c>
      <c r="C23" s="9">
        <v>13286424.48</v>
      </c>
      <c r="D23" s="9">
        <v>15890021.446048504</v>
      </c>
      <c r="E23" s="9">
        <v>7897008.1408915808</v>
      </c>
      <c r="F23" s="66">
        <f t="shared" si="0"/>
        <v>61453735.263104565</v>
      </c>
      <c r="I23" s="272" t="s">
        <v>5</v>
      </c>
      <c r="J23" s="263">
        <f t="shared" si="12"/>
        <v>5339978.7</v>
      </c>
      <c r="K23" s="263">
        <f t="shared" si="13"/>
        <v>0</v>
      </c>
      <c r="L23" s="263">
        <f t="shared" si="14"/>
        <v>5163675.8803278459</v>
      </c>
      <c r="M23" s="222">
        <f t="shared" si="15"/>
        <v>7412841.9299999997</v>
      </c>
      <c r="N23" s="219">
        <f t="shared" si="5"/>
        <v>17916496.510327846</v>
      </c>
      <c r="P23" s="272" t="s">
        <v>5</v>
      </c>
      <c r="Q23" s="263">
        <v>5441614.9100000001</v>
      </c>
      <c r="R23" s="263">
        <v>0</v>
      </c>
      <c r="S23" s="263">
        <v>6137628.3987900279</v>
      </c>
      <c r="T23" s="222">
        <v>9399517.3429417629</v>
      </c>
      <c r="U23" s="219">
        <f t="shared" si="16"/>
        <v>20978760.651731789</v>
      </c>
      <c r="W23" s="272" t="s">
        <v>5</v>
      </c>
      <c r="X23" s="280">
        <f t="shared" si="7"/>
        <v>101636.20999999996</v>
      </c>
      <c r="Y23" s="280">
        <f t="shared" si="8"/>
        <v>0</v>
      </c>
      <c r="Z23" s="280">
        <f t="shared" si="9"/>
        <v>973952.51846218202</v>
      </c>
      <c r="AA23" s="281">
        <f t="shared" si="10"/>
        <v>1986675.4129417632</v>
      </c>
      <c r="AB23" s="282">
        <f t="shared" si="17"/>
        <v>3062264.1414039452</v>
      </c>
    </row>
    <row r="24" spans="1:28">
      <c r="A24" s="68" t="s">
        <v>19</v>
      </c>
      <c r="B24" s="9">
        <v>5042213.4000000004</v>
      </c>
      <c r="C24" s="9">
        <v>3396546.93</v>
      </c>
      <c r="D24" s="9">
        <v>0</v>
      </c>
      <c r="E24" s="9">
        <v>1917115.2532814068</v>
      </c>
      <c r="F24" s="66">
        <f t="shared" si="0"/>
        <v>10355875.583281407</v>
      </c>
      <c r="I24" s="272" t="s">
        <v>7</v>
      </c>
      <c r="J24" s="263">
        <f t="shared" si="12"/>
        <v>6751803.8700000001</v>
      </c>
      <c r="K24" s="263">
        <f t="shared" si="13"/>
        <v>0</v>
      </c>
      <c r="L24" s="263">
        <f t="shared" si="14"/>
        <v>7522171.8474793527</v>
      </c>
      <c r="M24" s="222">
        <f t="shared" si="15"/>
        <v>6837788.4800000004</v>
      </c>
      <c r="N24" s="219">
        <f t="shared" si="5"/>
        <v>21111764.197479352</v>
      </c>
      <c r="P24" s="272" t="s">
        <v>7</v>
      </c>
      <c r="Q24" s="263">
        <v>6893917.4699999997</v>
      </c>
      <c r="R24" s="263">
        <v>0</v>
      </c>
      <c r="S24" s="263">
        <v>8249514.9753969274</v>
      </c>
      <c r="T24" s="222">
        <v>8793503.5793775618</v>
      </c>
      <c r="U24" s="219">
        <f t="shared" si="16"/>
        <v>23936936.024774488</v>
      </c>
      <c r="W24" s="272" t="s">
        <v>7</v>
      </c>
      <c r="X24" s="280">
        <f t="shared" si="7"/>
        <v>142113.59999999963</v>
      </c>
      <c r="Y24" s="280">
        <f t="shared" si="8"/>
        <v>0</v>
      </c>
      <c r="Z24" s="280">
        <f t="shared" si="9"/>
        <v>727343.12791757472</v>
      </c>
      <c r="AA24" s="281">
        <f t="shared" si="10"/>
        <v>1955715.0993775614</v>
      </c>
      <c r="AB24" s="282">
        <f t="shared" si="17"/>
        <v>2825171.8272951357</v>
      </c>
    </row>
    <row r="25" spans="1:28">
      <c r="A25" s="68" t="s">
        <v>20</v>
      </c>
      <c r="B25" s="9">
        <v>28690666.671491794</v>
      </c>
      <c r="C25" s="9">
        <v>17721794.68</v>
      </c>
      <c r="D25" s="9">
        <v>20115528.179039277</v>
      </c>
      <c r="E25" s="9">
        <v>13253007.718835007</v>
      </c>
      <c r="F25" s="66">
        <f t="shared" si="0"/>
        <v>79780997.249366075</v>
      </c>
      <c r="I25" s="272" t="s">
        <v>8</v>
      </c>
      <c r="J25" s="263">
        <f t="shared" si="12"/>
        <v>2847114.17</v>
      </c>
      <c r="K25" s="263">
        <f t="shared" si="13"/>
        <v>0</v>
      </c>
      <c r="L25" s="263">
        <f t="shared" si="14"/>
        <v>999271.4828422555</v>
      </c>
      <c r="M25" s="222">
        <f t="shared" si="15"/>
        <v>4692979.16</v>
      </c>
      <c r="N25" s="219">
        <f t="shared" si="5"/>
        <v>8539364.8128422555</v>
      </c>
      <c r="P25" s="272" t="s">
        <v>8</v>
      </c>
      <c r="Q25" s="263">
        <v>2870724.84</v>
      </c>
      <c r="R25" s="263">
        <v>0</v>
      </c>
      <c r="S25" s="263">
        <v>2974219.0796211474</v>
      </c>
      <c r="T25" s="222">
        <v>5180272.6433373308</v>
      </c>
      <c r="U25" s="219">
        <f t="shared" si="16"/>
        <v>11025216.562958479</v>
      </c>
      <c r="W25" s="272" t="s">
        <v>8</v>
      </c>
      <c r="X25" s="280">
        <f t="shared" si="7"/>
        <v>23610.669999999925</v>
      </c>
      <c r="Y25" s="280">
        <f t="shared" si="8"/>
        <v>0</v>
      </c>
      <c r="Z25" s="280">
        <f t="shared" si="9"/>
        <v>1974947.596778892</v>
      </c>
      <c r="AA25" s="281">
        <f t="shared" si="10"/>
        <v>487293.48333733063</v>
      </c>
      <c r="AB25" s="282">
        <f t="shared" si="17"/>
        <v>2485851.7501162225</v>
      </c>
    </row>
    <row r="26" spans="1:28">
      <c r="A26" s="68" t="s">
        <v>21</v>
      </c>
      <c r="B26" s="9">
        <v>6670648.1900000004</v>
      </c>
      <c r="C26" s="9">
        <v>5014460.3</v>
      </c>
      <c r="D26" s="9">
        <v>0</v>
      </c>
      <c r="E26" s="9">
        <v>4619887.6922569042</v>
      </c>
      <c r="F26" s="66">
        <f t="shared" si="0"/>
        <v>16304996.182256903</v>
      </c>
      <c r="I26" s="272" t="s">
        <v>10</v>
      </c>
      <c r="J26" s="263">
        <f t="shared" si="12"/>
        <v>4591180.75</v>
      </c>
      <c r="K26" s="263">
        <f t="shared" si="13"/>
        <v>8058789.1666300381</v>
      </c>
      <c r="L26" s="263">
        <f t="shared" si="14"/>
        <v>3912786.6144030662</v>
      </c>
      <c r="M26" s="222">
        <f t="shared" si="15"/>
        <v>23776311.68</v>
      </c>
      <c r="N26" s="219">
        <f t="shared" si="5"/>
        <v>40339068.211033106</v>
      </c>
      <c r="P26" s="272" t="s">
        <v>10</v>
      </c>
      <c r="Q26" s="263">
        <v>3644327.85</v>
      </c>
      <c r="R26" s="263">
        <v>6928203.5499999998</v>
      </c>
      <c r="S26" s="263">
        <v>3660359.1323029641</v>
      </c>
      <c r="T26" s="222">
        <v>15368248.397203868</v>
      </c>
      <c r="U26" s="219">
        <f t="shared" si="16"/>
        <v>29601138.929506831</v>
      </c>
      <c r="W26" s="272" t="s">
        <v>10</v>
      </c>
      <c r="X26" s="280">
        <f t="shared" si="7"/>
        <v>-946852.89999999991</v>
      </c>
      <c r="Y26" s="280">
        <f t="shared" si="8"/>
        <v>-1130585.6166300382</v>
      </c>
      <c r="Z26" s="280">
        <f t="shared" si="9"/>
        <v>-252427.48210010212</v>
      </c>
      <c r="AA26" s="281">
        <f t="shared" si="10"/>
        <v>-8408063.2827961314</v>
      </c>
      <c r="AB26" s="282">
        <f t="shared" si="17"/>
        <v>-10737929.281526271</v>
      </c>
    </row>
    <row r="27" spans="1:28">
      <c r="A27" s="68" t="s">
        <v>22</v>
      </c>
      <c r="B27" s="9">
        <v>4342230.63</v>
      </c>
      <c r="C27" s="9">
        <v>2497137.23</v>
      </c>
      <c r="D27" s="9">
        <v>0</v>
      </c>
      <c r="E27" s="9">
        <v>414624.57763109758</v>
      </c>
      <c r="F27" s="66">
        <f t="shared" si="0"/>
        <v>7253992.4376310967</v>
      </c>
      <c r="I27" s="272" t="s">
        <v>11</v>
      </c>
      <c r="J27" s="263">
        <f t="shared" si="12"/>
        <v>3564282.4</v>
      </c>
      <c r="K27" s="263">
        <f t="shared" si="13"/>
        <v>0</v>
      </c>
      <c r="L27" s="263">
        <f t="shared" si="14"/>
        <v>2197322.3439074308</v>
      </c>
      <c r="M27" s="222">
        <f t="shared" si="15"/>
        <v>5389365.4900000002</v>
      </c>
      <c r="N27" s="219">
        <f t="shared" si="5"/>
        <v>11150970.233907431</v>
      </c>
      <c r="P27" s="272" t="s">
        <v>11</v>
      </c>
      <c r="Q27" s="263">
        <v>3612033.9</v>
      </c>
      <c r="R27" s="263">
        <v>0</v>
      </c>
      <c r="S27" s="263">
        <v>3693123.3659876306</v>
      </c>
      <c r="T27" s="222">
        <v>6302080.6875453042</v>
      </c>
      <c r="U27" s="219">
        <f t="shared" si="16"/>
        <v>13607237.953532934</v>
      </c>
      <c r="W27" s="272" t="s">
        <v>11</v>
      </c>
      <c r="X27" s="280">
        <f t="shared" si="7"/>
        <v>47751.5</v>
      </c>
      <c r="Y27" s="280">
        <f t="shared" si="8"/>
        <v>0</v>
      </c>
      <c r="Z27" s="280">
        <f t="shared" si="9"/>
        <v>1495801.0220801998</v>
      </c>
      <c r="AA27" s="281">
        <f t="shared" si="10"/>
        <v>912715.19754530396</v>
      </c>
      <c r="AB27" s="282">
        <f t="shared" si="17"/>
        <v>2456267.7196255038</v>
      </c>
    </row>
    <row r="28" spans="1:28">
      <c r="A28" s="68" t="s">
        <v>23</v>
      </c>
      <c r="B28" s="9">
        <v>5189100</v>
      </c>
      <c r="C28" s="9">
        <v>4490733.6500000004</v>
      </c>
      <c r="D28" s="9">
        <v>0</v>
      </c>
      <c r="E28" s="9">
        <v>3744986.7349527162</v>
      </c>
      <c r="F28" s="66">
        <f t="shared" si="0"/>
        <v>13424820.384952717</v>
      </c>
      <c r="I28" s="272" t="s">
        <v>12</v>
      </c>
      <c r="J28" s="263">
        <f t="shared" si="12"/>
        <v>5286075.2300000004</v>
      </c>
      <c r="K28" s="263">
        <f t="shared" si="13"/>
        <v>0</v>
      </c>
      <c r="L28" s="263">
        <f t="shared" si="14"/>
        <v>5073628.5276064463</v>
      </c>
      <c r="M28" s="222">
        <f t="shared" si="15"/>
        <v>5879618.4400000004</v>
      </c>
      <c r="N28" s="219">
        <f t="shared" si="5"/>
        <v>16239322.197606448</v>
      </c>
      <c r="P28" s="272" t="s">
        <v>12</v>
      </c>
      <c r="Q28" s="263">
        <v>5383135.2000000002</v>
      </c>
      <c r="R28" s="263">
        <v>0</v>
      </c>
      <c r="S28" s="263">
        <v>5567521.0863518687</v>
      </c>
      <c r="T28" s="222">
        <v>7215552.9521146528</v>
      </c>
      <c r="U28" s="219">
        <f t="shared" si="16"/>
        <v>18166209.238466524</v>
      </c>
      <c r="W28" s="272" t="s">
        <v>12</v>
      </c>
      <c r="X28" s="280">
        <f t="shared" si="7"/>
        <v>97059.969999999739</v>
      </c>
      <c r="Y28" s="280">
        <f t="shared" si="8"/>
        <v>0</v>
      </c>
      <c r="Z28" s="280">
        <f t="shared" si="9"/>
        <v>493892.5587454224</v>
      </c>
      <c r="AA28" s="281">
        <f t="shared" si="10"/>
        <v>1335934.5121146524</v>
      </c>
      <c r="AB28" s="282">
        <f t="shared" si="17"/>
        <v>1926887.0408600746</v>
      </c>
    </row>
    <row r="29" spans="1:28">
      <c r="A29" s="68" t="s">
        <v>24</v>
      </c>
      <c r="B29" s="9">
        <v>23335462.609999999</v>
      </c>
      <c r="C29" s="9">
        <v>4649174.22</v>
      </c>
      <c r="D29" s="9">
        <v>8045943.4176237639</v>
      </c>
      <c r="E29" s="9">
        <v>4009666.4382386375</v>
      </c>
      <c r="F29" s="66">
        <f t="shared" si="0"/>
        <v>40040246.6858624</v>
      </c>
      <c r="I29" s="272" t="s">
        <v>13</v>
      </c>
      <c r="J29" s="263">
        <f t="shared" si="12"/>
        <v>4314119.53</v>
      </c>
      <c r="K29" s="263">
        <f t="shared" si="13"/>
        <v>7442204.1708095567</v>
      </c>
      <c r="L29" s="263">
        <f t="shared" si="14"/>
        <v>3449947.5918254661</v>
      </c>
      <c r="M29" s="222">
        <f t="shared" si="15"/>
        <v>17012903.190000001</v>
      </c>
      <c r="N29" s="219">
        <f t="shared" si="5"/>
        <v>32219174.482635025</v>
      </c>
      <c r="P29" s="272" t="s">
        <v>13</v>
      </c>
      <c r="Q29" s="263">
        <v>4021820.05</v>
      </c>
      <c r="R29" s="263">
        <v>7149681.4699999997</v>
      </c>
      <c r="S29" s="263">
        <v>3150866.5058017666</v>
      </c>
      <c r="T29" s="222">
        <v>16676727.674164966</v>
      </c>
      <c r="U29" s="219">
        <f t="shared" si="16"/>
        <v>30999095.699966732</v>
      </c>
      <c r="W29" s="272" t="s">
        <v>13</v>
      </c>
      <c r="X29" s="280">
        <f t="shared" si="7"/>
        <v>-292299.48000000045</v>
      </c>
      <c r="Y29" s="280">
        <f t="shared" si="8"/>
        <v>-292522.70080955699</v>
      </c>
      <c r="Z29" s="280">
        <f t="shared" si="9"/>
        <v>-299081.08602369949</v>
      </c>
      <c r="AA29" s="281">
        <f t="shared" si="10"/>
        <v>-336175.51583503559</v>
      </c>
      <c r="AB29" s="282">
        <f t="shared" si="17"/>
        <v>-1220078.7826682925</v>
      </c>
    </row>
    <row r="30" spans="1:28">
      <c r="A30" s="68" t="s">
        <v>25</v>
      </c>
      <c r="B30" s="9">
        <v>36999169.671441227</v>
      </c>
      <c r="C30" s="9">
        <v>24405129.510000002</v>
      </c>
      <c r="D30" s="9">
        <v>0</v>
      </c>
      <c r="E30" s="9">
        <v>21323571.603477571</v>
      </c>
      <c r="F30" s="66">
        <f t="shared" si="0"/>
        <v>82727870.7849188</v>
      </c>
      <c r="I30" s="272" t="s">
        <v>14</v>
      </c>
      <c r="J30" s="263">
        <f t="shared" si="12"/>
        <v>12411050.140000001</v>
      </c>
      <c r="K30" s="263">
        <f t="shared" si="13"/>
        <v>0</v>
      </c>
      <c r="L30" s="263">
        <f t="shared" si="14"/>
        <v>16976111.196089759</v>
      </c>
      <c r="M30" s="222">
        <f t="shared" si="15"/>
        <v>10830983.9</v>
      </c>
      <c r="N30" s="219">
        <f t="shared" si="5"/>
        <v>40218145.236089759</v>
      </c>
      <c r="P30" s="272" t="s">
        <v>14</v>
      </c>
      <c r="Q30" s="263">
        <v>12654853.73</v>
      </c>
      <c r="R30" s="263">
        <v>0</v>
      </c>
      <c r="S30" s="263">
        <v>18476531.852501161</v>
      </c>
      <c r="T30" s="222">
        <v>14122982.113210045</v>
      </c>
      <c r="U30" s="219">
        <f t="shared" si="16"/>
        <v>45254367.69571121</v>
      </c>
      <c r="W30" s="272" t="s">
        <v>14</v>
      </c>
      <c r="X30" s="280">
        <f t="shared" si="7"/>
        <v>243803.58999999985</v>
      </c>
      <c r="Y30" s="280">
        <f t="shared" si="8"/>
        <v>0</v>
      </c>
      <c r="Z30" s="280">
        <f t="shared" si="9"/>
        <v>1500420.6564114019</v>
      </c>
      <c r="AA30" s="281">
        <f t="shared" si="10"/>
        <v>3291998.2132100444</v>
      </c>
      <c r="AB30" s="282">
        <f t="shared" si="17"/>
        <v>5036222.4596214462</v>
      </c>
    </row>
    <row r="31" spans="1:28">
      <c r="A31" s="68" t="s">
        <v>26</v>
      </c>
      <c r="B31" s="9">
        <v>4370812.9400000004</v>
      </c>
      <c r="C31" s="9">
        <v>2849191.32</v>
      </c>
      <c r="D31" s="9">
        <v>0</v>
      </c>
      <c r="E31" s="9">
        <v>1002741.4149642385</v>
      </c>
      <c r="F31" s="66">
        <f t="shared" si="0"/>
        <v>8222745.674964238</v>
      </c>
      <c r="I31" s="272" t="s">
        <v>15</v>
      </c>
      <c r="J31" s="263">
        <f t="shared" si="12"/>
        <v>3547003.56</v>
      </c>
      <c r="K31" s="263">
        <f t="shared" si="13"/>
        <v>0</v>
      </c>
      <c r="L31" s="263">
        <f t="shared" si="14"/>
        <v>2168457.5281603355</v>
      </c>
      <c r="M31" s="222">
        <f t="shared" si="15"/>
        <v>4257430.12</v>
      </c>
      <c r="N31" s="219">
        <f t="shared" si="5"/>
        <v>9972891.2081603371</v>
      </c>
      <c r="P31" s="272" t="s">
        <v>15</v>
      </c>
      <c r="Q31" s="263">
        <v>3579153.56</v>
      </c>
      <c r="R31" s="263">
        <v>0</v>
      </c>
      <c r="S31" s="263">
        <v>2627805.8082002969</v>
      </c>
      <c r="T31" s="222">
        <v>4484336.1714675697</v>
      </c>
      <c r="U31" s="219">
        <f t="shared" si="16"/>
        <v>10691295.539667867</v>
      </c>
      <c r="W31" s="272" t="s">
        <v>15</v>
      </c>
      <c r="X31" s="280">
        <f t="shared" si="7"/>
        <v>32150</v>
      </c>
      <c r="Y31" s="280">
        <f t="shared" si="8"/>
        <v>0</v>
      </c>
      <c r="Z31" s="280">
        <f t="shared" si="9"/>
        <v>459348.28003996145</v>
      </c>
      <c r="AA31" s="281">
        <f t="shared" si="10"/>
        <v>226906.05146756954</v>
      </c>
      <c r="AB31" s="282">
        <f t="shared" si="17"/>
        <v>718404.33150753099</v>
      </c>
    </row>
    <row r="32" spans="1:28">
      <c r="A32" s="68" t="s">
        <v>27</v>
      </c>
      <c r="B32" s="9">
        <v>7044868.2999999998</v>
      </c>
      <c r="C32" s="9">
        <v>3644488.65</v>
      </c>
      <c r="D32" s="9">
        <v>0</v>
      </c>
      <c r="E32" s="9">
        <v>2331309.2858806569</v>
      </c>
      <c r="F32" s="66">
        <f t="shared" si="0"/>
        <v>13020666.235880656</v>
      </c>
      <c r="I32" s="272" t="s">
        <v>16</v>
      </c>
      <c r="J32" s="263">
        <f t="shared" si="12"/>
        <v>2748931.17</v>
      </c>
      <c r="K32" s="263">
        <f t="shared" si="13"/>
        <v>0</v>
      </c>
      <c r="L32" s="263">
        <f t="shared" si="14"/>
        <v>835253.84726699162</v>
      </c>
      <c r="M32" s="222">
        <f t="shared" si="15"/>
        <v>4616317.99</v>
      </c>
      <c r="N32" s="219">
        <f t="shared" si="5"/>
        <v>8200503.0072669918</v>
      </c>
      <c r="P32" s="272" t="s">
        <v>16</v>
      </c>
      <c r="Q32" s="263">
        <v>2756671.43</v>
      </c>
      <c r="R32" s="263">
        <v>0</v>
      </c>
      <c r="S32" s="263">
        <v>904930.12946649513</v>
      </c>
      <c r="T32" s="222">
        <v>4849072.1731425952</v>
      </c>
      <c r="U32" s="219">
        <f t="shared" si="16"/>
        <v>8510673.7326090895</v>
      </c>
      <c r="W32" s="272" t="s">
        <v>16</v>
      </c>
      <c r="X32" s="280">
        <f t="shared" si="7"/>
        <v>7740.2600000002421</v>
      </c>
      <c r="Y32" s="280">
        <f t="shared" si="8"/>
        <v>0</v>
      </c>
      <c r="Z32" s="280">
        <f t="shared" si="9"/>
        <v>69676.282199503505</v>
      </c>
      <c r="AA32" s="281">
        <f t="shared" si="10"/>
        <v>232754.18314259499</v>
      </c>
      <c r="AB32" s="282">
        <f t="shared" si="17"/>
        <v>310170.72534209874</v>
      </c>
    </row>
    <row r="33" spans="1:28">
      <c r="A33" s="68" t="s">
        <v>28</v>
      </c>
      <c r="B33" s="9">
        <v>4262351.58</v>
      </c>
      <c r="C33" s="9">
        <v>3158532.89</v>
      </c>
      <c r="D33" s="9">
        <v>0</v>
      </c>
      <c r="E33" s="9">
        <v>1519505.7138691328</v>
      </c>
      <c r="F33" s="66">
        <f t="shared" si="0"/>
        <v>8940390.1838691328</v>
      </c>
      <c r="I33" s="272" t="s">
        <v>17</v>
      </c>
      <c r="J33" s="263">
        <f t="shared" si="12"/>
        <v>9749997.0600000005</v>
      </c>
      <c r="K33" s="263">
        <f t="shared" si="13"/>
        <v>0</v>
      </c>
      <c r="L33" s="263">
        <f t="shared" si="14"/>
        <v>12530742.812994475</v>
      </c>
      <c r="M33" s="222">
        <f t="shared" si="15"/>
        <v>11742400.09</v>
      </c>
      <c r="N33" s="219">
        <f t="shared" si="5"/>
        <v>34023139.962994471</v>
      </c>
      <c r="P33" s="272" t="s">
        <v>17</v>
      </c>
      <c r="Q33" s="263">
        <v>9990382.3499999996</v>
      </c>
      <c r="R33" s="263">
        <v>0</v>
      </c>
      <c r="S33" s="263">
        <v>13746468.436023457</v>
      </c>
      <c r="T33" s="222">
        <v>16206339.909596281</v>
      </c>
      <c r="U33" s="219">
        <f t="shared" si="16"/>
        <v>39943190.69561974</v>
      </c>
      <c r="W33" s="272" t="s">
        <v>17</v>
      </c>
      <c r="X33" s="280">
        <f t="shared" si="7"/>
        <v>240385.28999999911</v>
      </c>
      <c r="Y33" s="280">
        <f t="shared" si="8"/>
        <v>0</v>
      </c>
      <c r="Z33" s="280">
        <f t="shared" si="9"/>
        <v>1215725.6230289824</v>
      </c>
      <c r="AA33" s="281">
        <f t="shared" si="10"/>
        <v>4463939.8195962813</v>
      </c>
      <c r="AB33" s="282">
        <f t="shared" si="17"/>
        <v>5920050.7326252628</v>
      </c>
    </row>
    <row r="34" spans="1:28">
      <c r="A34" s="68" t="s">
        <v>29</v>
      </c>
      <c r="B34" s="9">
        <v>5329929.42</v>
      </c>
      <c r="C34" s="9">
        <v>3251421.63</v>
      </c>
      <c r="D34" s="9">
        <v>0</v>
      </c>
      <c r="E34" s="9">
        <v>1674679.1176612398</v>
      </c>
      <c r="F34" s="66">
        <f t="shared" si="0"/>
        <v>10256030.16766124</v>
      </c>
      <c r="I34" s="272" t="s">
        <v>19</v>
      </c>
      <c r="J34" s="263">
        <f t="shared" si="12"/>
        <v>3396546.93</v>
      </c>
      <c r="K34" s="263">
        <f t="shared" si="13"/>
        <v>0</v>
      </c>
      <c r="L34" s="263">
        <f t="shared" si="14"/>
        <v>1917115.2532814068</v>
      </c>
      <c r="M34" s="222">
        <f t="shared" si="15"/>
        <v>5042213.4000000004</v>
      </c>
      <c r="N34" s="219">
        <f t="shared" si="5"/>
        <v>10355875.583281407</v>
      </c>
      <c r="P34" s="272" t="s">
        <v>19</v>
      </c>
      <c r="Q34" s="263">
        <v>3428899.93</v>
      </c>
      <c r="R34" s="263">
        <v>0</v>
      </c>
      <c r="S34" s="263">
        <v>2314156.6694885492</v>
      </c>
      <c r="T34" s="222">
        <v>5626028.1148718223</v>
      </c>
      <c r="U34" s="219">
        <f t="shared" si="16"/>
        <v>11369084.714360371</v>
      </c>
      <c r="W34" s="272" t="s">
        <v>19</v>
      </c>
      <c r="X34" s="280">
        <f t="shared" si="7"/>
        <v>32353</v>
      </c>
      <c r="Y34" s="280">
        <f t="shared" si="8"/>
        <v>0</v>
      </c>
      <c r="Z34" s="280">
        <f t="shared" si="9"/>
        <v>397041.41620714241</v>
      </c>
      <c r="AA34" s="281">
        <f t="shared" si="10"/>
        <v>583814.71487182193</v>
      </c>
      <c r="AB34" s="282">
        <f t="shared" si="17"/>
        <v>1013209.1310789643</v>
      </c>
    </row>
    <row r="35" spans="1:28">
      <c r="A35" s="68" t="s">
        <v>30</v>
      </c>
      <c r="B35" s="9">
        <v>4624268.04</v>
      </c>
      <c r="C35" s="9">
        <v>3416176.19</v>
      </c>
      <c r="D35" s="9">
        <v>0</v>
      </c>
      <c r="E35" s="9">
        <v>1949906.5176035317</v>
      </c>
      <c r="F35" s="66">
        <f t="shared" si="0"/>
        <v>9990350.7476035319</v>
      </c>
      <c r="I35" s="272" t="s">
        <v>21</v>
      </c>
      <c r="J35" s="263">
        <f t="shared" si="12"/>
        <v>5014460.3</v>
      </c>
      <c r="K35" s="263">
        <f t="shared" si="13"/>
        <v>0</v>
      </c>
      <c r="L35" s="263">
        <f t="shared" si="14"/>
        <v>4619887.6922569042</v>
      </c>
      <c r="M35" s="222">
        <f t="shared" si="15"/>
        <v>6670648.1900000004</v>
      </c>
      <c r="N35" s="219">
        <f t="shared" si="5"/>
        <v>16304996.182256903</v>
      </c>
      <c r="P35" s="272" t="s">
        <v>21</v>
      </c>
      <c r="Q35" s="263">
        <v>5110801.75</v>
      </c>
      <c r="R35" s="263">
        <v>0</v>
      </c>
      <c r="S35" s="263">
        <v>5084065.160310776</v>
      </c>
      <c r="T35" s="222">
        <v>8390780.4269991964</v>
      </c>
      <c r="U35" s="219">
        <f t="shared" si="16"/>
        <v>18585647.337309971</v>
      </c>
      <c r="W35" s="272" t="s">
        <v>21</v>
      </c>
      <c r="X35" s="280">
        <f t="shared" si="7"/>
        <v>96341.450000000186</v>
      </c>
      <c r="Y35" s="280">
        <f t="shared" si="8"/>
        <v>0</v>
      </c>
      <c r="Z35" s="280">
        <f t="shared" si="9"/>
        <v>464177.46805387177</v>
      </c>
      <c r="AA35" s="281">
        <f t="shared" si="10"/>
        <v>1720132.236999196</v>
      </c>
      <c r="AB35" s="282">
        <f t="shared" si="17"/>
        <v>2280651.155053068</v>
      </c>
    </row>
    <row r="36" spans="1:28">
      <c r="A36" s="68" t="s">
        <v>31</v>
      </c>
      <c r="B36" s="9">
        <v>28193480.269531008</v>
      </c>
      <c r="C36" s="9">
        <v>14325436.029999999</v>
      </c>
      <c r="D36" s="9">
        <v>17670403.823332909</v>
      </c>
      <c r="E36" s="9">
        <v>9151682.5372307543</v>
      </c>
      <c r="F36" s="66">
        <f t="shared" si="0"/>
        <v>69341002.660094678</v>
      </c>
      <c r="I36" s="272" t="s">
        <v>22</v>
      </c>
      <c r="J36" s="263">
        <f t="shared" si="12"/>
        <v>2497137.23</v>
      </c>
      <c r="K36" s="263">
        <f t="shared" si="13"/>
        <v>0</v>
      </c>
      <c r="L36" s="263">
        <f t="shared" si="14"/>
        <v>414624.57763109758</v>
      </c>
      <c r="M36" s="222">
        <f t="shared" si="15"/>
        <v>4342230.63</v>
      </c>
      <c r="N36" s="219">
        <f t="shared" si="5"/>
        <v>7253992.4376310976</v>
      </c>
      <c r="P36" s="272" t="s">
        <v>22</v>
      </c>
      <c r="Q36" s="263">
        <v>2489961.59</v>
      </c>
      <c r="R36" s="263">
        <v>0</v>
      </c>
      <c r="S36" s="263">
        <v>2579267.2832715013</v>
      </c>
      <c r="T36" s="222">
        <v>4309832.6979241073</v>
      </c>
      <c r="U36" s="219">
        <f t="shared" si="16"/>
        <v>9379061.571195608</v>
      </c>
      <c r="W36" s="272" t="s">
        <v>22</v>
      </c>
      <c r="X36" s="280">
        <f t="shared" si="7"/>
        <v>-7175.6400000001304</v>
      </c>
      <c r="Y36" s="280">
        <f t="shared" si="8"/>
        <v>0</v>
      </c>
      <c r="Z36" s="280">
        <f t="shared" si="9"/>
        <v>2164642.7056404036</v>
      </c>
      <c r="AA36" s="281">
        <f t="shared" si="10"/>
        <v>-32397.932075892575</v>
      </c>
      <c r="AB36" s="282">
        <f t="shared" si="17"/>
        <v>2125069.1335645108</v>
      </c>
    </row>
    <row r="37" spans="1:28">
      <c r="A37" s="68" t="s">
        <v>32</v>
      </c>
      <c r="B37" s="9">
        <v>5012873.9400000004</v>
      </c>
      <c r="C37" s="9">
        <v>4171574.47</v>
      </c>
      <c r="D37" s="9">
        <v>0</v>
      </c>
      <c r="E37" s="9">
        <v>3211821.8273755731</v>
      </c>
      <c r="F37" s="66">
        <f t="shared" si="0"/>
        <v>12396270.237375572</v>
      </c>
      <c r="I37" s="272" t="s">
        <v>23</v>
      </c>
      <c r="J37" s="263">
        <f t="shared" si="12"/>
        <v>4490733.6500000004</v>
      </c>
      <c r="K37" s="263">
        <f t="shared" si="13"/>
        <v>0</v>
      </c>
      <c r="L37" s="263">
        <f t="shared" si="14"/>
        <v>3744986.7349527162</v>
      </c>
      <c r="M37" s="222">
        <f t="shared" si="15"/>
        <v>5189100</v>
      </c>
      <c r="N37" s="219">
        <f t="shared" si="5"/>
        <v>13424820.384952717</v>
      </c>
      <c r="P37" s="272" t="s">
        <v>23</v>
      </c>
      <c r="Q37" s="263">
        <v>4542437.33</v>
      </c>
      <c r="R37" s="263">
        <v>0</v>
      </c>
      <c r="S37" s="263">
        <v>4075084.6434160983</v>
      </c>
      <c r="T37" s="222">
        <v>5783912.209982574</v>
      </c>
      <c r="U37" s="219">
        <f t="shared" si="16"/>
        <v>14401434.183398671</v>
      </c>
      <c r="W37" s="272" t="s">
        <v>23</v>
      </c>
      <c r="X37" s="280">
        <f t="shared" si="7"/>
        <v>51703.679999999702</v>
      </c>
      <c r="Y37" s="280">
        <f t="shared" si="8"/>
        <v>0</v>
      </c>
      <c r="Z37" s="280">
        <f t="shared" si="9"/>
        <v>330097.90846338216</v>
      </c>
      <c r="AA37" s="281">
        <f t="shared" si="10"/>
        <v>594812.20998257399</v>
      </c>
      <c r="AB37" s="282">
        <f t="shared" si="17"/>
        <v>976613.79844595585</v>
      </c>
    </row>
    <row r="38" spans="1:28">
      <c r="A38" s="68" t="s">
        <v>33</v>
      </c>
      <c r="B38" s="9">
        <v>20026160.579999998</v>
      </c>
      <c r="C38" s="9">
        <v>9547650.5700000003</v>
      </c>
      <c r="D38" s="9">
        <v>0</v>
      </c>
      <c r="E38" s="9">
        <v>12192716.9831407</v>
      </c>
      <c r="F38" s="66">
        <f t="shared" ref="F38:F56" si="18">SUM(B38:E38)</f>
        <v>41766528.133140698</v>
      </c>
      <c r="I38" s="272" t="s">
        <v>24</v>
      </c>
      <c r="J38" s="263">
        <f t="shared" si="12"/>
        <v>4649174.22</v>
      </c>
      <c r="K38" s="263">
        <f t="shared" si="13"/>
        <v>8045943.4176237639</v>
      </c>
      <c r="L38" s="263">
        <f t="shared" si="14"/>
        <v>4009666.4382386375</v>
      </c>
      <c r="M38" s="222">
        <f t="shared" si="15"/>
        <v>23335462.609999999</v>
      </c>
      <c r="N38" s="219">
        <f t="shared" si="5"/>
        <v>40040246.6858624</v>
      </c>
      <c r="P38" s="272" t="s">
        <v>24</v>
      </c>
      <c r="Q38" s="263">
        <v>4272366.3099999996</v>
      </c>
      <c r="R38" s="263">
        <v>7698938.29</v>
      </c>
      <c r="S38" s="263">
        <v>4282795.5591065371</v>
      </c>
      <c r="T38" s="222">
        <v>23971150.933050621</v>
      </c>
      <c r="U38" s="219">
        <f t="shared" si="16"/>
        <v>40225251.092157155</v>
      </c>
      <c r="W38" s="272" t="s">
        <v>24</v>
      </c>
      <c r="X38" s="280">
        <f t="shared" si="7"/>
        <v>-376807.91000000015</v>
      </c>
      <c r="Y38" s="280">
        <f t="shared" si="8"/>
        <v>-347005.12762376387</v>
      </c>
      <c r="Z38" s="280">
        <f t="shared" si="9"/>
        <v>273129.12086789962</v>
      </c>
      <c r="AA38" s="281">
        <f t="shared" si="10"/>
        <v>635688.3230506219</v>
      </c>
      <c r="AB38" s="282">
        <f t="shared" si="17"/>
        <v>185004.4062947575</v>
      </c>
    </row>
    <row r="39" spans="1:28">
      <c r="A39" s="68" t="s">
        <v>34</v>
      </c>
      <c r="B39" s="9">
        <v>4968959.3899999997</v>
      </c>
      <c r="C39" s="9">
        <v>4014025.97</v>
      </c>
      <c r="D39" s="9">
        <v>0</v>
      </c>
      <c r="E39" s="9">
        <v>2948632.3719474021</v>
      </c>
      <c r="F39" s="66">
        <f t="shared" si="18"/>
        <v>11931617.731947402</v>
      </c>
      <c r="I39" s="272" t="s">
        <v>26</v>
      </c>
      <c r="J39" s="263">
        <f t="shared" si="12"/>
        <v>2849191.32</v>
      </c>
      <c r="K39" s="263">
        <f t="shared" si="13"/>
        <v>0</v>
      </c>
      <c r="L39" s="263">
        <f t="shared" si="14"/>
        <v>1002741.4149642385</v>
      </c>
      <c r="M39" s="222">
        <f t="shared" si="15"/>
        <v>4370812.9400000004</v>
      </c>
      <c r="N39" s="219">
        <f t="shared" si="5"/>
        <v>8222745.6749642389</v>
      </c>
      <c r="P39" s="272" t="s">
        <v>26</v>
      </c>
      <c r="Q39" s="263">
        <v>2859897.23</v>
      </c>
      <c r="R39" s="263">
        <v>0</v>
      </c>
      <c r="S39" s="263">
        <v>2416180.5686493949</v>
      </c>
      <c r="T39" s="222">
        <v>4523510.420630387</v>
      </c>
      <c r="U39" s="219">
        <f t="shared" si="16"/>
        <v>9799588.219279781</v>
      </c>
      <c r="W39" s="272" t="s">
        <v>26</v>
      </c>
      <c r="X39" s="280">
        <f t="shared" si="7"/>
        <v>10705.910000000149</v>
      </c>
      <c r="Y39" s="280">
        <f t="shared" si="8"/>
        <v>0</v>
      </c>
      <c r="Z39" s="280">
        <f t="shared" si="9"/>
        <v>1413439.1536851563</v>
      </c>
      <c r="AA39" s="281">
        <f t="shared" si="10"/>
        <v>152697.48063038662</v>
      </c>
      <c r="AB39" s="282">
        <f t="shared" si="17"/>
        <v>1576842.544315543</v>
      </c>
    </row>
    <row r="40" spans="1:28">
      <c r="A40" s="68" t="s">
        <v>35</v>
      </c>
      <c r="B40" s="9">
        <v>4280712.4000000004</v>
      </c>
      <c r="C40" s="9">
        <v>3904924.6</v>
      </c>
      <c r="D40" s="9">
        <v>0</v>
      </c>
      <c r="E40" s="9">
        <v>2766375.2885870226</v>
      </c>
      <c r="F40" s="66">
        <f t="shared" si="18"/>
        <v>10952012.288587023</v>
      </c>
      <c r="I40" s="272" t="s">
        <v>27</v>
      </c>
      <c r="J40" s="263">
        <f t="shared" si="12"/>
        <v>3644488.65</v>
      </c>
      <c r="K40" s="263">
        <f t="shared" si="13"/>
        <v>0</v>
      </c>
      <c r="L40" s="263">
        <f t="shared" si="14"/>
        <v>2331309.2858806569</v>
      </c>
      <c r="M40" s="222">
        <f t="shared" si="15"/>
        <v>7044868.2999999998</v>
      </c>
      <c r="N40" s="219">
        <f t="shared" si="5"/>
        <v>13020666.235880658</v>
      </c>
      <c r="P40" s="272" t="s">
        <v>27</v>
      </c>
      <c r="Q40" s="263">
        <v>3663423.1</v>
      </c>
      <c r="R40" s="263">
        <v>0</v>
      </c>
      <c r="S40" s="263">
        <v>2514627.6235656175</v>
      </c>
      <c r="T40" s="222">
        <v>8106173.5713390261</v>
      </c>
      <c r="U40" s="219">
        <f t="shared" si="16"/>
        <v>14284224.294904644</v>
      </c>
      <c r="W40" s="272" t="s">
        <v>27</v>
      </c>
      <c r="X40" s="280">
        <f t="shared" si="7"/>
        <v>18934.450000000186</v>
      </c>
      <c r="Y40" s="280">
        <f t="shared" si="8"/>
        <v>0</v>
      </c>
      <c r="Z40" s="280">
        <f t="shared" si="9"/>
        <v>183318.33768496057</v>
      </c>
      <c r="AA40" s="281">
        <f t="shared" si="10"/>
        <v>1061305.2713390263</v>
      </c>
      <c r="AB40" s="282">
        <f t="shared" si="17"/>
        <v>1263558.059023987</v>
      </c>
    </row>
    <row r="41" spans="1:28">
      <c r="A41" s="68" t="s">
        <v>36</v>
      </c>
      <c r="B41" s="9">
        <v>5448422.9900000002</v>
      </c>
      <c r="C41" s="9">
        <v>3906670.95</v>
      </c>
      <c r="D41" s="9">
        <v>0</v>
      </c>
      <c r="E41" s="9">
        <v>2769292.6124916826</v>
      </c>
      <c r="F41" s="66">
        <f t="shared" si="18"/>
        <v>12124386.552491684</v>
      </c>
      <c r="I41" s="272" t="s">
        <v>28</v>
      </c>
      <c r="J41" s="263">
        <f t="shared" si="12"/>
        <v>3158532.89</v>
      </c>
      <c r="K41" s="263">
        <f t="shared" si="13"/>
        <v>0</v>
      </c>
      <c r="L41" s="263">
        <f t="shared" si="14"/>
        <v>1519505.7138691328</v>
      </c>
      <c r="M41" s="222">
        <f t="shared" si="15"/>
        <v>4262351.58</v>
      </c>
      <c r="N41" s="219">
        <f t="shared" si="5"/>
        <v>8940390.1838691328</v>
      </c>
      <c r="P41" s="272" t="s">
        <v>28</v>
      </c>
      <c r="Q41" s="263">
        <v>3180167.38</v>
      </c>
      <c r="R41" s="263">
        <v>0</v>
      </c>
      <c r="S41" s="263">
        <v>2212342.7648131964</v>
      </c>
      <c r="T41" s="222">
        <v>4448426.443068319</v>
      </c>
      <c r="U41" s="219">
        <f t="shared" si="16"/>
        <v>9840936.5878815167</v>
      </c>
      <c r="W41" s="272" t="s">
        <v>28</v>
      </c>
      <c r="X41" s="280">
        <f t="shared" si="7"/>
        <v>21634.489999999758</v>
      </c>
      <c r="Y41" s="280">
        <f t="shared" si="8"/>
        <v>0</v>
      </c>
      <c r="Z41" s="280">
        <f t="shared" si="9"/>
        <v>692837.05094406358</v>
      </c>
      <c r="AA41" s="281">
        <f t="shared" si="10"/>
        <v>186074.86306831893</v>
      </c>
      <c r="AB41" s="282">
        <f t="shared" si="17"/>
        <v>900546.40401238226</v>
      </c>
    </row>
    <row r="42" spans="1:28">
      <c r="A42" s="68" t="s">
        <v>37</v>
      </c>
      <c r="B42" s="9">
        <v>5144806.88</v>
      </c>
      <c r="C42" s="9">
        <v>4361143.1900000004</v>
      </c>
      <c r="D42" s="9">
        <v>0</v>
      </c>
      <c r="E42" s="9">
        <v>3528502.0276969215</v>
      </c>
      <c r="F42" s="66">
        <f t="shared" si="18"/>
        <v>13034452.097696923</v>
      </c>
      <c r="I42" s="272" t="s">
        <v>29</v>
      </c>
      <c r="J42" s="263">
        <f t="shared" si="12"/>
        <v>3251421.63</v>
      </c>
      <c r="K42" s="263">
        <f t="shared" si="13"/>
        <v>0</v>
      </c>
      <c r="L42" s="263">
        <f t="shared" si="14"/>
        <v>1674679.1176612398</v>
      </c>
      <c r="M42" s="222">
        <f t="shared" si="15"/>
        <v>5329929.42</v>
      </c>
      <c r="N42" s="219">
        <f t="shared" si="5"/>
        <v>10256030.167661238</v>
      </c>
      <c r="P42" s="272" t="s">
        <v>29</v>
      </c>
      <c r="Q42" s="263">
        <v>3282604.13</v>
      </c>
      <c r="R42" s="263">
        <v>0</v>
      </c>
      <c r="S42" s="263">
        <v>1838584.382485369</v>
      </c>
      <c r="T42" s="222">
        <v>6053977.1095141228</v>
      </c>
      <c r="U42" s="219">
        <f t="shared" si="16"/>
        <v>11175165.621999491</v>
      </c>
      <c r="W42" s="272" t="s">
        <v>29</v>
      </c>
      <c r="X42" s="280">
        <f t="shared" si="7"/>
        <v>31182.5</v>
      </c>
      <c r="Y42" s="280">
        <f t="shared" si="8"/>
        <v>0</v>
      </c>
      <c r="Z42" s="280">
        <f t="shared" si="9"/>
        <v>163905.26482412918</v>
      </c>
      <c r="AA42" s="281">
        <f t="shared" si="10"/>
        <v>724047.6895141229</v>
      </c>
      <c r="AB42" s="282">
        <f t="shared" si="17"/>
        <v>919135.45433825208</v>
      </c>
    </row>
    <row r="43" spans="1:28">
      <c r="A43" s="68" t="s">
        <v>38</v>
      </c>
      <c r="B43" s="9">
        <v>16763233.83</v>
      </c>
      <c r="C43" s="9">
        <v>7409009.3399999999</v>
      </c>
      <c r="D43" s="9">
        <v>0</v>
      </c>
      <c r="E43" s="9">
        <v>8620053.1497683991</v>
      </c>
      <c r="F43" s="66">
        <f t="shared" si="18"/>
        <v>32792296.319768399</v>
      </c>
      <c r="I43" s="272" t="s">
        <v>30</v>
      </c>
      <c r="J43" s="263">
        <f t="shared" si="12"/>
        <v>3416176.19</v>
      </c>
      <c r="K43" s="263">
        <f t="shared" si="13"/>
        <v>0</v>
      </c>
      <c r="L43" s="263">
        <f t="shared" si="14"/>
        <v>1949906.5176035317</v>
      </c>
      <c r="M43" s="222">
        <f t="shared" si="15"/>
        <v>4624268.04</v>
      </c>
      <c r="N43" s="219">
        <f t="shared" si="5"/>
        <v>9990350.7476035319</v>
      </c>
      <c r="P43" s="272" t="s">
        <v>30</v>
      </c>
      <c r="Q43" s="263">
        <v>3449773.37</v>
      </c>
      <c r="R43" s="263">
        <v>0</v>
      </c>
      <c r="S43" s="263">
        <v>2135349.105516287</v>
      </c>
      <c r="T43" s="222">
        <v>5059782.1497001778</v>
      </c>
      <c r="U43" s="219">
        <f t="shared" si="16"/>
        <v>10644904.625216465</v>
      </c>
      <c r="W43" s="272" t="s">
        <v>30</v>
      </c>
      <c r="X43" s="280">
        <f t="shared" si="7"/>
        <v>33597.180000000168</v>
      </c>
      <c r="Y43" s="280">
        <f t="shared" si="8"/>
        <v>0</v>
      </c>
      <c r="Z43" s="280">
        <f t="shared" si="9"/>
        <v>185442.58791275532</v>
      </c>
      <c r="AA43" s="281">
        <f t="shared" si="10"/>
        <v>435514.1097001778</v>
      </c>
      <c r="AB43" s="282">
        <f t="shared" si="17"/>
        <v>654553.87761293328</v>
      </c>
    </row>
    <row r="44" spans="1:28">
      <c r="A44" s="68" t="s">
        <v>39</v>
      </c>
      <c r="B44" s="9">
        <v>62646137.701007858</v>
      </c>
      <c r="C44" s="9">
        <v>66146850.710000001</v>
      </c>
      <c r="D44" s="9">
        <v>0</v>
      </c>
      <c r="E44" s="9">
        <v>71729429.745989323</v>
      </c>
      <c r="F44" s="66">
        <f t="shared" si="18"/>
        <v>200522418.15699717</v>
      </c>
      <c r="I44" s="272" t="s">
        <v>32</v>
      </c>
      <c r="J44" s="263">
        <f t="shared" si="12"/>
        <v>4171574.47</v>
      </c>
      <c r="K44" s="263">
        <f t="shared" si="13"/>
        <v>0</v>
      </c>
      <c r="L44" s="263">
        <f t="shared" si="14"/>
        <v>3211821.8273755731</v>
      </c>
      <c r="M44" s="222">
        <f t="shared" si="15"/>
        <v>5012873.9400000004</v>
      </c>
      <c r="N44" s="219">
        <f t="shared" si="5"/>
        <v>12396270.237375572</v>
      </c>
      <c r="P44" s="272" t="s">
        <v>32</v>
      </c>
      <c r="Q44" s="263">
        <v>4217740.58</v>
      </c>
      <c r="R44" s="263">
        <v>0</v>
      </c>
      <c r="S44" s="263">
        <v>4879372.4781305455</v>
      </c>
      <c r="T44" s="222">
        <v>5554505.4326881915</v>
      </c>
      <c r="U44" s="219">
        <f t="shared" si="16"/>
        <v>14651618.490818737</v>
      </c>
      <c r="W44" s="272" t="s">
        <v>32</v>
      </c>
      <c r="X44" s="280">
        <f t="shared" si="7"/>
        <v>46166.10999999987</v>
      </c>
      <c r="Y44" s="280">
        <f t="shared" si="8"/>
        <v>0</v>
      </c>
      <c r="Z44" s="280">
        <f t="shared" si="9"/>
        <v>1667550.6507549724</v>
      </c>
      <c r="AA44" s="281">
        <f t="shared" si="10"/>
        <v>541631.49268819112</v>
      </c>
      <c r="AB44" s="282">
        <f t="shared" si="17"/>
        <v>2255348.2534431634</v>
      </c>
    </row>
    <row r="45" spans="1:28">
      <c r="A45" s="68" t="s">
        <v>40</v>
      </c>
      <c r="B45" s="9">
        <v>4171493.89</v>
      </c>
      <c r="C45" s="9">
        <v>2693950.85</v>
      </c>
      <c r="D45" s="9">
        <v>0</v>
      </c>
      <c r="E45" s="9">
        <v>743407.59040302725</v>
      </c>
      <c r="F45" s="66">
        <f t="shared" si="18"/>
        <v>7608852.3304030271</v>
      </c>
      <c r="I45" s="272" t="s">
        <v>33</v>
      </c>
      <c r="J45" s="263">
        <f t="shared" si="12"/>
        <v>9547650.5700000003</v>
      </c>
      <c r="K45" s="263">
        <f t="shared" si="13"/>
        <v>0</v>
      </c>
      <c r="L45" s="263">
        <f t="shared" si="14"/>
        <v>12192716.9831407</v>
      </c>
      <c r="M45" s="222">
        <f t="shared" si="15"/>
        <v>20026160.579999998</v>
      </c>
      <c r="N45" s="219">
        <f t="shared" si="5"/>
        <v>41766528.133140698</v>
      </c>
      <c r="P45" s="272" t="s">
        <v>33</v>
      </c>
      <c r="Q45" s="263">
        <v>9783762.1400000006</v>
      </c>
      <c r="R45" s="263">
        <v>0</v>
      </c>
      <c r="S45" s="263">
        <v>14166911.147800267</v>
      </c>
      <c r="T45" s="222">
        <v>27698343.32120087</v>
      </c>
      <c r="U45" s="219">
        <f t="shared" si="16"/>
        <v>51649016.609001137</v>
      </c>
      <c r="W45" s="272" t="s">
        <v>33</v>
      </c>
      <c r="X45" s="280">
        <f t="shared" si="7"/>
        <v>236111.5700000003</v>
      </c>
      <c r="Y45" s="280">
        <f t="shared" si="8"/>
        <v>0</v>
      </c>
      <c r="Z45" s="280">
        <f t="shared" si="9"/>
        <v>1974194.1646595672</v>
      </c>
      <c r="AA45" s="281">
        <f t="shared" si="10"/>
        <v>7672182.7412008718</v>
      </c>
      <c r="AB45" s="282">
        <f t="shared" si="17"/>
        <v>9882488.4758604392</v>
      </c>
    </row>
    <row r="46" spans="1:28">
      <c r="A46" s="68" t="s">
        <v>41</v>
      </c>
      <c r="B46" s="9">
        <v>31943282.18</v>
      </c>
      <c r="C46" s="9">
        <v>5887553.7999999998</v>
      </c>
      <c r="D46" s="9">
        <v>9149143.0140880179</v>
      </c>
      <c r="E46" s="9">
        <v>6078416.3761273762</v>
      </c>
      <c r="F46" s="66">
        <f t="shared" si="18"/>
        <v>53058395.370215394</v>
      </c>
      <c r="I46" s="272" t="s">
        <v>34</v>
      </c>
      <c r="J46" s="263">
        <f t="shared" si="12"/>
        <v>4014025.97</v>
      </c>
      <c r="K46" s="263">
        <f t="shared" si="13"/>
        <v>0</v>
      </c>
      <c r="L46" s="263">
        <f t="shared" si="14"/>
        <v>2948632.3719474021</v>
      </c>
      <c r="M46" s="222">
        <f t="shared" si="15"/>
        <v>4968959.3899999997</v>
      </c>
      <c r="N46" s="219">
        <f t="shared" si="5"/>
        <v>11931617.731947403</v>
      </c>
      <c r="P46" s="272" t="s">
        <v>34</v>
      </c>
      <c r="Q46" s="263">
        <v>4067941.47</v>
      </c>
      <c r="R46" s="263">
        <v>0</v>
      </c>
      <c r="S46" s="263">
        <v>3232742.8847484374</v>
      </c>
      <c r="T46" s="222">
        <v>5670841.0817171661</v>
      </c>
      <c r="U46" s="219">
        <f t="shared" si="16"/>
        <v>12971525.436465602</v>
      </c>
      <c r="W46" s="272" t="s">
        <v>34</v>
      </c>
      <c r="X46" s="280">
        <f t="shared" si="7"/>
        <v>53915.5</v>
      </c>
      <c r="Y46" s="280">
        <f t="shared" si="8"/>
        <v>0</v>
      </c>
      <c r="Z46" s="280">
        <f t="shared" si="9"/>
        <v>284110.51280103531</v>
      </c>
      <c r="AA46" s="281">
        <f t="shared" si="10"/>
        <v>701881.69171716645</v>
      </c>
      <c r="AB46" s="282">
        <f t="shared" si="17"/>
        <v>1039907.7045182018</v>
      </c>
    </row>
    <row r="47" spans="1:28">
      <c r="A47" s="68" t="s">
        <v>42</v>
      </c>
      <c r="B47" s="9">
        <v>5020066.84</v>
      </c>
      <c r="C47" s="9">
        <v>3088758.18</v>
      </c>
      <c r="D47" s="9">
        <v>0</v>
      </c>
      <c r="E47" s="9">
        <v>1402944.986497188</v>
      </c>
      <c r="F47" s="66">
        <f t="shared" si="18"/>
        <v>9511770.0064971875</v>
      </c>
      <c r="I47" s="272" t="s">
        <v>35</v>
      </c>
      <c r="J47" s="263">
        <f t="shared" si="12"/>
        <v>3904924.6</v>
      </c>
      <c r="K47" s="263">
        <f t="shared" si="13"/>
        <v>0</v>
      </c>
      <c r="L47" s="263">
        <f t="shared" si="14"/>
        <v>2766375.2885870226</v>
      </c>
      <c r="M47" s="222">
        <f t="shared" si="15"/>
        <v>4280712.4000000004</v>
      </c>
      <c r="N47" s="219">
        <f t="shared" si="5"/>
        <v>10952012.288587023</v>
      </c>
      <c r="P47" s="272" t="s">
        <v>35</v>
      </c>
      <c r="Q47" s="263">
        <v>3929934.02</v>
      </c>
      <c r="R47" s="263">
        <v>0</v>
      </c>
      <c r="S47" s="263">
        <v>3099472.9192519151</v>
      </c>
      <c r="T47" s="222">
        <v>4283419.7572006918</v>
      </c>
      <c r="U47" s="219">
        <f t="shared" si="16"/>
        <v>11312826.696452606</v>
      </c>
      <c r="W47" s="272" t="s">
        <v>35</v>
      </c>
      <c r="X47" s="280">
        <f t="shared" si="7"/>
        <v>25009.419999999925</v>
      </c>
      <c r="Y47" s="280">
        <f t="shared" si="8"/>
        <v>0</v>
      </c>
      <c r="Z47" s="280">
        <f t="shared" si="9"/>
        <v>333097.63066489249</v>
      </c>
      <c r="AA47" s="281">
        <f t="shared" si="10"/>
        <v>2707.3572006914765</v>
      </c>
      <c r="AB47" s="282">
        <f t="shared" si="17"/>
        <v>360814.4078655839</v>
      </c>
    </row>
    <row r="48" spans="1:28">
      <c r="A48" s="68" t="s">
        <v>43</v>
      </c>
      <c r="B48" s="9">
        <v>4449934.8499999996</v>
      </c>
      <c r="C48" s="9">
        <v>3661228.77</v>
      </c>
      <c r="D48" s="9">
        <v>0</v>
      </c>
      <c r="E48" s="9">
        <v>2359274.1523919348</v>
      </c>
      <c r="F48" s="66">
        <f t="shared" si="18"/>
        <v>10470437.772391934</v>
      </c>
      <c r="I48" s="272" t="s">
        <v>36</v>
      </c>
      <c r="J48" s="263">
        <f t="shared" si="12"/>
        <v>3906670.95</v>
      </c>
      <c r="K48" s="263">
        <f t="shared" si="13"/>
        <v>0</v>
      </c>
      <c r="L48" s="263">
        <f t="shared" si="14"/>
        <v>2769292.6124916826</v>
      </c>
      <c r="M48" s="222">
        <f t="shared" si="15"/>
        <v>5448422.9900000002</v>
      </c>
      <c r="N48" s="219">
        <f t="shared" si="5"/>
        <v>12124386.552491684</v>
      </c>
      <c r="P48" s="272" t="s">
        <v>36</v>
      </c>
      <c r="Q48" s="263">
        <v>3942363.2</v>
      </c>
      <c r="R48" s="263">
        <v>0</v>
      </c>
      <c r="S48" s="263">
        <v>3009811.9212916601</v>
      </c>
      <c r="T48" s="222">
        <v>6076235.2056293599</v>
      </c>
      <c r="U48" s="219">
        <f t="shared" si="16"/>
        <v>13028410.32692102</v>
      </c>
      <c r="W48" s="272" t="s">
        <v>36</v>
      </c>
      <c r="X48" s="280">
        <f t="shared" si="7"/>
        <v>35692.25</v>
      </c>
      <c r="Y48" s="280">
        <f t="shared" si="8"/>
        <v>0</v>
      </c>
      <c r="Z48" s="280">
        <f t="shared" si="9"/>
        <v>240519.30879997741</v>
      </c>
      <c r="AA48" s="281">
        <f t="shared" si="10"/>
        <v>627812.21562935971</v>
      </c>
      <c r="AB48" s="282">
        <f t="shared" si="17"/>
        <v>904023.77442933712</v>
      </c>
    </row>
    <row r="49" spans="1:28">
      <c r="A49" s="68" t="s">
        <v>44</v>
      </c>
      <c r="B49" s="9">
        <v>10569957.33</v>
      </c>
      <c r="C49" s="9">
        <v>4882532.88</v>
      </c>
      <c r="D49" s="9">
        <v>0</v>
      </c>
      <c r="E49" s="9">
        <v>4399499.0154434396</v>
      </c>
      <c r="F49" s="66">
        <f t="shared" si="18"/>
        <v>19851989.225443441</v>
      </c>
      <c r="I49" s="272" t="s">
        <v>37</v>
      </c>
      <c r="J49" s="263">
        <f t="shared" si="12"/>
        <v>4361143.1900000004</v>
      </c>
      <c r="K49" s="263">
        <f t="shared" si="13"/>
        <v>0</v>
      </c>
      <c r="L49" s="263">
        <f t="shared" si="14"/>
        <v>3528502.0276969215</v>
      </c>
      <c r="M49" s="222">
        <f t="shared" si="15"/>
        <v>5144806.88</v>
      </c>
      <c r="N49" s="219">
        <f t="shared" si="5"/>
        <v>13034452.097696923</v>
      </c>
      <c r="P49" s="272" t="s">
        <v>37</v>
      </c>
      <c r="Q49" s="263">
        <v>4401463.3600000003</v>
      </c>
      <c r="R49" s="263">
        <v>0</v>
      </c>
      <c r="S49" s="263">
        <v>3824822.6770570739</v>
      </c>
      <c r="T49" s="222">
        <v>5580621.5987967364</v>
      </c>
      <c r="U49" s="219">
        <f t="shared" si="16"/>
        <v>13806907.63585381</v>
      </c>
      <c r="W49" s="272" t="s">
        <v>37</v>
      </c>
      <c r="X49" s="280">
        <f t="shared" si="7"/>
        <v>40320.169999999925</v>
      </c>
      <c r="Y49" s="280">
        <f t="shared" si="8"/>
        <v>0</v>
      </c>
      <c r="Z49" s="280">
        <f t="shared" si="9"/>
        <v>296320.64936015243</v>
      </c>
      <c r="AA49" s="281">
        <f t="shared" si="10"/>
        <v>435814.71879673656</v>
      </c>
      <c r="AB49" s="282">
        <f t="shared" si="17"/>
        <v>772455.53815688891</v>
      </c>
    </row>
    <row r="50" spans="1:28">
      <c r="A50" s="68" t="s">
        <v>45</v>
      </c>
      <c r="B50" s="9">
        <v>8451896.3212104775</v>
      </c>
      <c r="C50" s="9">
        <v>8800078.8800000008</v>
      </c>
      <c r="D50" s="9">
        <v>8353830.3409364149</v>
      </c>
      <c r="E50" s="9">
        <v>2479452.433364782</v>
      </c>
      <c r="F50" s="66">
        <f t="shared" si="18"/>
        <v>28085257.975511674</v>
      </c>
      <c r="I50" s="272" t="s">
        <v>38</v>
      </c>
      <c r="J50" s="263">
        <f t="shared" si="12"/>
        <v>7409009.3399999999</v>
      </c>
      <c r="K50" s="263">
        <f t="shared" si="13"/>
        <v>0</v>
      </c>
      <c r="L50" s="263">
        <f t="shared" si="14"/>
        <v>8620053.1497683991</v>
      </c>
      <c r="M50" s="222">
        <f t="shared" si="15"/>
        <v>16763233.83</v>
      </c>
      <c r="N50" s="219">
        <f t="shared" si="5"/>
        <v>32792296.319768399</v>
      </c>
      <c r="P50" s="272" t="s">
        <v>38</v>
      </c>
      <c r="Q50" s="263">
        <v>7532728.4699999997</v>
      </c>
      <c r="R50" s="263">
        <v>0</v>
      </c>
      <c r="S50" s="263">
        <v>17905596.968442116</v>
      </c>
      <c r="T50" s="222">
        <v>22052503.047917143</v>
      </c>
      <c r="U50" s="219">
        <f t="shared" si="16"/>
        <v>47490828.486359254</v>
      </c>
      <c r="W50" s="272" t="s">
        <v>38</v>
      </c>
      <c r="X50" s="280">
        <f t="shared" si="7"/>
        <v>123719.12999999989</v>
      </c>
      <c r="Y50" s="280">
        <f t="shared" si="8"/>
        <v>0</v>
      </c>
      <c r="Z50" s="280">
        <f t="shared" si="9"/>
        <v>9285543.8186737169</v>
      </c>
      <c r="AA50" s="281">
        <f t="shared" si="10"/>
        <v>5289269.2179171424</v>
      </c>
      <c r="AB50" s="282">
        <f t="shared" si="17"/>
        <v>14698532.16659086</v>
      </c>
    </row>
    <row r="51" spans="1:28">
      <c r="A51" s="68" t="s">
        <v>46</v>
      </c>
      <c r="B51" s="9">
        <v>25149611.733935378</v>
      </c>
      <c r="C51" s="9">
        <v>21160275.140000001</v>
      </c>
      <c r="D51" s="9">
        <v>0</v>
      </c>
      <c r="E51" s="9">
        <v>17405197.750645991</v>
      </c>
      <c r="F51" s="66">
        <f t="shared" si="18"/>
        <v>63715084.624581367</v>
      </c>
      <c r="I51" s="272" t="s">
        <v>40</v>
      </c>
      <c r="J51" s="263">
        <f t="shared" si="12"/>
        <v>2693950.85</v>
      </c>
      <c r="K51" s="263">
        <f t="shared" si="13"/>
        <v>0</v>
      </c>
      <c r="L51" s="263">
        <f t="shared" si="14"/>
        <v>743407.59040302725</v>
      </c>
      <c r="M51" s="222">
        <f t="shared" si="15"/>
        <v>4171493.89</v>
      </c>
      <c r="N51" s="219">
        <f t="shared" si="5"/>
        <v>7608852.3304030281</v>
      </c>
      <c r="P51" s="272" t="s">
        <v>40</v>
      </c>
      <c r="Q51" s="263">
        <v>2704054.81</v>
      </c>
      <c r="R51" s="263">
        <v>0</v>
      </c>
      <c r="S51" s="263">
        <v>3555590.9773309566</v>
      </c>
      <c r="T51" s="222">
        <v>4288168.1510386094</v>
      </c>
      <c r="U51" s="219">
        <f t="shared" si="16"/>
        <v>10547813.938369567</v>
      </c>
      <c r="W51" s="272" t="s">
        <v>40</v>
      </c>
      <c r="X51" s="280">
        <f t="shared" si="7"/>
        <v>10103.959999999963</v>
      </c>
      <c r="Y51" s="280">
        <f t="shared" si="8"/>
        <v>0</v>
      </c>
      <c r="Z51" s="280">
        <f t="shared" si="9"/>
        <v>2812183.3869279292</v>
      </c>
      <c r="AA51" s="281">
        <f t="shared" si="10"/>
        <v>116674.26103860931</v>
      </c>
      <c r="AB51" s="282">
        <f t="shared" si="17"/>
        <v>2938961.6079665385</v>
      </c>
    </row>
    <row r="52" spans="1:28">
      <c r="A52" s="68" t="s">
        <v>47</v>
      </c>
      <c r="B52" s="9">
        <v>10781489.118756974</v>
      </c>
      <c r="C52" s="9">
        <v>39615398.719999999</v>
      </c>
      <c r="D52" s="9">
        <v>0</v>
      </c>
      <c r="E52" s="9">
        <v>39690966.383817434</v>
      </c>
      <c r="F52" s="66">
        <f t="shared" si="18"/>
        <v>90087854.222574413</v>
      </c>
      <c r="I52" s="272" t="s">
        <v>41</v>
      </c>
      <c r="J52" s="263">
        <f t="shared" si="12"/>
        <v>5887553.7999999998</v>
      </c>
      <c r="K52" s="263">
        <f t="shared" si="13"/>
        <v>9149143.0140880179</v>
      </c>
      <c r="L52" s="263">
        <f t="shared" si="14"/>
        <v>6078416.3761273762</v>
      </c>
      <c r="M52" s="222">
        <f t="shared" si="15"/>
        <v>31943282.18</v>
      </c>
      <c r="N52" s="219">
        <f t="shared" si="5"/>
        <v>53058395.370215394</v>
      </c>
      <c r="P52" s="272" t="s">
        <v>41</v>
      </c>
      <c r="Q52" s="263">
        <v>5162583.18</v>
      </c>
      <c r="R52" s="263">
        <v>8397289.0500000007</v>
      </c>
      <c r="S52" s="263">
        <v>5175989.3842794793</v>
      </c>
      <c r="T52" s="222">
        <v>29869249.628973708</v>
      </c>
      <c r="U52" s="219">
        <f t="shared" si="16"/>
        <v>48605111.243253186</v>
      </c>
      <c r="W52" s="272" t="s">
        <v>41</v>
      </c>
      <c r="X52" s="280">
        <f t="shared" si="7"/>
        <v>-724970.62000000011</v>
      </c>
      <c r="Y52" s="280">
        <f t="shared" si="8"/>
        <v>-751853.96408801712</v>
      </c>
      <c r="Z52" s="280">
        <f t="shared" si="9"/>
        <v>-902426.99184789695</v>
      </c>
      <c r="AA52" s="281">
        <f t="shared" si="10"/>
        <v>-2074032.5510262921</v>
      </c>
      <c r="AB52" s="282">
        <f t="shared" si="17"/>
        <v>-4453284.1269622063</v>
      </c>
    </row>
    <row r="53" spans="1:28">
      <c r="A53" s="68" t="s">
        <v>48</v>
      </c>
      <c r="B53" s="9">
        <v>19717144.79065343</v>
      </c>
      <c r="C53" s="9">
        <v>14864043.029999999</v>
      </c>
      <c r="D53" s="9">
        <v>15645736.289694797</v>
      </c>
      <c r="E53" s="9">
        <v>9802085.7211358696</v>
      </c>
      <c r="F53" s="66">
        <f t="shared" si="18"/>
        <v>60029009.831484094</v>
      </c>
      <c r="I53" s="272" t="s">
        <v>42</v>
      </c>
      <c r="J53" s="263">
        <f t="shared" si="12"/>
        <v>3088758.18</v>
      </c>
      <c r="K53" s="263">
        <f t="shared" si="13"/>
        <v>0</v>
      </c>
      <c r="L53" s="263">
        <f t="shared" si="14"/>
        <v>1402944.986497188</v>
      </c>
      <c r="M53" s="222">
        <f t="shared" si="15"/>
        <v>5020066.84</v>
      </c>
      <c r="N53" s="219">
        <f t="shared" si="5"/>
        <v>9511770.0064971875</v>
      </c>
      <c r="P53" s="272" t="s">
        <v>42</v>
      </c>
      <c r="Q53" s="263">
        <v>3098262.64</v>
      </c>
      <c r="R53" s="263">
        <v>0</v>
      </c>
      <c r="S53" s="263">
        <v>2047968.1588161183</v>
      </c>
      <c r="T53" s="222">
        <v>5326285.7538532885</v>
      </c>
      <c r="U53" s="219">
        <f t="shared" si="16"/>
        <v>10472516.552669406</v>
      </c>
      <c r="W53" s="272" t="s">
        <v>42</v>
      </c>
      <c r="X53" s="280">
        <f t="shared" si="7"/>
        <v>9504.4599999999627</v>
      </c>
      <c r="Y53" s="280">
        <f t="shared" si="8"/>
        <v>0</v>
      </c>
      <c r="Z53" s="280">
        <f t="shared" si="9"/>
        <v>645023.17231893027</v>
      </c>
      <c r="AA53" s="281">
        <f t="shared" si="10"/>
        <v>306218.91385328863</v>
      </c>
      <c r="AB53" s="282">
        <f t="shared" si="17"/>
        <v>960746.54617221886</v>
      </c>
    </row>
    <row r="54" spans="1:28">
      <c r="A54" s="68" t="s">
        <v>49</v>
      </c>
      <c r="B54" s="9">
        <v>6400450.8389404938</v>
      </c>
      <c r="C54" s="9">
        <v>10291428.779999999</v>
      </c>
      <c r="D54" s="9">
        <v>8787454.3831691872</v>
      </c>
      <c r="E54" s="9">
        <v>4280354.967553379</v>
      </c>
      <c r="F54" s="66">
        <f t="shared" si="18"/>
        <v>29759688.969663061</v>
      </c>
      <c r="I54" s="272" t="s">
        <v>43</v>
      </c>
      <c r="J54" s="263">
        <f t="shared" si="12"/>
        <v>3661228.77</v>
      </c>
      <c r="K54" s="263">
        <f t="shared" si="13"/>
        <v>0</v>
      </c>
      <c r="L54" s="263">
        <f t="shared" si="14"/>
        <v>2359274.1523919348</v>
      </c>
      <c r="M54" s="222">
        <f t="shared" si="15"/>
        <v>4449934.8499999996</v>
      </c>
      <c r="N54" s="219">
        <f t="shared" si="5"/>
        <v>10470437.772391934</v>
      </c>
      <c r="P54" s="272" t="s">
        <v>43</v>
      </c>
      <c r="Q54" s="263">
        <v>3697671.94</v>
      </c>
      <c r="R54" s="263">
        <v>0</v>
      </c>
      <c r="S54" s="263">
        <v>2575427.3718657605</v>
      </c>
      <c r="T54" s="222">
        <v>4783484.9832563614</v>
      </c>
      <c r="U54" s="219">
        <f t="shared" si="16"/>
        <v>11056584.295122121</v>
      </c>
      <c r="W54" s="272" t="s">
        <v>43</v>
      </c>
      <c r="X54" s="280">
        <f t="shared" si="7"/>
        <v>36443.169999999925</v>
      </c>
      <c r="Y54" s="280">
        <f t="shared" si="8"/>
        <v>0</v>
      </c>
      <c r="Z54" s="280">
        <f t="shared" si="9"/>
        <v>216153.21947382577</v>
      </c>
      <c r="AA54" s="281">
        <f t="shared" si="10"/>
        <v>333550.13325636182</v>
      </c>
      <c r="AB54" s="282">
        <f t="shared" si="17"/>
        <v>586146.52273018751</v>
      </c>
    </row>
    <row r="55" spans="1:28">
      <c r="A55" s="68" t="s">
        <v>50</v>
      </c>
      <c r="B55" s="9">
        <v>4293773.1900000004</v>
      </c>
      <c r="C55" s="9">
        <v>3012708.19</v>
      </c>
      <c r="D55" s="9">
        <v>0</v>
      </c>
      <c r="E55" s="9">
        <v>1275901.212743267</v>
      </c>
      <c r="F55" s="66">
        <f t="shared" si="18"/>
        <v>8582382.5927432682</v>
      </c>
      <c r="I55" s="272" t="s">
        <v>44</v>
      </c>
      <c r="J55" s="263">
        <f t="shared" si="12"/>
        <v>4882532.88</v>
      </c>
      <c r="K55" s="263">
        <f t="shared" si="13"/>
        <v>0</v>
      </c>
      <c r="L55" s="263">
        <f t="shared" si="14"/>
        <v>4399499.0154434396</v>
      </c>
      <c r="M55" s="222">
        <f t="shared" si="15"/>
        <v>10569957.33</v>
      </c>
      <c r="N55" s="219">
        <f t="shared" si="5"/>
        <v>19851989.225443438</v>
      </c>
      <c r="P55" s="272" t="s">
        <v>44</v>
      </c>
      <c r="Q55" s="263">
        <v>5020702.67</v>
      </c>
      <c r="R55" s="263">
        <v>0</v>
      </c>
      <c r="S55" s="263">
        <v>4924118.101341052</v>
      </c>
      <c r="T55" s="222">
        <v>14522440.744824842</v>
      </c>
      <c r="U55" s="219">
        <f t="shared" si="16"/>
        <v>24467261.516165894</v>
      </c>
      <c r="W55" s="272" t="s">
        <v>44</v>
      </c>
      <c r="X55" s="280">
        <f t="shared" si="7"/>
        <v>138169.79000000004</v>
      </c>
      <c r="Y55" s="280">
        <f t="shared" si="8"/>
        <v>0</v>
      </c>
      <c r="Z55" s="280">
        <f t="shared" si="9"/>
        <v>524619.08589761239</v>
      </c>
      <c r="AA55" s="281">
        <f t="shared" si="10"/>
        <v>3952483.4148248415</v>
      </c>
      <c r="AB55" s="282">
        <f t="shared" si="17"/>
        <v>4615272.290722454</v>
      </c>
    </row>
    <row r="56" spans="1:28">
      <c r="A56" s="68" t="s">
        <v>51</v>
      </c>
      <c r="B56" s="9">
        <v>4676321.92</v>
      </c>
      <c r="C56" s="9">
        <v>2770789.26</v>
      </c>
      <c r="D56" s="9">
        <v>0</v>
      </c>
      <c r="E56" s="9">
        <v>871768.44657321565</v>
      </c>
      <c r="F56" s="66">
        <f t="shared" si="18"/>
        <v>8318879.6265732152</v>
      </c>
      <c r="I56" s="272" t="s">
        <v>50</v>
      </c>
      <c r="J56" s="263">
        <f t="shared" si="12"/>
        <v>3012708.19</v>
      </c>
      <c r="K56" s="263">
        <f t="shared" si="13"/>
        <v>0</v>
      </c>
      <c r="L56" s="263">
        <f t="shared" si="14"/>
        <v>1275901.212743267</v>
      </c>
      <c r="M56" s="222">
        <f t="shared" si="15"/>
        <v>4293773.1900000004</v>
      </c>
      <c r="N56" s="219">
        <f t="shared" si="5"/>
        <v>8582382.5927432664</v>
      </c>
      <c r="P56" s="272" t="s">
        <v>50</v>
      </c>
      <c r="Q56" s="263">
        <v>3030910.95</v>
      </c>
      <c r="R56" s="263">
        <v>0</v>
      </c>
      <c r="S56" s="263">
        <v>1539148.4687656499</v>
      </c>
      <c r="T56" s="222">
        <v>4484336.1714675697</v>
      </c>
      <c r="U56" s="219">
        <f t="shared" si="16"/>
        <v>9054395.5902332198</v>
      </c>
      <c r="W56" s="272" t="s">
        <v>50</v>
      </c>
      <c r="X56" s="280">
        <f t="shared" si="7"/>
        <v>18202.760000000242</v>
      </c>
      <c r="Y56" s="280">
        <f t="shared" si="8"/>
        <v>0</v>
      </c>
      <c r="Z56" s="280">
        <f t="shared" si="9"/>
        <v>263247.25602238299</v>
      </c>
      <c r="AA56" s="281">
        <f t="shared" si="10"/>
        <v>190562.98146756925</v>
      </c>
      <c r="AB56" s="282">
        <f t="shared" si="17"/>
        <v>472012.99748995248</v>
      </c>
    </row>
    <row r="57" spans="1:28" ht="13.5" thickBot="1">
      <c r="A57" s="69" t="s">
        <v>52</v>
      </c>
      <c r="B57" s="12">
        <f>SUM(B6:B56)</f>
        <v>622950008.32026494</v>
      </c>
      <c r="C57" s="12">
        <f>SUM(C6:C56)</f>
        <v>439245659.00999993</v>
      </c>
      <c r="D57" s="12">
        <f>SUM(D6:D56)</f>
        <v>155027879.64431998</v>
      </c>
      <c r="E57" s="12">
        <f>SUM(E6:E56)</f>
        <v>367473492.49023998</v>
      </c>
      <c r="F57" s="20">
        <f>SUM(F6:F56)</f>
        <v>1584697039.4648252</v>
      </c>
      <c r="I57" s="272" t="s">
        <v>51</v>
      </c>
      <c r="J57" s="263">
        <f t="shared" si="12"/>
        <v>2770789.26</v>
      </c>
      <c r="K57" s="263">
        <f t="shared" si="13"/>
        <v>0</v>
      </c>
      <c r="L57" s="263">
        <f t="shared" si="14"/>
        <v>871768.44657321565</v>
      </c>
      <c r="M57" s="222">
        <f t="shared" si="15"/>
        <v>4676321.92</v>
      </c>
      <c r="N57" s="219">
        <f t="shared" si="5"/>
        <v>8318879.6265732152</v>
      </c>
      <c r="P57" s="272" t="s">
        <v>51</v>
      </c>
      <c r="Q57" s="263">
        <v>2796166.36</v>
      </c>
      <c r="R57" s="263">
        <v>0</v>
      </c>
      <c r="S57" s="263">
        <v>3547664.2987005324</v>
      </c>
      <c r="T57" s="222">
        <v>5210840.4286689237</v>
      </c>
      <c r="U57" s="219">
        <f t="shared" si="16"/>
        <v>11554671.087369457</v>
      </c>
      <c r="W57" s="272" t="s">
        <v>51</v>
      </c>
      <c r="X57" s="280">
        <f t="shared" si="7"/>
        <v>25377.100000000093</v>
      </c>
      <c r="Y57" s="280">
        <f t="shared" si="8"/>
        <v>0</v>
      </c>
      <c r="Z57" s="280">
        <f t="shared" si="9"/>
        <v>2675895.8521273169</v>
      </c>
      <c r="AA57" s="281">
        <f t="shared" si="10"/>
        <v>534518.50866892375</v>
      </c>
      <c r="AB57" s="282">
        <f t="shared" si="17"/>
        <v>3235791.4607962407</v>
      </c>
    </row>
    <row r="58" spans="1:28" ht="14.25" thickTop="1" thickBot="1">
      <c r="I58" s="273" t="s">
        <v>150</v>
      </c>
      <c r="J58" s="274">
        <f>SUM(J19:J57)</f>
        <v>175698263.61000001</v>
      </c>
      <c r="K58" s="274">
        <f>SUM(K19:K57)</f>
        <v>32696079.769151375</v>
      </c>
      <c r="L58" s="274">
        <f>SUM(L19:L57)</f>
        <v>146989396.99609599</v>
      </c>
      <c r="M58" s="275">
        <f>SUM(M19:M57)</f>
        <v>323580003.32669193</v>
      </c>
      <c r="N58" s="270">
        <f>SUM(N19:N57)</f>
        <v>678963743.70193923</v>
      </c>
      <c r="P58" s="273" t="s">
        <v>150</v>
      </c>
      <c r="Q58" s="274">
        <f>SUM(Q19:Q57)</f>
        <v>175540561.06999999</v>
      </c>
      <c r="R58" s="274">
        <f>SUM(R19:R57)</f>
        <v>30174112.359999999</v>
      </c>
      <c r="S58" s="274">
        <f>SUM(S19:S57)</f>
        <v>187348055.52167648</v>
      </c>
      <c r="T58" s="275">
        <f>SUM(T19:T57)</f>
        <v>358359035.66975993</v>
      </c>
      <c r="U58" s="270">
        <f>SUM(U19:U57)</f>
        <v>751421764.62143636</v>
      </c>
      <c r="W58" s="273" t="s">
        <v>150</v>
      </c>
      <c r="X58" s="283">
        <f>SUM(X19:X57)</f>
        <v>-157702.5400000019</v>
      </c>
      <c r="Y58" s="283">
        <f>SUM(Y19:Y57)</f>
        <v>-2521967.4091513762</v>
      </c>
      <c r="Z58" s="283">
        <f>SUM(Z19:Z57)</f>
        <v>40358658.525580481</v>
      </c>
      <c r="AA58" s="284">
        <f>SUM(AA19:AA57)</f>
        <v>34779032.343068078</v>
      </c>
      <c r="AB58" s="285">
        <f>SUM(AB19:AB57)</f>
        <v>72458020.919497177</v>
      </c>
    </row>
    <row r="59" spans="1:28" ht="13.5" thickBot="1">
      <c r="I59" s="273" t="s">
        <v>52</v>
      </c>
      <c r="J59" s="274">
        <f>J58+J18</f>
        <v>439245659.00999999</v>
      </c>
      <c r="K59" s="274">
        <f>K58+K18</f>
        <v>155027879.64432001</v>
      </c>
      <c r="L59" s="274">
        <f>L58+L18</f>
        <v>367473492.49023998</v>
      </c>
      <c r="M59" s="275">
        <f>M58+M18</f>
        <v>622950008.32026482</v>
      </c>
      <c r="N59" s="270">
        <f>N58+N18</f>
        <v>1584697039.4648247</v>
      </c>
      <c r="P59" s="273" t="s">
        <v>52</v>
      </c>
      <c r="Q59" s="274">
        <f>Q58+Q18</f>
        <v>438851402.67999995</v>
      </c>
      <c r="R59" s="274">
        <f>R58+R18</f>
        <v>154888730.36000001</v>
      </c>
      <c r="S59" s="274">
        <f>S58+S18</f>
        <v>410729830.90047014</v>
      </c>
      <c r="T59" s="275">
        <f>T58+T18</f>
        <v>709897589.17439985</v>
      </c>
      <c r="U59" s="270">
        <f>U58+U18</f>
        <v>1714367553.1148696</v>
      </c>
      <c r="W59" s="273" t="s">
        <v>52</v>
      </c>
      <c r="X59" s="283">
        <f>X58+X18</f>
        <v>-394256.33000000473</v>
      </c>
      <c r="Y59" s="283">
        <f>Y58+Y18</f>
        <v>-139149.2843200285</v>
      </c>
      <c r="Z59" s="283">
        <f>Z58+Z18</f>
        <v>43256338.410230063</v>
      </c>
      <c r="AA59" s="284">
        <f>AA58+AA18</f>
        <v>86947580.854135126</v>
      </c>
      <c r="AB59" s="285">
        <f>AB58+AB18</f>
        <v>129670513.65004513</v>
      </c>
    </row>
    <row r="61" spans="1:28">
      <c r="J61" s="13" t="s">
        <v>187</v>
      </c>
      <c r="K61" s="13" t="s">
        <v>188</v>
      </c>
      <c r="L61" s="13" t="s">
        <v>189</v>
      </c>
      <c r="M61" s="13" t="s">
        <v>190</v>
      </c>
    </row>
    <row r="62" spans="1:28">
      <c r="J62" s="289">
        <f>J59/2</f>
        <v>219622829.505</v>
      </c>
      <c r="K62" s="289">
        <f t="shared" ref="K62:M62" si="19">K59/2</f>
        <v>77513939.822160006</v>
      </c>
      <c r="L62" s="289">
        <f t="shared" si="19"/>
        <v>183736746.24511999</v>
      </c>
      <c r="M62" s="289">
        <f t="shared" si="19"/>
        <v>311475004.16013241</v>
      </c>
      <c r="N62" s="289">
        <f>SUM(J62:M62)</f>
        <v>792348519.73241234</v>
      </c>
      <c r="Q62" s="289">
        <f>Q59/2</f>
        <v>219425701.33999997</v>
      </c>
    </row>
  </sheetData>
  <mergeCells count="16">
    <mergeCell ref="P1:U1"/>
    <mergeCell ref="P2:U2"/>
    <mergeCell ref="P3:U3"/>
    <mergeCell ref="P4:U4"/>
    <mergeCell ref="W1:AB1"/>
    <mergeCell ref="W2:AB2"/>
    <mergeCell ref="W3:AB3"/>
    <mergeCell ref="W4:AB4"/>
    <mergeCell ref="A1:F1"/>
    <mergeCell ref="A2:F2"/>
    <mergeCell ref="A3:F3"/>
    <mergeCell ref="A4:F4"/>
    <mergeCell ref="I1:N1"/>
    <mergeCell ref="I2:N2"/>
    <mergeCell ref="I3:N3"/>
    <mergeCell ref="I4:N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A1:D16"/>
    </sheetView>
  </sheetViews>
  <sheetFormatPr baseColWidth="10" defaultRowHeight="12.75"/>
  <cols>
    <col min="1" max="1" width="22.5703125" customWidth="1"/>
    <col min="2" max="2" width="25.140625" bestFit="1" customWidth="1"/>
    <col min="3" max="3" width="24.28515625" bestFit="1" customWidth="1"/>
    <col min="4" max="4" width="28" bestFit="1" customWidth="1"/>
  </cols>
  <sheetData>
    <row r="1" spans="1:4">
      <c r="A1" s="291" t="s">
        <v>111</v>
      </c>
      <c r="B1" t="s">
        <v>115</v>
      </c>
    </row>
    <row r="3" spans="1:4">
      <c r="A3" s="291" t="s">
        <v>208</v>
      </c>
      <c r="B3" t="s">
        <v>210</v>
      </c>
      <c r="C3" t="s">
        <v>211</v>
      </c>
      <c r="D3" t="s">
        <v>212</v>
      </c>
    </row>
    <row r="4" spans="1:4">
      <c r="A4" s="292" t="s">
        <v>6</v>
      </c>
      <c r="B4" s="293">
        <v>292840828.44000006</v>
      </c>
      <c r="C4" s="293">
        <v>653982108</v>
      </c>
      <c r="D4" s="293">
        <v>656464</v>
      </c>
    </row>
    <row r="5" spans="1:4">
      <c r="A5" s="292" t="s">
        <v>9</v>
      </c>
      <c r="B5" s="293">
        <v>28519495.5</v>
      </c>
      <c r="C5" s="293">
        <v>98384121</v>
      </c>
      <c r="D5" s="293">
        <v>122337</v>
      </c>
    </row>
    <row r="6" spans="1:4">
      <c r="A6" s="292" t="s">
        <v>10</v>
      </c>
      <c r="B6" s="293">
        <v>6103961.7199999997</v>
      </c>
      <c r="C6" s="293">
        <v>21304607</v>
      </c>
      <c r="D6" s="293">
        <v>104478</v>
      </c>
    </row>
    <row r="7" spans="1:4">
      <c r="A7" s="292" t="s">
        <v>13</v>
      </c>
      <c r="B7" s="293">
        <v>14225141</v>
      </c>
      <c r="C7" s="293">
        <v>41956827</v>
      </c>
      <c r="D7" s="293">
        <v>68747</v>
      </c>
    </row>
    <row r="8" spans="1:4">
      <c r="A8" s="292" t="s">
        <v>18</v>
      </c>
      <c r="B8" s="293">
        <v>89654721.319999993</v>
      </c>
      <c r="C8" s="293">
        <v>354652384</v>
      </c>
      <c r="D8" s="293">
        <v>397205</v>
      </c>
    </row>
    <row r="9" spans="1:4">
      <c r="A9" s="292" t="s">
        <v>20</v>
      </c>
      <c r="B9" s="293">
        <v>149244141.31999999</v>
      </c>
      <c r="C9" s="293">
        <v>422301629</v>
      </c>
      <c r="D9" s="293">
        <v>481213</v>
      </c>
    </row>
    <row r="10" spans="1:4">
      <c r="A10" s="292" t="s">
        <v>24</v>
      </c>
      <c r="B10" s="293">
        <v>7133102</v>
      </c>
      <c r="C10" s="293">
        <v>58791281</v>
      </c>
      <c r="D10" s="293">
        <v>102149</v>
      </c>
    </row>
    <row r="11" spans="1:4">
      <c r="A11" s="292" t="s">
        <v>31</v>
      </c>
      <c r="B11" s="293">
        <v>81896056.420000002</v>
      </c>
      <c r="C11" s="293">
        <v>229270347</v>
      </c>
      <c r="D11" s="293">
        <v>471523</v>
      </c>
    </row>
    <row r="12" spans="1:4">
      <c r="A12" s="292" t="s">
        <v>41</v>
      </c>
      <c r="B12" s="293">
        <v>15857010</v>
      </c>
      <c r="C12" s="293">
        <v>73375379</v>
      </c>
      <c r="D12" s="293">
        <v>147624</v>
      </c>
    </row>
    <row r="13" spans="1:4">
      <c r="A13" s="292" t="s">
        <v>45</v>
      </c>
      <c r="B13" s="293">
        <v>20380807.240000002</v>
      </c>
      <c r="C13" s="293">
        <v>345400602</v>
      </c>
      <c r="D13" s="293">
        <v>86766</v>
      </c>
    </row>
    <row r="14" spans="1:4">
      <c r="A14" s="292" t="s">
        <v>48</v>
      </c>
      <c r="B14" s="293">
        <v>114179634.2</v>
      </c>
      <c r="C14" s="293">
        <v>260271541</v>
      </c>
      <c r="D14" s="293">
        <v>306322</v>
      </c>
    </row>
    <row r="15" spans="1:4">
      <c r="A15" s="292" t="s">
        <v>49</v>
      </c>
      <c r="B15" s="293">
        <v>77757928.799999997</v>
      </c>
      <c r="C15" s="293">
        <v>164659580</v>
      </c>
      <c r="D15" s="293">
        <v>46784</v>
      </c>
    </row>
    <row r="16" spans="1:4">
      <c r="A16" s="292" t="s">
        <v>209</v>
      </c>
      <c r="B16" s="293">
        <v>897792827.96000004</v>
      </c>
      <c r="C16" s="293">
        <v>2724350406</v>
      </c>
      <c r="D16" s="293">
        <v>2991612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8</vt:i4>
      </vt:variant>
    </vt:vector>
  </HeadingPairs>
  <TitlesOfParts>
    <vt:vector size="19" baseType="lpstr">
      <vt:lpstr>Distribución Mes</vt:lpstr>
      <vt:lpstr>Participación 2021 Mes</vt:lpstr>
      <vt:lpstr>Descentralizados</vt:lpstr>
      <vt:lpstr>Ultracrecimiento</vt:lpstr>
      <vt:lpstr>Desarrollo</vt:lpstr>
      <vt:lpstr>Seguridad</vt:lpstr>
      <vt:lpstr>Participación 2021</vt:lpstr>
      <vt:lpstr>Distribución 2021</vt:lpstr>
      <vt:lpstr>Hoja1</vt:lpstr>
      <vt:lpstr>Datos Mun</vt:lpstr>
      <vt:lpstr>Art 14 F I</vt:lpstr>
      <vt:lpstr>Desarrollo!Área_de_impresión</vt:lpstr>
      <vt:lpstr>'Distribución 2021'!Área_de_impresión</vt:lpstr>
      <vt:lpstr>'Distribución Mes'!Área_de_impresión</vt:lpstr>
      <vt:lpstr>'Participación 2021'!Área_de_impresión</vt:lpstr>
      <vt:lpstr>'Participación 2021 Mes'!Área_de_impresión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Juanita Reyes</cp:lastModifiedBy>
  <cp:lastPrinted>2021-01-27T21:03:18Z</cp:lastPrinted>
  <dcterms:created xsi:type="dcterms:W3CDTF">2009-12-17T23:31:03Z</dcterms:created>
  <dcterms:modified xsi:type="dcterms:W3CDTF">2022-11-01T19:02:48Z</dcterms:modified>
</cp:coreProperties>
</file>